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9.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drawings/drawing13.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drawings/drawing14.xml" ContentType="application/vnd.openxmlformats-officedocument.drawing+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drawings/drawing15.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6.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17.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18.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12"/>
  <workbookPr codeName="ThisWorkbook" defaultThemeVersion="124226"/>
  <mc:AlternateContent xmlns:mc="http://schemas.openxmlformats.org/markup-compatibility/2006">
    <mc:Choice Requires="x15">
      <x15ac:absPath xmlns:x15ac="http://schemas.microsoft.com/office/spreadsheetml/2010/11/ac" url="https://nzgbc.sharepoint.com/sites/GreenStarTeamSite/DAB/Shared Documents/04_Design_&amp;_As-Built_Tech/02 Tool Review &amp; Development/v1.1/03_Tool Developments/15 Innovations/"/>
    </mc:Choice>
  </mc:AlternateContent>
  <xr:revisionPtr revIDLastSave="3" documentId="13_ncr:1_{B4738C8B-D4EB-4B0E-9644-DCC55BEB245A}" xr6:coauthVersionLast="47" xr6:coauthVersionMax="47" xr10:uidLastSave="{78827975-8438-4A0C-8A99-B1467B586450}"/>
  <bookViews>
    <workbookView xWindow="28680" yWindow="-120" windowWidth="29040" windowHeight="15840" tabRatio="736" firstSheet="6" activeTab="6" xr2:uid="{00000000-000D-0000-FFFF-FFFF00000000}"/>
  </bookViews>
  <sheets>
    <sheet name="Instructions" sheetId="1" r:id="rId1"/>
    <sheet name="Change Log" sheetId="2" r:id="rId2"/>
    <sheet name="GS D&amp;AB NZv1.0 " sheetId="17" r:id="rId3"/>
    <sheet name="GS D&amp;AB NZv1.1" sheetId="19" r:id="rId4"/>
    <sheet name="Design &amp; As Built" sheetId="3" state="hidden" r:id="rId5"/>
    <sheet name="GS Interiors NZ v1.0" sheetId="18" r:id="rId6"/>
    <sheet name="GS Interiors NZ v1.1" sheetId="20" r:id="rId7"/>
    <sheet name="Interiors" sheetId="4" state="hidden" r:id="rId8"/>
    <sheet name="GS Communities v1.1" sheetId="5" r:id="rId9"/>
    <sheet name="GS Performance v1.2" sheetId="6" r:id="rId10"/>
    <sheet name="Interiors PILOT" sheetId="7" state="hidden" r:id="rId11"/>
    <sheet name="Communities PILOT" sheetId="8" state="hidden" r:id="rId12"/>
    <sheet name="Healthcare v1" sheetId="9" state="hidden" r:id="rId13"/>
    <sheet name="Office" sheetId="10" state="hidden" r:id="rId14"/>
    <sheet name="Education v1" sheetId="11" state="hidden" r:id="rId15"/>
    <sheet name="Industrial v1" sheetId="12" state="hidden" r:id="rId16"/>
    <sheet name="MURT v1" sheetId="13" state="hidden" r:id="rId17"/>
    <sheet name="Public Building v1" sheetId="14" state="hidden" r:id="rId18"/>
    <sheet name="Retail Centre v1" sheetId="15" state="hidden" r:id="rId19"/>
    <sheet name="Credit Map" sheetId="1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 hidden="1">'Change Log'!$B$20:$K$90</definedName>
    <definedName name="_xlnm._FilterDatabase" localSheetId="11" hidden="1">#REF!</definedName>
    <definedName name="_xlnm._FilterDatabase" localSheetId="19" hidden="1">'Credit Map'!$A$1:$AE$2157</definedName>
    <definedName name="_xlnm._FilterDatabase" localSheetId="4" hidden="1">'Design &amp; As Built'!$F$57:$M$64</definedName>
    <definedName name="_xlnm._FilterDatabase" localSheetId="5" hidden="1">'GS Interiors NZ v1.0'!#REF!</definedName>
    <definedName name="_xlnm._FilterDatabase" localSheetId="6" hidden="1">'GS Interiors NZ v1.1'!#REF!</definedName>
    <definedName name="_xlnm._FilterDatabase" localSheetId="9" hidden="1">'GS Performance v1.2'!#REF!</definedName>
    <definedName name="_xlnm._FilterDatabase" localSheetId="0" hidden="1">#REF!</definedName>
    <definedName name="_xlnm._FilterDatabase" localSheetId="7" hidden="1">Interiors!#REF!</definedName>
    <definedName name="_xlnm._FilterDatabase" hidden="1">#REF!</definedName>
    <definedName name="_rw_rainwater_collection" localSheetId="11">#REF!</definedName>
    <definedName name="_rw_rainwater_collection" localSheetId="0">#REF!</definedName>
    <definedName name="_rw_rainwater_collection">#REF!</definedName>
    <definedName name="_wd_landscape_irrigation" localSheetId="11">#REF!</definedName>
    <definedName name="_wd_landscape_irrigation" localSheetId="0">#REF!</definedName>
    <definedName name="_wd_landscape_irrigation">#REF!</definedName>
    <definedName name="Address" localSheetId="11">[1]Inputs!$C$3</definedName>
    <definedName name="Address" localSheetId="4">[1]Inputs!$C$3</definedName>
    <definedName name="Address" localSheetId="8">[1]Inputs!$C$3</definedName>
    <definedName name="Address">[1]Inputs!$C$3</definedName>
    <definedName name="Are_Urinals_installed?" localSheetId="11">#REF!</definedName>
    <definedName name="Are_Urinals_installed?" localSheetId="4">#REF!</definedName>
    <definedName name="Are_Urinals_installed?" localSheetId="8">#REF!</definedName>
    <definedName name="Are_Urinals_installed?" localSheetId="2">#REF!</definedName>
    <definedName name="Are_Urinals_installed?" localSheetId="3">#REF!</definedName>
    <definedName name="Are_Urinals_installed?" localSheetId="5">#REF!</definedName>
    <definedName name="Are_Urinals_installed?" localSheetId="6">#REF!</definedName>
    <definedName name="Are_Urinals_installed?" localSheetId="9">#REF!</definedName>
    <definedName name="Are_Urinals_installed?" localSheetId="0">#REF!</definedName>
    <definedName name="Are_Urinals_installed?" localSheetId="7">#REF!</definedName>
    <definedName name="Are_Urinals_installed?">#REF!</definedName>
    <definedName name="benchmarkscope" localSheetId="11">#REF!</definedName>
    <definedName name="benchmarkscope" localSheetId="0">#REF!</definedName>
    <definedName name="benchmarkscope">#REF!</definedName>
    <definedName name="building_climate" localSheetId="11">#REF!</definedName>
    <definedName name="building_climate" localSheetId="0">#REF!</definedName>
    <definedName name="building_climate">#REF!</definedName>
    <definedName name="building_input" localSheetId="11">#REF!</definedName>
    <definedName name="building_input" localSheetId="0">#REF!</definedName>
    <definedName name="building_input">#REF!</definedName>
    <definedName name="buildinginput2" localSheetId="11">#REF!,#REF!,#REF!,#REF!,#REF!,#REF!,#REF!,#REF!</definedName>
    <definedName name="buildinginput2" localSheetId="0">#REF!,#REF!,#REF!,#REF!,#REF!,#REF!,#REF!,#REF!</definedName>
    <definedName name="buildinginput2">#REF!,#REF!,#REF!,#REF!,#REF!,#REF!,#REF!,#REF!</definedName>
    <definedName name="Climate_data" localSheetId="11">#REF!</definedName>
    <definedName name="Climate_data" localSheetId="0">#REF!</definedName>
    <definedName name="Climate_data">#REF!</definedName>
    <definedName name="ene_1_results" localSheetId="11">#REF!</definedName>
    <definedName name="ene_1_results" localSheetId="0">#REF!</definedName>
    <definedName name="ene_1_results">#REF!</definedName>
    <definedName name="ene1_fields" localSheetId="11">'[2]Building Input'!$C$7:$C$11,'[2]Building Input'!$C$14:$C$15,'[2]Building Input'!$C$17,'[2]Building Input'!$C$19:$C$28,'[2]Building Input'!$C$30:$C$34,'[2]Building Input'!$C$45,'[2]Building Input'!$C$47,'[2]Building Input'!#REF!</definedName>
    <definedName name="ene1_fields" localSheetId="4">'[2]Building Input'!$C$7:$C$11,'[2]Building Input'!$C$14:$C$15,'[2]Building Input'!$C$17,'[2]Building Input'!$C$19:$C$28,'[2]Building Input'!$C$30:$C$34,'[2]Building Input'!$C$45,'[2]Building Input'!$C$47,'[2]Building Input'!#REF!</definedName>
    <definedName name="ene1_fields" localSheetId="8">'[2]Building Input'!$C$7:$C$11,'[2]Building Input'!$C$14:$C$15,'[2]Building Input'!$C$17,'[2]Building Input'!$C$19:$C$28,'[2]Building Input'!$C$30:$C$34,'[2]Building Input'!$C$45,'[2]Building Input'!$C$47,'[2]Building Input'!#REF!</definedName>
    <definedName name="ene1_fields" localSheetId="2">'[2]Building Input'!$C$7:$C$11,'[2]Building Input'!$C$14:$C$15,'[2]Building Input'!$C$17,'[2]Building Input'!$C$19:$C$28,'[2]Building Input'!$C$30:$C$34,'[2]Building Input'!$C$45,'[2]Building Input'!$C$47,'[2]Building Input'!#REF!</definedName>
    <definedName name="ene1_fields" localSheetId="3">'[2]Building Input'!$C$7:$C$11,'[2]Building Input'!$C$14:$C$15,'[2]Building Input'!$C$17,'[2]Building Input'!$C$19:$C$28,'[2]Building Input'!$C$30:$C$34,'[2]Building Input'!$C$45,'[2]Building Input'!$C$47,'[2]Building Input'!#REF!</definedName>
    <definedName name="ene1_fields" localSheetId="5">'[2]Building Input'!$C$7:$C$11,'[2]Building Input'!$C$14:$C$15,'[2]Building Input'!$C$17,'[2]Building Input'!$C$19:$C$28,'[2]Building Input'!$C$30:$C$34,'[2]Building Input'!$C$45,'[2]Building Input'!$C$47,'[2]Building Input'!#REF!</definedName>
    <definedName name="ene1_fields" localSheetId="6">'[2]Building Input'!$C$7:$C$11,'[2]Building Input'!$C$14:$C$15,'[2]Building Input'!$C$17,'[2]Building Input'!$C$19:$C$28,'[2]Building Input'!$C$30:$C$34,'[2]Building Input'!$C$45,'[2]Building Input'!$C$47,'[2]Building Input'!#REF!</definedName>
    <definedName name="ene1_fields" localSheetId="9">'[2]Building Input'!$C$7:$C$11,'[2]Building Input'!$C$14:$C$15,'[2]Building Input'!$C$17,'[2]Building Input'!$C$19:$C$28,'[2]Building Input'!$C$30:$C$34,'[2]Building Input'!$C$45,'[2]Building Input'!$C$47,'[2]Building Input'!#REF!</definedName>
    <definedName name="ene1_fields" localSheetId="0">'[3]Building Input'!$C$7:$C$11,'[3]Building Input'!$C$14:$C$15,'[3]Building Input'!$C$17,'[3]Building Input'!$C$19:$C$28,'[3]Building Input'!$C$30:$C$34,'[3]Building Input'!$C$45,'[3]Building Input'!$C$47,'[3]Building Input'!#REF!</definedName>
    <definedName name="ene1_fields" localSheetId="7">'[2]Building Input'!$C$7:$C$11,'[2]Building Input'!$C$14:$C$15,'[2]Building Input'!$C$17,'[2]Building Input'!$C$19:$C$28,'[2]Building Input'!$C$30:$C$34,'[2]Building Input'!$C$45,'[2]Building Input'!$C$47,'[2]Building Input'!#REF!</definedName>
    <definedName name="ene1_fields">'[3]Building Input'!$C$7:$C$11,'[3]Building Input'!$C$14:$C$15,'[3]Building Input'!$C$17,'[3]Building Input'!$C$19:$C$28,'[3]Building Input'!$C$30:$C$34,'[3]Building Input'!$C$45,'[3]Building Input'!$C$47,'[3]Building Input'!#REF!</definedName>
    <definedName name="Ene1_headingsEC" localSheetId="11">'[2]Ecology Calculator'!$B$5,'[2]Ecology Calculator'!$B$7,'[2]Ecology Calculator'!$B$9:$F$10,'[2]Ecology Calculator'!$B$11:$B$31,'[2]Ecology Calculator'!$D$28:$F$31</definedName>
    <definedName name="Ene1_headingsEC" localSheetId="4">'[2]Ecology Calculator'!$B$5,'[2]Ecology Calculator'!$B$7,'[2]Ecology Calculator'!$B$9:$F$10,'[2]Ecology Calculator'!$B$11:$B$31,'[2]Ecology Calculator'!$D$28:$F$31</definedName>
    <definedName name="Ene1_headingsEC" localSheetId="8">'[2]Ecology Calculator'!$B$5,'[2]Ecology Calculator'!$B$7,'[2]Ecology Calculator'!$B$9:$F$10,'[2]Ecology Calculator'!$B$11:$B$31,'[2]Ecology Calculator'!$D$28:$F$31</definedName>
    <definedName name="Ene1_headingsEC" localSheetId="2">'[2]Ecology Calculator'!$B$5,'[2]Ecology Calculator'!$B$7,'[2]Ecology Calculator'!$B$9:$F$10,'[2]Ecology Calculator'!$B$11:$B$31,'[2]Ecology Calculator'!$D$28:$F$31</definedName>
    <definedName name="Ene1_headingsEC" localSheetId="3">'[2]Ecology Calculator'!$B$5,'[2]Ecology Calculator'!$B$7,'[2]Ecology Calculator'!$B$9:$F$10,'[2]Ecology Calculator'!$B$11:$B$31,'[2]Ecology Calculator'!$D$28:$F$31</definedName>
    <definedName name="Ene1_headingsEC" localSheetId="5">'[2]Ecology Calculator'!$B$5,'[2]Ecology Calculator'!$B$7,'[2]Ecology Calculator'!$B$9:$F$10,'[2]Ecology Calculator'!$B$11:$B$31,'[2]Ecology Calculator'!$D$28:$F$31</definedName>
    <definedName name="Ene1_headingsEC" localSheetId="6">'[2]Ecology Calculator'!$B$5,'[2]Ecology Calculator'!$B$7,'[2]Ecology Calculator'!$B$9:$F$10,'[2]Ecology Calculator'!$B$11:$B$31,'[2]Ecology Calculator'!$D$28:$F$31</definedName>
    <definedName name="Ene1_headingsEC" localSheetId="9">'[2]Ecology Calculator'!$B$5,'[2]Ecology Calculator'!$B$7,'[2]Ecology Calculator'!$B$9:$F$10,'[2]Ecology Calculator'!$B$11:$B$31,'[2]Ecology Calculator'!$D$28:$F$31</definedName>
    <definedName name="Ene1_headingsEC" localSheetId="7">'[2]Ecology Calculator'!$B$5,'[2]Ecology Calculator'!$B$7,'[2]Ecology Calculator'!$B$9:$F$10,'[2]Ecology Calculator'!$B$11:$B$31,'[2]Ecology Calculator'!$D$28:$F$31</definedName>
    <definedName name="Ene1_headingsEC">'[3]Ecology Calculator'!$B$5,'[3]Ecology Calculator'!$B$7,'[3]Ecology Calculator'!$B$9:$F$10,'[3]Ecology Calculator'!$B$11:$B$31,'[3]Ecology Calculator'!$D$28:$F$31</definedName>
    <definedName name="Enecon_fields" localSheetId="11">'[2]Building Input'!$C$7:$C$11,'[2]Building Input'!$C$14:$C$15,'[2]Building Input'!$C$17,'[2]Building Input'!$C$19:$C$28,'[2]Building Input'!$C$30:$C$34,'[2]Building Input'!$C$45,'[2]Building Input'!$C$47,'[2]Building Input'!#REF!</definedName>
    <definedName name="Enecon_fields" localSheetId="4">'[2]Building Input'!$C$7:$C$11,'[2]Building Input'!$C$14:$C$15,'[2]Building Input'!$C$17,'[2]Building Input'!$C$19:$C$28,'[2]Building Input'!$C$30:$C$34,'[2]Building Input'!$C$45,'[2]Building Input'!$C$47,'[2]Building Input'!#REF!</definedName>
    <definedName name="Enecon_fields" localSheetId="8">'[2]Building Input'!$C$7:$C$11,'[2]Building Input'!$C$14:$C$15,'[2]Building Input'!$C$17,'[2]Building Input'!$C$19:$C$28,'[2]Building Input'!$C$30:$C$34,'[2]Building Input'!$C$45,'[2]Building Input'!$C$47,'[2]Building Input'!#REF!</definedName>
    <definedName name="Enecon_fields" localSheetId="2">'[2]Building Input'!$C$7:$C$11,'[2]Building Input'!$C$14:$C$15,'[2]Building Input'!$C$17,'[2]Building Input'!$C$19:$C$28,'[2]Building Input'!$C$30:$C$34,'[2]Building Input'!$C$45,'[2]Building Input'!$C$47,'[2]Building Input'!#REF!</definedName>
    <definedName name="Enecon_fields" localSheetId="3">'[2]Building Input'!$C$7:$C$11,'[2]Building Input'!$C$14:$C$15,'[2]Building Input'!$C$17,'[2]Building Input'!$C$19:$C$28,'[2]Building Input'!$C$30:$C$34,'[2]Building Input'!$C$45,'[2]Building Input'!$C$47,'[2]Building Input'!#REF!</definedName>
    <definedName name="Enecon_fields" localSheetId="5">'[2]Building Input'!$C$7:$C$11,'[2]Building Input'!$C$14:$C$15,'[2]Building Input'!$C$17,'[2]Building Input'!$C$19:$C$28,'[2]Building Input'!$C$30:$C$34,'[2]Building Input'!$C$45,'[2]Building Input'!$C$47,'[2]Building Input'!#REF!</definedName>
    <definedName name="Enecon_fields" localSheetId="6">'[2]Building Input'!$C$7:$C$11,'[2]Building Input'!$C$14:$C$15,'[2]Building Input'!$C$17,'[2]Building Input'!$C$19:$C$28,'[2]Building Input'!$C$30:$C$34,'[2]Building Input'!$C$45,'[2]Building Input'!$C$47,'[2]Building Input'!#REF!</definedName>
    <definedName name="Enecon_fields" localSheetId="9">'[2]Building Input'!$C$7:$C$11,'[2]Building Input'!$C$14:$C$15,'[2]Building Input'!$C$17,'[2]Building Input'!$C$19:$C$28,'[2]Building Input'!$C$30:$C$34,'[2]Building Input'!$C$45,'[2]Building Input'!$C$47,'[2]Building Input'!#REF!</definedName>
    <definedName name="Enecon_fields" localSheetId="0">'[3]Building Input'!$C$7:$C$11,'[3]Building Input'!$C$14:$C$15,'[3]Building Input'!$C$17,'[3]Building Input'!$C$19:$C$28,'[3]Building Input'!$C$30:$C$34,'[3]Building Input'!$C$45,'[3]Building Input'!$C$47,'[3]Building Input'!#REF!</definedName>
    <definedName name="Enecon_fields" localSheetId="7">'[2]Building Input'!$C$7:$C$11,'[2]Building Input'!$C$14:$C$15,'[2]Building Input'!$C$17,'[2]Building Input'!$C$19:$C$28,'[2]Building Input'!$C$30:$C$34,'[2]Building Input'!$C$45,'[2]Building Input'!$C$47,'[2]Building Input'!#REF!</definedName>
    <definedName name="Enecon_fields">'[3]Building Input'!$C$7:$C$11,'[3]Building Input'!$C$14:$C$15,'[3]Building Input'!$C$17,'[3]Building Input'!$C$19:$C$28,'[3]Building Input'!$C$30:$C$34,'[3]Building Input'!$C$45,'[3]Building Input'!$C$47,'[3]Building Input'!#REF!</definedName>
    <definedName name="Enecon_headingsEC" localSheetId="11">'[2]Ecology Calculator'!$B$5,'[2]Ecology Calculator'!$B$7,'[2]Ecology Calculator'!$B$9:$F$10,'[2]Ecology Calculator'!$B$11:$B$31,'[2]Ecology Calculator'!$D$28:$F$31</definedName>
    <definedName name="Enecon_headingsEC" localSheetId="4">'[2]Ecology Calculator'!$B$5,'[2]Ecology Calculator'!$B$7,'[2]Ecology Calculator'!$B$9:$F$10,'[2]Ecology Calculator'!$B$11:$B$31,'[2]Ecology Calculator'!$D$28:$F$31</definedName>
    <definedName name="Enecon_headingsEC" localSheetId="8">'[2]Ecology Calculator'!$B$5,'[2]Ecology Calculator'!$B$7,'[2]Ecology Calculator'!$B$9:$F$10,'[2]Ecology Calculator'!$B$11:$B$31,'[2]Ecology Calculator'!$D$28:$F$31</definedName>
    <definedName name="Enecon_headingsEC" localSheetId="2">'[2]Ecology Calculator'!$B$5,'[2]Ecology Calculator'!$B$7,'[2]Ecology Calculator'!$B$9:$F$10,'[2]Ecology Calculator'!$B$11:$B$31,'[2]Ecology Calculator'!$D$28:$F$31</definedName>
    <definedName name="Enecon_headingsEC" localSheetId="3">'[2]Ecology Calculator'!$B$5,'[2]Ecology Calculator'!$B$7,'[2]Ecology Calculator'!$B$9:$F$10,'[2]Ecology Calculator'!$B$11:$B$31,'[2]Ecology Calculator'!$D$28:$F$31</definedName>
    <definedName name="Enecon_headingsEC" localSheetId="5">'[2]Ecology Calculator'!$B$5,'[2]Ecology Calculator'!$B$7,'[2]Ecology Calculator'!$B$9:$F$10,'[2]Ecology Calculator'!$B$11:$B$31,'[2]Ecology Calculator'!$D$28:$F$31</definedName>
    <definedName name="Enecon_headingsEC" localSheetId="6">'[2]Ecology Calculator'!$B$5,'[2]Ecology Calculator'!$B$7,'[2]Ecology Calculator'!$B$9:$F$10,'[2]Ecology Calculator'!$B$11:$B$31,'[2]Ecology Calculator'!$D$28:$F$31</definedName>
    <definedName name="Enecon_headingsEC" localSheetId="9">'[2]Ecology Calculator'!$B$5,'[2]Ecology Calculator'!$B$7,'[2]Ecology Calculator'!$B$9:$F$10,'[2]Ecology Calculator'!$B$11:$B$31,'[2]Ecology Calculator'!$D$28:$F$31</definedName>
    <definedName name="Enecon_headingsEC" localSheetId="7">'[2]Ecology Calculator'!$B$5,'[2]Ecology Calculator'!$B$7,'[2]Ecology Calculator'!$B$9:$F$10,'[2]Ecology Calculator'!$B$11:$B$31,'[2]Ecology Calculator'!$D$28:$F$31</definedName>
    <definedName name="Enecon_headingsEC">'[3]Ecology Calculator'!$B$5,'[3]Ecology Calculator'!$B$7,'[3]Ecology Calculator'!$B$9:$F$10,'[3]Ecology Calculator'!$B$11:$B$31,'[3]Ecology Calculator'!$D$28:$F$31</definedName>
    <definedName name="Fields" localSheetId="11">'[4]Building Input'!$C$9:$C$13,'[4]Building Input'!#REF!,'[4]Building Input'!#REF!,'[4]Building Input'!#REF!,'[4]Building Input'!$C$17:$C$17,'[4]Building Input'!#REF!,'[4]Building Input'!#REF!,'[4]Building Input'!#REF!</definedName>
    <definedName name="Fields" localSheetId="4">'[4]Building Input'!$C$9:$C$13,'[4]Building Input'!#REF!,'[4]Building Input'!#REF!,'[4]Building Input'!#REF!,'[4]Building Input'!$C$17:$C$17,'[4]Building Input'!#REF!,'[4]Building Input'!#REF!,'[4]Building Input'!#REF!</definedName>
    <definedName name="Fields" localSheetId="8">'[4]Building Input'!$C$9:$C$13,'[4]Building Input'!#REF!,'[4]Building Input'!#REF!,'[4]Building Input'!#REF!,'[4]Building Input'!$C$17:$C$17,'[4]Building Input'!#REF!,'[4]Building Input'!#REF!,'[4]Building Input'!#REF!</definedName>
    <definedName name="Fields" localSheetId="2">'[4]Building Input'!$C$9:$C$13,'[4]Building Input'!#REF!,'[4]Building Input'!#REF!,'[4]Building Input'!#REF!,'[4]Building Input'!$C$17:$C$17,'[4]Building Input'!#REF!,'[4]Building Input'!#REF!,'[4]Building Input'!#REF!</definedName>
    <definedName name="Fields" localSheetId="3">'[4]Building Input'!$C$9:$C$13,'[4]Building Input'!#REF!,'[4]Building Input'!#REF!,'[4]Building Input'!#REF!,'[4]Building Input'!$C$17:$C$17,'[4]Building Input'!#REF!,'[4]Building Input'!#REF!,'[4]Building Input'!#REF!</definedName>
    <definedName name="Fields" localSheetId="5">'[4]Building Input'!$C$9:$C$13,'[4]Building Input'!#REF!,'[4]Building Input'!#REF!,'[4]Building Input'!#REF!,'[4]Building Input'!$C$17:$C$17,'[4]Building Input'!#REF!,'[4]Building Input'!#REF!,'[4]Building Input'!#REF!</definedName>
    <definedName name="Fields" localSheetId="6">'[4]Building Input'!$C$9:$C$13,'[4]Building Input'!#REF!,'[4]Building Input'!#REF!,'[4]Building Input'!#REF!,'[4]Building Input'!$C$17:$C$17,'[4]Building Input'!#REF!,'[4]Building Input'!#REF!,'[4]Building Input'!#REF!</definedName>
    <definedName name="Fields" localSheetId="9">'[4]Building Input'!$C$9:$C$13,'[4]Building Input'!#REF!,'[4]Building Input'!#REF!,'[4]Building Input'!#REF!,'[4]Building Input'!$C$17:$C$17,'[4]Building Input'!#REF!,'[4]Building Input'!#REF!,'[4]Building Input'!#REF!</definedName>
    <definedName name="Fields" localSheetId="0">'[5]Building Input'!$C$9:$C$13,'[5]Building Input'!#REF!,'[5]Building Input'!#REF!,'[5]Building Input'!#REF!,'[5]Building Input'!$C$17:$C$17,'[5]Building Input'!#REF!,'[5]Building Input'!#REF!,'[5]Building Input'!#REF!</definedName>
    <definedName name="Fields" localSheetId="7">'[4]Building Input'!$C$9:$C$13,'[4]Building Input'!#REF!,'[4]Building Input'!#REF!,'[4]Building Input'!#REF!,'[4]Building Input'!$C$17:$C$17,'[4]Building Input'!#REF!,'[4]Building Input'!#REF!,'[4]Building Input'!#REF!</definedName>
    <definedName name="Fields">'[5]Building Input'!$C$9:$C$13,'[5]Building Input'!#REF!,'[5]Building Input'!#REF!,'[5]Building Input'!#REF!,'[5]Building Input'!$C$17:$C$17,'[5]Building Input'!#REF!,'[5]Building Input'!#REF!,'[5]Building Input'!#REF!</definedName>
    <definedName name="fields2" localSheetId="11">'[6]Building Input'!$C$7:$C$11,'[6]Building Input'!$C$14:$C$15,'[6]Building Input'!$C$17,'[6]Building Input'!$C$19:$C$28,'[6]Building Input'!$C$35:$C$37,'[6]Building Input'!$C$39,'[6]Building Input'!$C$41,'[6]Building Input'!$C$43:$C$44</definedName>
    <definedName name="fields2" localSheetId="4">'[6]Building Input'!$C$7:$C$11,'[6]Building Input'!$C$14:$C$15,'[6]Building Input'!$C$17,'[6]Building Input'!$C$19:$C$28,'[6]Building Input'!$C$35:$C$37,'[6]Building Input'!$C$39,'[6]Building Input'!$C$41,'[6]Building Input'!$C$43:$C$44</definedName>
    <definedName name="fields2" localSheetId="8">'[6]Building Input'!$C$7:$C$11,'[6]Building Input'!$C$14:$C$15,'[6]Building Input'!$C$17,'[6]Building Input'!$C$19:$C$28,'[6]Building Input'!$C$35:$C$37,'[6]Building Input'!$C$39,'[6]Building Input'!$C$41,'[6]Building Input'!$C$43:$C$44</definedName>
    <definedName name="fields2" localSheetId="2">'[6]Building Input'!$C$7:$C$11,'[6]Building Input'!$C$14:$C$15,'[6]Building Input'!$C$17,'[6]Building Input'!$C$19:$C$28,'[6]Building Input'!$C$35:$C$37,'[6]Building Input'!$C$39,'[6]Building Input'!$C$41,'[6]Building Input'!$C$43:$C$44</definedName>
    <definedName name="fields2" localSheetId="3">'[6]Building Input'!$C$7:$C$11,'[6]Building Input'!$C$14:$C$15,'[6]Building Input'!$C$17,'[6]Building Input'!$C$19:$C$28,'[6]Building Input'!$C$35:$C$37,'[6]Building Input'!$C$39,'[6]Building Input'!$C$41,'[6]Building Input'!$C$43:$C$44</definedName>
    <definedName name="fields2" localSheetId="5">'[6]Building Input'!$C$7:$C$11,'[6]Building Input'!$C$14:$C$15,'[6]Building Input'!$C$17,'[6]Building Input'!$C$19:$C$28,'[6]Building Input'!$C$35:$C$37,'[6]Building Input'!$C$39,'[6]Building Input'!$C$41,'[6]Building Input'!$C$43:$C$44</definedName>
    <definedName name="fields2" localSheetId="6">'[6]Building Input'!$C$7:$C$11,'[6]Building Input'!$C$14:$C$15,'[6]Building Input'!$C$17,'[6]Building Input'!$C$19:$C$28,'[6]Building Input'!$C$35:$C$37,'[6]Building Input'!$C$39,'[6]Building Input'!$C$41,'[6]Building Input'!$C$43:$C$44</definedName>
    <definedName name="fields2" localSheetId="9">'[6]Building Input'!$C$7:$C$11,'[6]Building Input'!$C$14:$C$15,'[6]Building Input'!$C$17,'[6]Building Input'!$C$19:$C$28,'[6]Building Input'!$C$35:$C$37,'[6]Building Input'!$C$39,'[6]Building Input'!$C$41,'[6]Building Input'!$C$43:$C$44</definedName>
    <definedName name="fields2" localSheetId="7">'[6]Building Input'!$C$7:$C$11,'[6]Building Input'!$C$14:$C$15,'[6]Building Input'!$C$17,'[6]Building Input'!$C$19:$C$28,'[6]Building Input'!$C$35:$C$37,'[6]Building Input'!$C$39,'[6]Building Input'!$C$41,'[6]Building Input'!$C$43:$C$44</definedName>
    <definedName name="fields2">'[7]Building Input'!$C$7:$C$11,'[7]Building Input'!$C$14:$C$15,'[7]Building Input'!$C$17,'[7]Building Input'!$C$19:$C$28,'[7]Building Input'!$C$35:$C$37,'[7]Building Input'!$C$39,'[7]Building Input'!$C$41,'[7]Building Input'!$C$43:$C$44</definedName>
    <definedName name="Fields3" localSheetId="2">'[6]Building Input'!$C$7:$C$11,'[6]Building Input'!$C$14:$C$15,'[6]Building Input'!$C$17,'[6]Building Input'!$C$19:$C$28,'[6]Building Input'!$C$35:$C$37,'[6]Building Input'!$C$39,'[6]Building Input'!$C$41,'[6]Building Input'!$C$43:$C$44</definedName>
    <definedName name="Fields3" localSheetId="3">'[6]Building Input'!$C$7:$C$11,'[6]Building Input'!$C$14:$C$15,'[6]Building Input'!$C$17,'[6]Building Input'!$C$19:$C$28,'[6]Building Input'!$C$35:$C$37,'[6]Building Input'!$C$39,'[6]Building Input'!$C$41,'[6]Building Input'!$C$43:$C$44</definedName>
    <definedName name="Fields3" localSheetId="5">'[6]Building Input'!$C$7:$C$11,'[6]Building Input'!$C$14:$C$15,'[6]Building Input'!$C$17,'[6]Building Input'!$C$19:$C$28,'[6]Building Input'!$C$35:$C$37,'[6]Building Input'!$C$39,'[6]Building Input'!$C$41,'[6]Building Input'!$C$43:$C$44</definedName>
    <definedName name="Fields3" localSheetId="6">'[6]Building Input'!$C$7:$C$11,'[6]Building Input'!$C$14:$C$15,'[6]Building Input'!$C$17,'[6]Building Input'!$C$19:$C$28,'[6]Building Input'!$C$35:$C$37,'[6]Building Input'!$C$39,'[6]Building Input'!$C$41,'[6]Building Input'!$C$43:$C$44</definedName>
    <definedName name="Fields3">'[8]Building Input'!$C$7:$C$11,'[8]Building Input'!$C$14:$C$15,'[8]Building Input'!$C$17,'[8]Building Input'!$C$19:$C$28,'[8]Building Input'!$C$35:$C$37,'[8]Building Input'!$C$39,'[8]Building Input'!$C$41,'[8]Building Input'!$C$43:$C$44</definedName>
    <definedName name="GREYWATER_AND_BLACKWATER_COLLECTION" localSheetId="11">#REF!</definedName>
    <definedName name="GREYWATER_AND_BLACKWATER_COLLECTION" localSheetId="0">#REF!</definedName>
    <definedName name="GREYWATER_AND_BLACKWATER_COLLECTION">#REF!</definedName>
    <definedName name="GREYWATER_COLLECTION" localSheetId="11">#REF!</definedName>
    <definedName name="GREYWATER_COLLECTION" localSheetId="0">#REF!</definedName>
    <definedName name="GREYWATER_COLLECTION">#REF!</definedName>
    <definedName name="Headings" localSheetId="11">#REF!,#REF!,#REF!,#REF!,#REF!</definedName>
    <definedName name="Headings" localSheetId="4">#REF!,#REF!,#REF!,#REF!,#REF!</definedName>
    <definedName name="Headings" localSheetId="8">#REF!,#REF!,#REF!,#REF!,#REF!</definedName>
    <definedName name="Headings" localSheetId="2">#REF!,#REF!,#REF!,#REF!,#REF!</definedName>
    <definedName name="Headings" localSheetId="3">#REF!,#REF!,#REF!,#REF!,#REF!</definedName>
    <definedName name="Headings" localSheetId="5">#REF!,#REF!,#REF!,#REF!,#REF!</definedName>
    <definedName name="Headings" localSheetId="6">#REF!,#REF!,#REF!,#REF!,#REF!</definedName>
    <definedName name="Headings" localSheetId="9">#REF!,#REF!,#REF!,#REF!,#REF!</definedName>
    <definedName name="Headings" localSheetId="0">#REF!,#REF!,#REF!,#REF!,#REF!</definedName>
    <definedName name="Headings" localSheetId="7">#REF!,#REF!,#REF!,#REF!,#REF!</definedName>
    <definedName name="Headings">#REF!,#REF!,#REF!,#REF!,#REF!</definedName>
    <definedName name="Headings2" localSheetId="2">'[6]Transport Calculator'!$B$5:$B$11,'[6]Transport Calculator'!$C$5:$D$7,'[6]Transport Calculator'!$B$14:$B$20,'[6]Transport Calculator'!$C$14:$D$16,'[6]Transport Calculator'!$C$22:$D$22</definedName>
    <definedName name="Headings2" localSheetId="3">'[6]Transport Calculator'!$B$5:$B$11,'[6]Transport Calculator'!$C$5:$D$7,'[6]Transport Calculator'!$B$14:$B$20,'[6]Transport Calculator'!$C$14:$D$16,'[6]Transport Calculator'!$C$22:$D$22</definedName>
    <definedName name="Headings2" localSheetId="5">'[6]Transport Calculator'!$B$5:$B$11,'[6]Transport Calculator'!$C$5:$D$7,'[6]Transport Calculator'!$B$14:$B$20,'[6]Transport Calculator'!$C$14:$D$16,'[6]Transport Calculator'!$C$22:$D$22</definedName>
    <definedName name="Headings2" localSheetId="6">'[6]Transport Calculator'!$B$5:$B$11,'[6]Transport Calculator'!$C$5:$D$7,'[6]Transport Calculator'!$B$14:$B$20,'[6]Transport Calculator'!$C$14:$D$16,'[6]Transport Calculator'!$C$22:$D$22</definedName>
    <definedName name="Headings2">'[8]Transport Calculator'!$B$5:$B$11,'[8]Transport Calculator'!$C$5:$D$7,'[8]Transport Calculator'!$B$14:$B$20,'[8]Transport Calculator'!$C$14:$D$16,'[8]Transport Calculator'!$C$22:$D$22</definedName>
    <definedName name="HeadingsEC" localSheetId="11">#REF!,#REF!,#REF!,#REF!,#REF!</definedName>
    <definedName name="HeadingsEC" localSheetId="4">#REF!,#REF!,#REF!,#REF!,#REF!</definedName>
    <definedName name="HeadingsEC" localSheetId="8">#REF!,#REF!,#REF!,#REF!,#REF!</definedName>
    <definedName name="HeadingsEC" localSheetId="2">#REF!,#REF!,#REF!,#REF!,#REF!</definedName>
    <definedName name="HeadingsEC" localSheetId="3">#REF!,#REF!,#REF!,#REF!,#REF!</definedName>
    <definedName name="HeadingsEC" localSheetId="5">#REF!,#REF!,#REF!,#REF!,#REF!</definedName>
    <definedName name="HeadingsEC" localSheetId="6">#REF!,#REF!,#REF!,#REF!,#REF!</definedName>
    <definedName name="HeadingsEC" localSheetId="9">#REF!,#REF!,#REF!,#REF!,#REF!</definedName>
    <definedName name="HeadingsEC" localSheetId="0">#REF!,#REF!,#REF!,#REF!,#REF!</definedName>
    <definedName name="HeadingsEC" localSheetId="7">#REF!,#REF!,#REF!,#REF!,#REF!</definedName>
    <definedName name="HeadingsEC">#REF!,#REF!,#REF!,#REF!,#REF!</definedName>
    <definedName name="Headingsec2" localSheetId="2">'[6]Ecology Calculator'!$B$5,'[6]Ecology Calculator'!$B$7,'[6]Ecology Calculator'!$B$9:$F$10,'[6]Ecology Calculator'!$B$11:$B$31,'[6]Ecology Calculator'!$D$28:$F$31</definedName>
    <definedName name="Headingsec2" localSheetId="3">'[6]Ecology Calculator'!$B$5,'[6]Ecology Calculator'!$B$7,'[6]Ecology Calculator'!$B$9:$F$10,'[6]Ecology Calculator'!$B$11:$B$31,'[6]Ecology Calculator'!$D$28:$F$31</definedName>
    <definedName name="Headingsec2" localSheetId="5">'[6]Ecology Calculator'!$B$5,'[6]Ecology Calculator'!$B$7,'[6]Ecology Calculator'!$B$9:$F$10,'[6]Ecology Calculator'!$B$11:$B$31,'[6]Ecology Calculator'!$D$28:$F$31</definedName>
    <definedName name="Headingsec2" localSheetId="6">'[6]Ecology Calculator'!$B$5,'[6]Ecology Calculator'!$B$7,'[6]Ecology Calculator'!$B$9:$F$10,'[6]Ecology Calculator'!$B$11:$B$31,'[6]Ecology Calculator'!$D$28:$F$31</definedName>
    <definedName name="Headingsec2">'[8]Ecology Calculator'!$B$5,'[8]Ecology Calculator'!$B$7,'[8]Ecology Calculator'!$B$9:$F$10,'[8]Ecology Calculator'!$B$11:$B$31,'[8]Ecology Calculator'!$D$28:$F$31</definedName>
    <definedName name="ihateexcel" localSheetId="11">#REF!,#REF!,#REF!,#REF!,#REF!,#REF!,#REF!,#REF!</definedName>
    <definedName name="ihateexcel" localSheetId="0">#REF!,#REF!,#REF!,#REF!,#REF!,#REF!,#REF!,#REF!</definedName>
    <definedName name="ihateexcel">#REF!,#REF!,#REF!,#REF!,#REF!,#REF!,#REF!,#REF!</definedName>
    <definedName name="Labels" localSheetId="11">#REF!,#REF!</definedName>
    <definedName name="Labels" localSheetId="4">#REF!,#REF!</definedName>
    <definedName name="Labels" localSheetId="8">#REF!,#REF!</definedName>
    <definedName name="Labels" localSheetId="2">#REF!,#REF!</definedName>
    <definedName name="Labels" localSheetId="3">#REF!,#REF!</definedName>
    <definedName name="Labels" localSheetId="5">#REF!,#REF!</definedName>
    <definedName name="Labels" localSheetId="6">#REF!,#REF!</definedName>
    <definedName name="Labels" localSheetId="9">#REF!,#REF!</definedName>
    <definedName name="Labels" localSheetId="0">#REF!,#REF!</definedName>
    <definedName name="Labels" localSheetId="7">#REF!,#REF!</definedName>
    <definedName name="Labels">#REF!,#REF!</definedName>
    <definedName name="method" localSheetId="11">#REF!</definedName>
    <definedName name="method" localSheetId="4">#REF!</definedName>
    <definedName name="method" localSheetId="8">#REF!</definedName>
    <definedName name="method" localSheetId="2">#REF!</definedName>
    <definedName name="method" localSheetId="3">#REF!</definedName>
    <definedName name="method" localSheetId="5">#REF!</definedName>
    <definedName name="method" localSheetId="6">#REF!</definedName>
    <definedName name="method" localSheetId="9">#REF!</definedName>
    <definedName name="method" localSheetId="0">#REF!</definedName>
    <definedName name="method" localSheetId="7">#REF!</definedName>
    <definedName name="method">#REF!</definedName>
    <definedName name="Names">OFFSET('[9]Updating Validation List'!$E$12,0,0,COUNTA('[9]Updating Validation List'!$E$12:$E$10000),1)</definedName>
    <definedName name="new" localSheetId="11">#REF!,#REF!,#REF!,#REF!,#REF!,#REF!,#REF!,#REF!</definedName>
    <definedName name="new" localSheetId="0">#REF!,#REF!,#REF!,#REF!,#REF!,#REF!,#REF!,#REF!</definedName>
    <definedName name="new">#REF!,#REF!,#REF!,#REF!,#REF!,#REF!,#REF!,#REF!</definedName>
    <definedName name="Pal_Workbook_GUID" hidden="1">"NZ8LMWRV7V7KZYBEMNIRIE8E"</definedName>
    <definedName name="_xlnm.Print_Area" localSheetId="11">'Communities PILOT'!$F$27:$J$34</definedName>
    <definedName name="_xlnm.Print_Area" localSheetId="4">'Design &amp; As Built'!$F$30:$J$48</definedName>
    <definedName name="_xlnm.Print_Area" localSheetId="8">'GS Communities v1.1'!$F$26:$J$45</definedName>
    <definedName name="_xlnm.Print_Area" localSheetId="2">'GS D&amp;AB NZv1.0 '!$E$8:$K$117</definedName>
    <definedName name="_xlnm.Print_Area" localSheetId="3">'GS D&amp;AB NZv1.1'!$E$8:$K$116</definedName>
    <definedName name="_xlnm.Print_Area" localSheetId="5">'GS Interiors NZ v1.0'!$E$28:$I$50</definedName>
    <definedName name="_xlnm.Print_Area" localSheetId="6">'GS Interiors NZ v1.1'!$E$26:$I$48</definedName>
    <definedName name="_xlnm.Print_Area" localSheetId="9">'GS Performance v1.2'!#REF!</definedName>
    <definedName name="_xlnm.Print_Area" localSheetId="7">Interiors!$E$29:$I$51</definedName>
    <definedName name="_xlnm.Print_Area" localSheetId="18">'Retail Centre v1'!$A$6:$L$84</definedName>
    <definedName name="proposedscope" localSheetId="11">#REF!</definedName>
    <definedName name="proposedscope" localSheetId="0">#REF!</definedName>
    <definedName name="proposedscope">#REF!</definedName>
    <definedName name="PWC_BUILDING_INPUT__AREAS_AND_OPERATION" localSheetId="11">#REF!</definedName>
    <definedName name="PWC_BUILDING_INPUT__AREAS_AND_OPERATION" localSheetId="0">#REF!</definedName>
    <definedName name="PWC_BUILDING_INPUT__AREAS_AND_OPERATION">#REF!</definedName>
    <definedName name="PWC_CLIMATE_DATA" localSheetId="11">#REF!</definedName>
    <definedName name="PWC_CLIMATE_DATA" localSheetId="0">#REF!</definedName>
    <definedName name="PWC_CLIMATE_DATA">#REF!</definedName>
    <definedName name="PWC_GREYWATER_AND_BLACKWATER_COLLECTION" localSheetId="11">#REF!</definedName>
    <definedName name="PWC_GREYWATER_AND_BLACKWATER_COLLECTION" localSheetId="0">#REF!</definedName>
    <definedName name="PWC_GREYWATER_AND_BLACKWATER_COLLECTION">#REF!</definedName>
    <definedName name="PWC_OFF_SITE_SUPPLY_OF_RECLAIMED_WATER" localSheetId="11">#REF!</definedName>
    <definedName name="PWC_OFF_SITE_SUPPLY_OF_RECLAIMED_WATER" localSheetId="0">#REF!</definedName>
    <definedName name="PWC_OFF_SITE_SUPPLY_OF_RECLAIMED_WATER">#REF!</definedName>
    <definedName name="PWC_Outputs_for_GHG_Emissions_Modelling" localSheetId="11">#REF!</definedName>
    <definedName name="PWC_Outputs_for_GHG_Emissions_Modelling" localSheetId="0">#REF!</definedName>
    <definedName name="PWC_Outputs_for_GHG_Emissions_Modelling">#REF!</definedName>
    <definedName name="PWC_RAINWATER_SUPPLY" localSheetId="11">#REF!</definedName>
    <definedName name="PWC_RAINWATER_SUPPLY" localSheetId="0">#REF!</definedName>
    <definedName name="PWC_RAINWATER_SUPPLY">#REF!</definedName>
    <definedName name="PWC_RECLAIMED_WATER_USE" localSheetId="11">#REF!</definedName>
    <definedName name="PWC_RECLAIMED_WATER_USE" localSheetId="0">#REF!</definedName>
    <definedName name="PWC_RECLAIMED_WATER_USE">#REF!</definedName>
    <definedName name="PWC_RESULTS" localSheetId="11">#REF!</definedName>
    <definedName name="PWC_RESULTS" localSheetId="0">#REF!</definedName>
    <definedName name="PWC_RESULTS">#REF!</definedName>
    <definedName name="PWC_STORMWATER_COLLECTION" localSheetId="11">#REF!</definedName>
    <definedName name="PWC_STORMWATER_COLLECTION" localSheetId="0">#REF!</definedName>
    <definedName name="PWC_STORMWATER_COLLECTION">#REF!</definedName>
    <definedName name="PWC_SUMMARY_OF_WATER_DEMAND" localSheetId="11">#REF!</definedName>
    <definedName name="PWC_SUMMARY_OF_WATER_DEMAND" localSheetId="0">#REF!</definedName>
    <definedName name="PWC_SUMMARY_OF_WATER_DEMAND">#REF!</definedName>
    <definedName name="PWC_WATER_DEMAND_DUE_TO_FITTINGS" localSheetId="11">#REF!</definedName>
    <definedName name="PWC_WATER_DEMAND_DUE_TO_FITTINGS" localSheetId="0">#REF!</definedName>
    <definedName name="PWC_WATER_DEMAND_DUE_TO_FITTINGS">#REF!</definedName>
    <definedName name="PWC_WATER_DEMAND_FROM_HEAT_REJECTION" localSheetId="11">#REF!</definedName>
    <definedName name="PWC_WATER_DEMAND_FROM_HEAT_REJECTION" localSheetId="0">#REF!</definedName>
    <definedName name="PWC_WATER_DEMAND_FROM_HEAT_REJECTION">#REF!</definedName>
    <definedName name="PWC_WATER_DEMAND_FROM_LANDSCAPE_IRRIGATION" localSheetId="11">#REF!</definedName>
    <definedName name="PWC_WATER_DEMAND_FROM_LANDSCAPE_IRRIGATION" localSheetId="0">#REF!</definedName>
    <definedName name="PWC_WATER_DEMAND_FROM_LANDSCAPE_IRRIGATION">#REF!</definedName>
    <definedName name="reclaimed_water" localSheetId="11">#REF!</definedName>
    <definedName name="reclaimed_water" localSheetId="0">#REF!</definedName>
    <definedName name="reclaimed_water">#REF!</definedName>
    <definedName name="results" localSheetId="11">#REF!</definedName>
    <definedName name="results" localSheetId="0">#REF!</definedName>
    <definedName name="results">#REF!</definedName>
    <definedName name="rw_greyblackw_collection" localSheetId="11">#REF!</definedName>
    <definedName name="rw_greyblackw_collection" localSheetId="0">#REF!</definedName>
    <definedName name="rw_greyblackw_collection">#REF!</definedName>
    <definedName name="rw_offsite_supply" localSheetId="11">#REF!</definedName>
    <definedName name="rw_offsite_supply" localSheetId="0">#REF!</definedName>
    <definedName name="rw_offsite_supply">#REF!</definedName>
    <definedName name="rw_stormwater_collection" localSheetId="11">#REF!</definedName>
    <definedName name="rw_stormwater_collection" localSheetId="0">#REF!</definedName>
    <definedName name="rw_stormwater_collection">#REF!</definedName>
    <definedName name="rw_wateruse" localSheetId="11">#REF!</definedName>
    <definedName name="rw_wateruse" localSheetId="0">#REF!</definedName>
    <definedName name="rw_wateruse">#REF!</definedName>
    <definedName name="scopehidden" localSheetId="11">#REF!</definedName>
    <definedName name="scopehidden" localSheetId="0">#REF!</definedName>
    <definedName name="scopehidden">#REF!</definedName>
    <definedName name="VITMZone" localSheetId="11">[1]Inputs!$I$5</definedName>
    <definedName name="VITMZone" localSheetId="4">[1]Inputs!$I$5</definedName>
    <definedName name="VITMZone" localSheetId="8">[1]Inputs!$I$5</definedName>
    <definedName name="VITMZone">[1]Inputs!$I$5</definedName>
    <definedName name="water_demand" localSheetId="11">#REF!</definedName>
    <definedName name="water_demand" localSheetId="0">#REF!</definedName>
    <definedName name="water_demand">#REF!</definedName>
    <definedName name="watercalcindexcode" localSheetId="11">#REF!</definedName>
    <definedName name="watercalcindexcode" localSheetId="0">#REF!</definedName>
    <definedName name="watercalcindexcode">#REF!</definedName>
    <definedName name="wd_clothes" localSheetId="11">#REF!</definedName>
    <definedName name="wd_clothes" localSheetId="0">#REF!</definedName>
    <definedName name="wd_clothes">#REF!</definedName>
    <definedName name="wd_fixtures_fittings" localSheetId="11">#REF!</definedName>
    <definedName name="wd_fixtures_fittings" localSheetId="0">#REF!</definedName>
    <definedName name="wd_fixtures_fittings">#REF!</definedName>
    <definedName name="wd_heat_rejection" localSheetId="11">#REF!</definedName>
    <definedName name="wd_heat_rejection" localSheetId="0">#REF!</definedName>
    <definedName name="wd_heat_rejection">#REF!</definedName>
    <definedName name="wd_summary" localSheetId="11">#REF!</definedName>
    <definedName name="wd_summary" localSheetId="0">#REF!</definedName>
    <definedName name="wd_summary">#REF!</definedName>
    <definedName name="WhiteSpace" localSheetId="11">#REF!,#REF!</definedName>
    <definedName name="WhiteSpace" localSheetId="4">#REF!,#REF!</definedName>
    <definedName name="WhiteSpace" localSheetId="8">#REF!,#REF!</definedName>
    <definedName name="WhiteSpace" localSheetId="2">#REF!,#REF!</definedName>
    <definedName name="WhiteSpace" localSheetId="3">#REF!,#REF!</definedName>
    <definedName name="WhiteSpace" localSheetId="5">#REF!,#REF!</definedName>
    <definedName name="WhiteSpace" localSheetId="6">#REF!,#REF!</definedName>
    <definedName name="WhiteSpace" localSheetId="9">#REF!,#REF!</definedName>
    <definedName name="WhiteSpace" localSheetId="0">#REF!,#REF!</definedName>
    <definedName name="WhiteSpace" localSheetId="7">#REF!,#REF!</definedName>
    <definedName name="WhiteSpace">#REF!,#REF!</definedName>
    <definedName name="yes" localSheetId="11">#REF!</definedName>
    <definedName name="yes" localSheetId="4">#REF!</definedName>
    <definedName name="yes" localSheetId="8">#REF!</definedName>
    <definedName name="yes" localSheetId="2">#REF!</definedName>
    <definedName name="yes" localSheetId="3">#REF!</definedName>
    <definedName name="yes" localSheetId="5">#REF!</definedName>
    <definedName name="yes" localSheetId="6">#REF!</definedName>
    <definedName name="yes" localSheetId="9">#REF!</definedName>
    <definedName name="yes" localSheetId="0">#REF!</definedName>
    <definedName name="yes" localSheetId="7">#REF!</definedName>
    <definedName name="yes">#REF!</definedName>
    <definedName name="Z_2ED91B50_D126_4494_B9B8_889B5F8EA715_.wvu.Cols" localSheetId="7" hidden="1">Interiors!$A:$B,Interiors!$R:$Y</definedName>
    <definedName name="Z_2ED91B50_D126_4494_B9B8_889B5F8EA715_.wvu.PrintArea" localSheetId="7" hidden="1">Interiors!$E$29:$I$51</definedName>
    <definedName name="Z_2ED91B50_D126_4494_B9B8_889B5F8EA715_.wvu.PrintArea" localSheetId="18" hidden="1">'Retail Centre v1'!$A$6:$L$84</definedName>
    <definedName name="Z_2ED91B50_D126_4494_B9B8_889B5F8EA715_.wvu.Rows" localSheetId="7" hidden="1">Interiors!$126:$130</definedName>
    <definedName name="Z_5013EB9C_19BB_466B_9CDC_5A3743C1EB5F_.wvu.Cols" localSheetId="5" hidden="1">'GS Interiors NZ v1.0'!$A:$B,'GS Interiors NZ v1.0'!#REF!,'GS Interiors NZ v1.0'!$M:$O</definedName>
    <definedName name="Z_5013EB9C_19BB_466B_9CDC_5A3743C1EB5F_.wvu.Cols" localSheetId="6" hidden="1">'GS Interiors NZ v1.1'!$A:$B,'GS Interiors NZ v1.1'!#REF!,'GS Interiors NZ v1.1'!$M:$O</definedName>
    <definedName name="Z_5013EB9C_19BB_466B_9CDC_5A3743C1EB5F_.wvu.PrintArea" localSheetId="5" hidden="1">'GS Interiors NZ v1.0'!$E$28:$I$50</definedName>
    <definedName name="Z_5013EB9C_19BB_466B_9CDC_5A3743C1EB5F_.wvu.PrintArea" localSheetId="6" hidden="1">'GS Interiors NZ v1.1'!$E$26:$I$48</definedName>
    <definedName name="Z_5013EB9C_19BB_466B_9CDC_5A3743C1EB5F_.wvu.Rows" localSheetId="5" hidden="1">'GS Interiors NZ v1.0'!$130:$135</definedName>
    <definedName name="Z_5013EB9C_19BB_466B_9CDC_5A3743C1EB5F_.wvu.Rows" localSheetId="6" hidden="1">'GS Interiors NZ v1.1'!$122:$127</definedName>
    <definedName name="Z_CEACA748_A46A_4C8B_98CF_30E51B671B84_.wvu.Cols" localSheetId="11" hidden="1">'Communities PILOT'!$A:$D,'Communities PILOT'!$H:$H,'Communities PILOT'!$P:$Q,'Communities PILOT'!$S:$W</definedName>
    <definedName name="Z_CEACA748_A46A_4C8B_98CF_30E51B671B84_.wvu.Cols" localSheetId="19" hidden="1">'Credit Map'!$F:$I,'Credit Map'!$K:$K,'Credit Map'!$M:$M,'Credit Map'!$O:$O,'Credit Map'!$Q:$T,'Credit Map'!$V:$V,'Credit Map'!$X:$X,'Credit Map'!$Z:$Z,'Credit Map'!$AB:$AB,'Credit Map'!$AD:$AD</definedName>
    <definedName name="Z_CEACA748_A46A_4C8B_98CF_30E51B671B84_.wvu.Cols" localSheetId="4" hidden="1">'Design &amp; As Built'!$A:$D,'Design &amp; As Built'!$M:$P,'Design &amp; As Built'!$T:$U,'Design &amp; As Built'!$W:$Z</definedName>
    <definedName name="Z_CEACA748_A46A_4C8B_98CF_30E51B671B84_.wvu.Cols" localSheetId="14" hidden="1">'Education v1'!$K:$L,'Education v1'!$N:$Q,'Education v1'!$S:$AB</definedName>
    <definedName name="Z_CEACA748_A46A_4C8B_98CF_30E51B671B84_.wvu.Cols" localSheetId="8" hidden="1">'GS Communities v1.1'!$A:$D,'GS Communities v1.1'!$P:$Q,'GS Communities v1.1'!$S:$X</definedName>
    <definedName name="Z_CEACA748_A46A_4C8B_98CF_30E51B671B84_.wvu.Cols" localSheetId="9" hidden="1">'GS Performance v1.2'!$A:$D,'GS Performance v1.2'!$I:$I,'GS Performance v1.2'!$Q:$R,'GS Performance v1.2'!$T:$X</definedName>
    <definedName name="Z_CEACA748_A46A_4C8B_98CF_30E51B671B84_.wvu.Cols" localSheetId="12" hidden="1">'Healthcare v1'!$K:$L,'Healthcare v1'!$N:$Q,'Healthcare v1'!$S:$AB</definedName>
    <definedName name="Z_CEACA748_A46A_4C8B_98CF_30E51B671B84_.wvu.Cols" localSheetId="15" hidden="1">'Industrial v1'!$K:$L,'Industrial v1'!$N:$Q,'Industrial v1'!$S:$AB</definedName>
    <definedName name="Z_CEACA748_A46A_4C8B_98CF_30E51B671B84_.wvu.Cols" localSheetId="7" hidden="1">Interiors!$A:$B,Interiors!$O:$P</definedName>
    <definedName name="Z_CEACA748_A46A_4C8B_98CF_30E51B671B84_.wvu.Cols" localSheetId="10" hidden="1">'Interiors PILOT'!$J:$K,'Interiors PILOT'!$M:$N</definedName>
    <definedName name="Z_CEACA748_A46A_4C8B_98CF_30E51B671B84_.wvu.Cols" localSheetId="16" hidden="1">'MURT v1'!$K:$L,'MURT v1'!$N:$AB</definedName>
    <definedName name="Z_CEACA748_A46A_4C8B_98CF_30E51B671B84_.wvu.Cols" localSheetId="13" hidden="1">Office!$K:$L,Office!$N:$S,Office!$U:$AD</definedName>
    <definedName name="Z_CEACA748_A46A_4C8B_98CF_30E51B671B84_.wvu.Cols" localSheetId="17" hidden="1">'Public Building v1'!$J:$K,'Public Building v1'!$M:$P,'Public Building v1'!$R:$AA</definedName>
    <definedName name="Z_CEACA748_A46A_4C8B_98CF_30E51B671B84_.wvu.Cols" localSheetId="18" hidden="1">'Retail Centre v1'!$K:$L,'Retail Centre v1'!$N:$Q,'Retail Centre v1'!$S:$AB</definedName>
    <definedName name="Z_CEACA748_A46A_4C8B_98CF_30E51B671B84_.wvu.FilterData" localSheetId="1" hidden="1">'Change Log'!$B$20:$K$90</definedName>
    <definedName name="Z_CEACA748_A46A_4C8B_98CF_30E51B671B84_.wvu.FilterData" localSheetId="19" hidden="1">'Credit Map'!$A$1:$AE$2157</definedName>
    <definedName name="Z_CEACA748_A46A_4C8B_98CF_30E51B671B84_.wvu.FilterData" localSheetId="4" hidden="1">'Design &amp; As Built'!$T$7:$U$7</definedName>
    <definedName name="Z_CEACA748_A46A_4C8B_98CF_30E51B671B84_.wvu.PrintArea" localSheetId="11" hidden="1">'Communities PILOT'!$F$27:$J$34</definedName>
    <definedName name="Z_CEACA748_A46A_4C8B_98CF_30E51B671B84_.wvu.PrintArea" localSheetId="4" hidden="1">'Design &amp; As Built'!$F$30:$J$48</definedName>
    <definedName name="Z_CEACA748_A46A_4C8B_98CF_30E51B671B84_.wvu.PrintArea" localSheetId="8" hidden="1">'GS Communities v1.1'!$F$26:$J$45</definedName>
    <definedName name="Z_CEACA748_A46A_4C8B_98CF_30E51B671B84_.wvu.PrintArea" localSheetId="7" hidden="1">Interiors!$E$29:$I$51</definedName>
    <definedName name="Z_CEACA748_A46A_4C8B_98CF_30E51B671B84_.wvu.PrintArea" localSheetId="18" hidden="1">'Retail Centre v1'!$A$6:$L$84</definedName>
    <definedName name="Z_CEACA748_A46A_4C8B_98CF_30E51B671B84_.wvu.Rows" localSheetId="11" hidden="1">'Communities PILOT'!$113:$120</definedName>
    <definedName name="Z_CEACA748_A46A_4C8B_98CF_30E51B671B84_.wvu.Rows" localSheetId="8" hidden="1">'GS Communities v1.1'!$103:$110</definedName>
    <definedName name="Z_CEACA748_A46A_4C8B_98CF_30E51B671B84_.wvu.Rows" localSheetId="9" hidden="1">'GS Performance v1.2'!$110:$115</definedName>
    <definedName name="Z_CEACA748_A46A_4C8B_98CF_30E51B671B84_.wvu.Rows" localSheetId="7" hidden="1">Interiors!$126:$131</definedName>
  </definedNames>
  <calcPr calcId="191028"/>
  <customWorkbookViews>
    <customWorkbookView name="Edwin Chu - Personal View" guid="{CEACA748-A46A-4C8B-98CF-30E51B671B84}" mergeInterval="0" personalView="1" maximized="1" xWindow="-8" yWindow="-8" windowWidth="1936" windowHeight="1176" tabRatio="872" activeSheetId="2"/>
    <customWorkbookView name="Simon Ng - Personal View" guid="{2ED91B50-D126-4494-B9B8-889B5F8EA715}" mergeInterval="0" personalView="1" maximized="1" xWindow="-8" yWindow="-8" windowWidth="1296" windowHeight="776" tabRatio="73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6" i="19" l="1"/>
  <c r="J76" i="19"/>
  <c r="J75" i="19"/>
  <c r="J62" i="19" l="1"/>
  <c r="J61" i="19"/>
  <c r="J60" i="19"/>
  <c r="J59" i="19"/>
  <c r="J58" i="19"/>
  <c r="B60" i="19"/>
  <c r="B59" i="19"/>
  <c r="J54" i="20" l="1"/>
  <c r="I54" i="20"/>
  <c r="P51" i="20"/>
  <c r="Q51" i="20"/>
  <c r="P58" i="20"/>
  <c r="Q58" i="20"/>
  <c r="A59" i="20"/>
  <c r="I59" i="20"/>
  <c r="I56" i="20" s="1"/>
  <c r="P59" i="20"/>
  <c r="Q59" i="20"/>
  <c r="I131" i="20" l="1"/>
  <c r="J131" i="20" s="1"/>
  <c r="I130" i="20"/>
  <c r="J130" i="20" s="1"/>
  <c r="I129" i="20"/>
  <c r="J129" i="20" s="1"/>
  <c r="I126" i="20"/>
  <c r="J126" i="20" s="1"/>
  <c r="I125" i="20"/>
  <c r="J125" i="20" s="1"/>
  <c r="J124" i="20"/>
  <c r="J116" i="20"/>
  <c r="J103" i="20"/>
  <c r="K103" i="20" s="1"/>
  <c r="I103" i="20"/>
  <c r="Q102" i="20"/>
  <c r="P102" i="20"/>
  <c r="Q101" i="20"/>
  <c r="P101" i="20"/>
  <c r="Q100" i="20"/>
  <c r="P100" i="20"/>
  <c r="Q99" i="20"/>
  <c r="P99" i="20"/>
  <c r="Q98" i="20"/>
  <c r="P98" i="20"/>
  <c r="K98" i="20"/>
  <c r="J95" i="20"/>
  <c r="Q94" i="20"/>
  <c r="P94" i="20"/>
  <c r="I94" i="20"/>
  <c r="A94" i="20"/>
  <c r="Q93" i="20"/>
  <c r="P93" i="20"/>
  <c r="I93" i="20"/>
  <c r="A93" i="20"/>
  <c r="Q92" i="20"/>
  <c r="P92" i="20"/>
  <c r="K92" i="20"/>
  <c r="I92" i="20"/>
  <c r="A92" i="20"/>
  <c r="Q91" i="20"/>
  <c r="P91" i="20"/>
  <c r="J88" i="20"/>
  <c r="I88" i="20"/>
  <c r="Q87" i="20"/>
  <c r="P87" i="20"/>
  <c r="Q86" i="20"/>
  <c r="P86" i="20"/>
  <c r="Q85" i="20"/>
  <c r="P85" i="20"/>
  <c r="Q84" i="20"/>
  <c r="P84" i="20"/>
  <c r="K84" i="20"/>
  <c r="I83" i="20"/>
  <c r="J81" i="20"/>
  <c r="I80" i="20"/>
  <c r="Q79" i="20"/>
  <c r="P79" i="20"/>
  <c r="K79" i="20"/>
  <c r="I79" i="20"/>
  <c r="Q78" i="20"/>
  <c r="P78" i="20"/>
  <c r="Q77" i="20"/>
  <c r="P77" i="20"/>
  <c r="Q76" i="20"/>
  <c r="P76" i="20"/>
  <c r="I76" i="20"/>
  <c r="A76" i="20"/>
  <c r="Q75" i="20"/>
  <c r="P75" i="20"/>
  <c r="I75" i="20"/>
  <c r="A75" i="20"/>
  <c r="I74" i="20"/>
  <c r="I73" i="20"/>
  <c r="J70" i="20"/>
  <c r="Q69" i="20"/>
  <c r="P69" i="20"/>
  <c r="I69" i="20"/>
  <c r="Q68" i="20"/>
  <c r="P68" i="20"/>
  <c r="I68" i="20"/>
  <c r="A68" i="20"/>
  <c r="Q67" i="20"/>
  <c r="P67" i="20"/>
  <c r="I67" i="20"/>
  <c r="A67" i="20"/>
  <c r="Q66" i="20"/>
  <c r="P66" i="20"/>
  <c r="I66" i="20"/>
  <c r="A66" i="20"/>
  <c r="Q65" i="20"/>
  <c r="P65" i="20"/>
  <c r="I65" i="20"/>
  <c r="J62" i="20"/>
  <c r="Q61" i="20"/>
  <c r="P61" i="20"/>
  <c r="Q60" i="20"/>
  <c r="P60" i="20"/>
  <c r="I62" i="20"/>
  <c r="J48" i="20"/>
  <c r="Q47" i="20"/>
  <c r="P47" i="20"/>
  <c r="Q46" i="20"/>
  <c r="P46" i="20"/>
  <c r="I46" i="20"/>
  <c r="Q45" i="20"/>
  <c r="P45" i="20"/>
  <c r="I45" i="20"/>
  <c r="Q44" i="20"/>
  <c r="P44" i="20"/>
  <c r="I44" i="20"/>
  <c r="A44" i="20"/>
  <c r="Q43" i="20"/>
  <c r="P43" i="20"/>
  <c r="Q42" i="20"/>
  <c r="P42" i="20"/>
  <c r="I42" i="20"/>
  <c r="A42" i="20"/>
  <c r="Q41" i="20"/>
  <c r="P41" i="20"/>
  <c r="I41" i="20"/>
  <c r="A41" i="20"/>
  <c r="Q40" i="20"/>
  <c r="P40" i="20"/>
  <c r="I40" i="20"/>
  <c r="A40" i="20"/>
  <c r="Q39" i="20"/>
  <c r="P39" i="20"/>
  <c r="K39" i="20"/>
  <c r="I39" i="20"/>
  <c r="A39" i="20"/>
  <c r="Q38" i="20"/>
  <c r="P38" i="20"/>
  <c r="K38" i="20"/>
  <c r="I38" i="20"/>
  <c r="A38" i="20"/>
  <c r="Q37" i="20"/>
  <c r="P37" i="20"/>
  <c r="Q36" i="20"/>
  <c r="P36" i="20"/>
  <c r="K36" i="20"/>
  <c r="I36" i="20"/>
  <c r="A36" i="20"/>
  <c r="Q35" i="20"/>
  <c r="P35" i="20"/>
  <c r="K35" i="20"/>
  <c r="I35" i="20"/>
  <c r="A35" i="20"/>
  <c r="Q34" i="20"/>
  <c r="P34" i="20"/>
  <c r="K34" i="20"/>
  <c r="I34" i="20"/>
  <c r="A34" i="20"/>
  <c r="Q33" i="20"/>
  <c r="P33" i="20"/>
  <c r="Q32" i="20"/>
  <c r="P32" i="20"/>
  <c r="I32" i="20"/>
  <c r="A32" i="20"/>
  <c r="Q31" i="20"/>
  <c r="P31" i="20"/>
  <c r="I31" i="20"/>
  <c r="A31" i="20"/>
  <c r="Q30" i="20"/>
  <c r="P30" i="20"/>
  <c r="I30" i="20"/>
  <c r="A30" i="20"/>
  <c r="Q29" i="20"/>
  <c r="P29" i="20"/>
  <c r="I29" i="20"/>
  <c r="A29" i="20"/>
  <c r="Q28" i="20"/>
  <c r="P28" i="20"/>
  <c r="I28" i="20"/>
  <c r="A28" i="20"/>
  <c r="Q27" i="20"/>
  <c r="P27" i="20"/>
  <c r="I27" i="20"/>
  <c r="A27" i="20"/>
  <c r="J24" i="20"/>
  <c r="Q23" i="20"/>
  <c r="P23" i="20"/>
  <c r="I23" i="20"/>
  <c r="Q22" i="20"/>
  <c r="P22" i="20"/>
  <c r="I22" i="20"/>
  <c r="Q21" i="20"/>
  <c r="P21" i="20"/>
  <c r="K21" i="20"/>
  <c r="Q20" i="20"/>
  <c r="P20" i="20"/>
  <c r="K20" i="20"/>
  <c r="Q19" i="20"/>
  <c r="P19" i="20"/>
  <c r="Q18" i="20"/>
  <c r="P18" i="20"/>
  <c r="K18" i="20"/>
  <c r="Q17" i="20"/>
  <c r="P17" i="20"/>
  <c r="Q16" i="20"/>
  <c r="P16" i="20"/>
  <c r="Q15" i="20"/>
  <c r="P15" i="20"/>
  <c r="M106" i="20" s="1"/>
  <c r="J118" i="20" s="1"/>
  <c r="Q14" i="20"/>
  <c r="P14" i="20"/>
  <c r="Q13" i="20"/>
  <c r="P13" i="20"/>
  <c r="Q12" i="20"/>
  <c r="P12" i="20"/>
  <c r="K12" i="20"/>
  <c r="Q11" i="20"/>
  <c r="P11" i="20"/>
  <c r="K11" i="20"/>
  <c r="Q10" i="20"/>
  <c r="P10" i="20"/>
  <c r="Q9" i="20"/>
  <c r="P9" i="20"/>
  <c r="J69" i="19"/>
  <c r="J66" i="19"/>
  <c r="J53" i="19"/>
  <c r="J52" i="19"/>
  <c r="J138" i="19"/>
  <c r="K138" i="19" s="1"/>
  <c r="J137" i="19"/>
  <c r="K137" i="19" s="1"/>
  <c r="J136" i="19"/>
  <c r="K136" i="19" s="1"/>
  <c r="J133" i="19"/>
  <c r="K133" i="19" s="1"/>
  <c r="J132" i="19"/>
  <c r="K132" i="19" s="1"/>
  <c r="K131" i="19"/>
  <c r="K123" i="19"/>
  <c r="K110" i="19"/>
  <c r="K115" i="19" s="1"/>
  <c r="J110" i="19"/>
  <c r="Q109" i="19"/>
  <c r="P109" i="19"/>
  <c r="Q108" i="19"/>
  <c r="P108" i="19"/>
  <c r="Q107" i="19"/>
  <c r="P107" i="19"/>
  <c r="Q106" i="19"/>
  <c r="P106" i="19"/>
  <c r="Q105" i="19"/>
  <c r="P105" i="19"/>
  <c r="K102" i="19"/>
  <c r="J102" i="19"/>
  <c r="Q101" i="19"/>
  <c r="P101" i="19"/>
  <c r="Q100" i="19"/>
  <c r="P100" i="19"/>
  <c r="Q99" i="19"/>
  <c r="P99" i="19"/>
  <c r="L99" i="19"/>
  <c r="Q98" i="19"/>
  <c r="P98" i="19"/>
  <c r="Q97" i="19"/>
  <c r="P97" i="19"/>
  <c r="Q96" i="19"/>
  <c r="P96" i="19"/>
  <c r="J95" i="19"/>
  <c r="K93" i="19"/>
  <c r="Q92" i="19"/>
  <c r="P92" i="19"/>
  <c r="L92" i="19"/>
  <c r="J92" i="19"/>
  <c r="J93" i="19" s="1"/>
  <c r="B92" i="19"/>
  <c r="J88" i="19" s="1"/>
  <c r="Q91" i="19"/>
  <c r="P91" i="19"/>
  <c r="L91" i="19"/>
  <c r="Q90" i="19"/>
  <c r="P90" i="19"/>
  <c r="Q89" i="19"/>
  <c r="P89" i="19"/>
  <c r="K86" i="19"/>
  <c r="Q85" i="19"/>
  <c r="P85" i="19"/>
  <c r="J85" i="19"/>
  <c r="Q84" i="19"/>
  <c r="P84" i="19"/>
  <c r="J84" i="19"/>
  <c r="Q82" i="19"/>
  <c r="P82" i="19"/>
  <c r="Q81" i="19"/>
  <c r="P81" i="19"/>
  <c r="J81" i="19"/>
  <c r="B81" i="19"/>
  <c r="Q80" i="19"/>
  <c r="P80" i="19"/>
  <c r="J80" i="19"/>
  <c r="B80" i="19"/>
  <c r="Q79" i="19"/>
  <c r="P79" i="19"/>
  <c r="J79" i="19"/>
  <c r="B79" i="19"/>
  <c r="Q78" i="19"/>
  <c r="P78" i="19"/>
  <c r="L78" i="19"/>
  <c r="Q76" i="19"/>
  <c r="P76" i="19"/>
  <c r="L76" i="19"/>
  <c r="Q75" i="19"/>
  <c r="P75" i="19"/>
  <c r="K72" i="19"/>
  <c r="Q71" i="19"/>
  <c r="P71" i="19"/>
  <c r="J71" i="19"/>
  <c r="B71" i="19"/>
  <c r="Q70" i="19"/>
  <c r="P70" i="19"/>
  <c r="J70" i="19"/>
  <c r="B70" i="19"/>
  <c r="Q69" i="19"/>
  <c r="P69" i="19"/>
  <c r="Q68" i="19"/>
  <c r="P68" i="19"/>
  <c r="J68" i="19"/>
  <c r="Q67" i="19"/>
  <c r="P67" i="19"/>
  <c r="J67" i="19"/>
  <c r="Q66" i="19"/>
  <c r="P66" i="19"/>
  <c r="K63" i="19"/>
  <c r="Q62" i="19"/>
  <c r="P62" i="19"/>
  <c r="Q60" i="19"/>
  <c r="P60" i="19"/>
  <c r="Q59" i="19"/>
  <c r="P59" i="19"/>
  <c r="Q58" i="19"/>
  <c r="P58" i="19"/>
  <c r="Q57" i="19"/>
  <c r="P57" i="19"/>
  <c r="K54" i="19"/>
  <c r="Q53" i="19"/>
  <c r="P53" i="19"/>
  <c r="Q52" i="19"/>
  <c r="P52" i="19"/>
  <c r="Q51" i="19"/>
  <c r="P51" i="19"/>
  <c r="L51" i="19"/>
  <c r="Q50" i="19"/>
  <c r="P50" i="19"/>
  <c r="J49" i="19"/>
  <c r="K47" i="19"/>
  <c r="Q46" i="19"/>
  <c r="P46" i="19"/>
  <c r="J46" i="19"/>
  <c r="B46" i="19"/>
  <c r="Q45" i="19"/>
  <c r="P45" i="19"/>
  <c r="J45" i="19"/>
  <c r="B45" i="19"/>
  <c r="Q44" i="19"/>
  <c r="P44" i="19"/>
  <c r="J44" i="19"/>
  <c r="B44" i="19"/>
  <c r="Q43" i="19"/>
  <c r="P43" i="19"/>
  <c r="J43" i="19"/>
  <c r="B43" i="19"/>
  <c r="Q42" i="19"/>
  <c r="P42" i="19"/>
  <c r="L42" i="19"/>
  <c r="J42" i="19"/>
  <c r="B42" i="19"/>
  <c r="Q41" i="19"/>
  <c r="P41" i="19"/>
  <c r="L41" i="19"/>
  <c r="J41" i="19"/>
  <c r="B41" i="19"/>
  <c r="Q40" i="19"/>
  <c r="P40" i="19"/>
  <c r="Q39" i="19"/>
  <c r="P39" i="19"/>
  <c r="L39" i="19"/>
  <c r="J39" i="19"/>
  <c r="B39" i="19"/>
  <c r="Q38" i="19"/>
  <c r="P38" i="19"/>
  <c r="L38" i="19"/>
  <c r="J38" i="19"/>
  <c r="B38" i="19"/>
  <c r="Q37" i="19"/>
  <c r="P37" i="19"/>
  <c r="L37" i="19"/>
  <c r="J37" i="19"/>
  <c r="B37" i="19"/>
  <c r="Q36" i="19"/>
  <c r="P36" i="19"/>
  <c r="Q35" i="19"/>
  <c r="P35" i="19"/>
  <c r="J35" i="19"/>
  <c r="B35" i="19"/>
  <c r="Q34" i="19"/>
  <c r="P34" i="19"/>
  <c r="J34" i="19"/>
  <c r="B34" i="19"/>
  <c r="Q33" i="19"/>
  <c r="P33" i="19"/>
  <c r="J33" i="19"/>
  <c r="B33" i="19"/>
  <c r="Q32" i="19"/>
  <c r="P32" i="19"/>
  <c r="J32" i="19"/>
  <c r="B32" i="19"/>
  <c r="Q31" i="19"/>
  <c r="P31" i="19"/>
  <c r="J31" i="19"/>
  <c r="B31" i="19"/>
  <c r="Q30" i="19"/>
  <c r="P30" i="19"/>
  <c r="J30" i="19"/>
  <c r="B30" i="19"/>
  <c r="K27" i="19"/>
  <c r="Q26" i="19"/>
  <c r="P26" i="19"/>
  <c r="L26" i="19"/>
  <c r="J26" i="19"/>
  <c r="Q25" i="19"/>
  <c r="P25" i="19"/>
  <c r="L25" i="19"/>
  <c r="J25" i="19"/>
  <c r="Q24" i="19"/>
  <c r="P24" i="19"/>
  <c r="L24" i="19"/>
  <c r="Q23" i="19"/>
  <c r="P23" i="19"/>
  <c r="L23" i="19"/>
  <c r="Q22" i="19"/>
  <c r="P22" i="19"/>
  <c r="Q21" i="19"/>
  <c r="P21" i="19"/>
  <c r="L21" i="19"/>
  <c r="Q20" i="19"/>
  <c r="P20" i="19"/>
  <c r="Q19" i="19"/>
  <c r="P19" i="19"/>
  <c r="Q18" i="19"/>
  <c r="P18" i="19"/>
  <c r="Q17" i="19"/>
  <c r="P17" i="19"/>
  <c r="Q16" i="19"/>
  <c r="P16" i="19"/>
  <c r="Q14" i="19"/>
  <c r="P14" i="19"/>
  <c r="Q13" i="19"/>
  <c r="P13" i="19"/>
  <c r="L13" i="19"/>
  <c r="Q12" i="19"/>
  <c r="P12" i="19"/>
  <c r="L12" i="19"/>
  <c r="Q11" i="19"/>
  <c r="P11" i="19"/>
  <c r="Q10" i="19"/>
  <c r="P10" i="19"/>
  <c r="J9" i="19"/>
  <c r="Q110" i="18"/>
  <c r="P110" i="18"/>
  <c r="Q109" i="18"/>
  <c r="P109" i="18"/>
  <c r="Q108" i="18"/>
  <c r="P108" i="18"/>
  <c r="Q107" i="18"/>
  <c r="P107" i="18"/>
  <c r="Q106" i="18"/>
  <c r="P106" i="18"/>
  <c r="Q102" i="18"/>
  <c r="P102" i="18"/>
  <c r="Q101" i="18"/>
  <c r="P101" i="18"/>
  <c r="Q100" i="18"/>
  <c r="P100" i="18"/>
  <c r="Q99" i="18"/>
  <c r="P99" i="18"/>
  <c r="Q95" i="18"/>
  <c r="P95" i="18"/>
  <c r="Q94" i="18"/>
  <c r="P94" i="18"/>
  <c r="Q93" i="18"/>
  <c r="P93" i="18"/>
  <c r="Q92" i="18"/>
  <c r="P92" i="18"/>
  <c r="Q87" i="18"/>
  <c r="P87" i="18"/>
  <c r="Q86" i="18"/>
  <c r="P86" i="18"/>
  <c r="Q85" i="18"/>
  <c r="P85" i="18"/>
  <c r="Q84" i="18"/>
  <c r="P84" i="18"/>
  <c r="Q83" i="18"/>
  <c r="P83" i="18"/>
  <c r="Q77" i="18"/>
  <c r="P77" i="18"/>
  <c r="Q76" i="18"/>
  <c r="P76" i="18"/>
  <c r="Q75" i="18"/>
  <c r="P75" i="18"/>
  <c r="Q74" i="18"/>
  <c r="P74" i="18"/>
  <c r="Q73" i="18"/>
  <c r="P73" i="18"/>
  <c r="Q69" i="18"/>
  <c r="P69" i="18"/>
  <c r="Q68" i="18"/>
  <c r="P68" i="18"/>
  <c r="Q67" i="18"/>
  <c r="P67" i="18"/>
  <c r="Q66" i="18"/>
  <c r="P66" i="18"/>
  <c r="Q62" i="18"/>
  <c r="P62" i="18"/>
  <c r="Q61" i="18"/>
  <c r="P61" i="18"/>
  <c r="Q60" i="18"/>
  <c r="P60" i="18"/>
  <c r="Q59" i="18"/>
  <c r="P59" i="18"/>
  <c r="Q58" i="18"/>
  <c r="P58" i="18"/>
  <c r="Q57" i="18"/>
  <c r="P57" i="18"/>
  <c r="Q56" i="18"/>
  <c r="P56" i="18"/>
  <c r="Q55" i="18"/>
  <c r="P55" i="18"/>
  <c r="Q54" i="18"/>
  <c r="P54" i="18"/>
  <c r="Q53" i="18"/>
  <c r="P53" i="18"/>
  <c r="Q49" i="18"/>
  <c r="P49" i="18"/>
  <c r="Q48" i="18"/>
  <c r="P48" i="18"/>
  <c r="Q47" i="18"/>
  <c r="P47" i="18"/>
  <c r="Q46" i="18"/>
  <c r="P46" i="18"/>
  <c r="Q45" i="18"/>
  <c r="P45" i="18"/>
  <c r="Q44" i="18"/>
  <c r="P44" i="18"/>
  <c r="Q43" i="18"/>
  <c r="P43" i="18"/>
  <c r="Q42" i="18"/>
  <c r="P42" i="18"/>
  <c r="Q41" i="18"/>
  <c r="P41" i="18"/>
  <c r="Q40" i="18"/>
  <c r="P40" i="18"/>
  <c r="Q39" i="18"/>
  <c r="P39" i="18"/>
  <c r="Q38" i="18"/>
  <c r="P38" i="18"/>
  <c r="Q37" i="18"/>
  <c r="P37" i="18"/>
  <c r="Q36" i="18"/>
  <c r="P36" i="18"/>
  <c r="Q35" i="18"/>
  <c r="P35" i="18"/>
  <c r="Q34" i="18"/>
  <c r="P34" i="18"/>
  <c r="Q33" i="18"/>
  <c r="P33" i="18"/>
  <c r="Q32" i="18"/>
  <c r="P32" i="18"/>
  <c r="Q31" i="18"/>
  <c r="P31" i="18"/>
  <c r="Q30" i="18"/>
  <c r="P30" i="18"/>
  <c r="Q29" i="18"/>
  <c r="P29" i="18"/>
  <c r="Q25" i="18"/>
  <c r="P25" i="18"/>
  <c r="Q24" i="18"/>
  <c r="P24" i="18"/>
  <c r="Q23" i="18"/>
  <c r="P23" i="18"/>
  <c r="Q22" i="18"/>
  <c r="P22" i="18"/>
  <c r="Q21" i="18"/>
  <c r="P21" i="18"/>
  <c r="Q20" i="18"/>
  <c r="P20" i="18"/>
  <c r="Q19" i="18"/>
  <c r="P19" i="18"/>
  <c r="Q18" i="18"/>
  <c r="P18" i="18"/>
  <c r="Q17" i="18"/>
  <c r="P17" i="18"/>
  <c r="Q16" i="18"/>
  <c r="P16" i="18"/>
  <c r="Q15" i="18"/>
  <c r="P15" i="18"/>
  <c r="Q14" i="18"/>
  <c r="P14" i="18"/>
  <c r="Q13" i="18"/>
  <c r="P13" i="18"/>
  <c r="Q12" i="18"/>
  <c r="P12" i="18"/>
  <c r="Q11" i="18"/>
  <c r="P11" i="18"/>
  <c r="Q10" i="18"/>
  <c r="P10" i="18"/>
  <c r="Q9" i="18"/>
  <c r="P9" i="18"/>
  <c r="Q110" i="17"/>
  <c r="P110" i="17"/>
  <c r="Q109" i="17"/>
  <c r="P109" i="17"/>
  <c r="Q108" i="17"/>
  <c r="P108" i="17"/>
  <c r="Q107" i="17"/>
  <c r="P107" i="17"/>
  <c r="Q106" i="17"/>
  <c r="P106" i="17"/>
  <c r="Q102" i="17"/>
  <c r="P102" i="17"/>
  <c r="Q101" i="17"/>
  <c r="P101" i="17"/>
  <c r="Q100" i="17"/>
  <c r="P100" i="17"/>
  <c r="Q99" i="17"/>
  <c r="P99" i="17"/>
  <c r="Q98" i="17"/>
  <c r="P98" i="17"/>
  <c r="Q97" i="17"/>
  <c r="P97" i="17"/>
  <c r="P91" i="17"/>
  <c r="P90" i="17"/>
  <c r="Q93" i="17"/>
  <c r="P93" i="17"/>
  <c r="Q92" i="17"/>
  <c r="P92" i="17"/>
  <c r="Q91" i="17"/>
  <c r="Q90" i="17"/>
  <c r="Q86" i="17"/>
  <c r="P86" i="17"/>
  <c r="Q85" i="17"/>
  <c r="P85" i="17"/>
  <c r="Q84" i="17"/>
  <c r="P84" i="17"/>
  <c r="Q83" i="17"/>
  <c r="P83" i="17"/>
  <c r="Q82" i="17"/>
  <c r="P82" i="17"/>
  <c r="Q81" i="17"/>
  <c r="P81" i="17"/>
  <c r="Q80" i="17"/>
  <c r="P80" i="17"/>
  <c r="Q79" i="17"/>
  <c r="P79" i="17"/>
  <c r="Q78" i="17"/>
  <c r="P78" i="17"/>
  <c r="Q77" i="17"/>
  <c r="P77" i="17"/>
  <c r="Q76" i="17"/>
  <c r="P76" i="17"/>
  <c r="Q75" i="17"/>
  <c r="P75" i="17"/>
  <c r="Q71" i="17"/>
  <c r="P71" i="17"/>
  <c r="Q70" i="17"/>
  <c r="P70" i="17"/>
  <c r="Q69" i="17"/>
  <c r="P69" i="17"/>
  <c r="Q68" i="17"/>
  <c r="P68" i="17"/>
  <c r="Q67" i="17"/>
  <c r="P67" i="17"/>
  <c r="Q66" i="17"/>
  <c r="P66" i="17"/>
  <c r="Q62" i="17"/>
  <c r="P62" i="17"/>
  <c r="Q61" i="17"/>
  <c r="P61" i="17"/>
  <c r="Q60" i="17"/>
  <c r="P60" i="17"/>
  <c r="Q59" i="17"/>
  <c r="P59" i="17"/>
  <c r="Q58" i="17"/>
  <c r="P58" i="17"/>
  <c r="Q51" i="17"/>
  <c r="P51" i="17"/>
  <c r="Q54" i="17"/>
  <c r="P54" i="17"/>
  <c r="Q53" i="17"/>
  <c r="P53" i="17"/>
  <c r="Q52" i="17"/>
  <c r="P52" i="17"/>
  <c r="Q32" i="17"/>
  <c r="Q33" i="17"/>
  <c r="Q34" i="17"/>
  <c r="Q35" i="17"/>
  <c r="Q36" i="17"/>
  <c r="Q37" i="17"/>
  <c r="Q38" i="17"/>
  <c r="Q39" i="17"/>
  <c r="Q40" i="17"/>
  <c r="Q41" i="17"/>
  <c r="Q42" i="17"/>
  <c r="Q43" i="17"/>
  <c r="Q44" i="17"/>
  <c r="Q45" i="17"/>
  <c r="Q46" i="17"/>
  <c r="Q47" i="17"/>
  <c r="P32" i="17"/>
  <c r="P33" i="17"/>
  <c r="P34" i="17"/>
  <c r="P35" i="17"/>
  <c r="P36" i="17"/>
  <c r="P37" i="17"/>
  <c r="P38" i="17"/>
  <c r="P39" i="17"/>
  <c r="P40" i="17"/>
  <c r="P41" i="17"/>
  <c r="P42" i="17"/>
  <c r="P43" i="17"/>
  <c r="P44" i="17"/>
  <c r="P45" i="17"/>
  <c r="P46" i="17"/>
  <c r="P47" i="17"/>
  <c r="P31" i="17"/>
  <c r="Q31" i="17"/>
  <c r="Q11" i="17"/>
  <c r="Q12" i="17"/>
  <c r="Q13" i="17"/>
  <c r="Q14" i="17"/>
  <c r="Q15" i="17"/>
  <c r="Q16" i="17"/>
  <c r="Q17" i="17"/>
  <c r="Q18" i="17"/>
  <c r="Q19" i="17"/>
  <c r="Q20" i="17"/>
  <c r="Q21" i="17"/>
  <c r="Q22" i="17"/>
  <c r="Q23" i="17"/>
  <c r="Q24" i="17"/>
  <c r="Q25" i="17"/>
  <c r="Q26" i="17"/>
  <c r="Q27" i="17"/>
  <c r="Q10" i="17"/>
  <c r="P11" i="17"/>
  <c r="P12" i="17"/>
  <c r="P13" i="17"/>
  <c r="P14" i="17"/>
  <c r="P15" i="17"/>
  <c r="P16" i="17"/>
  <c r="P17" i="17"/>
  <c r="P18" i="17"/>
  <c r="P19" i="17"/>
  <c r="P20" i="17"/>
  <c r="P21" i="17"/>
  <c r="P22" i="17"/>
  <c r="P23" i="17"/>
  <c r="P24" i="17"/>
  <c r="P25" i="17"/>
  <c r="P26" i="17"/>
  <c r="P27" i="17"/>
  <c r="P10" i="17"/>
  <c r="L87" i="5"/>
  <c r="L86" i="5"/>
  <c r="L44" i="5"/>
  <c r="L35" i="5"/>
  <c r="L34" i="5"/>
  <c r="L33" i="5"/>
  <c r="L32" i="5"/>
  <c r="L30" i="5"/>
  <c r="L29" i="5"/>
  <c r="L28" i="5"/>
  <c r="J55" i="18"/>
  <c r="K92" i="18"/>
  <c r="I133" i="18"/>
  <c r="M121" i="19" l="1"/>
  <c r="K125" i="19" s="1"/>
  <c r="I24" i="20"/>
  <c r="I128" i="20"/>
  <c r="J128" i="20" s="1"/>
  <c r="I72" i="20"/>
  <c r="I70" i="20"/>
  <c r="A106" i="20"/>
  <c r="I106" i="20" s="1"/>
  <c r="I5" i="20" s="1"/>
  <c r="I64" i="20"/>
  <c r="I127" i="20"/>
  <c r="J127" i="20" s="1"/>
  <c r="J106" i="20"/>
  <c r="I26" i="20"/>
  <c r="I90" i="20"/>
  <c r="I48" i="20"/>
  <c r="I50" i="20"/>
  <c r="I81" i="20"/>
  <c r="I95" i="20"/>
  <c r="I8" i="20"/>
  <c r="J108" i="20"/>
  <c r="N106" i="20"/>
  <c r="J119" i="20" s="1"/>
  <c r="J120" i="20" s="1"/>
  <c r="J121" i="20" s="1"/>
  <c r="I132" i="20" s="1"/>
  <c r="J132" i="20" s="1"/>
  <c r="J54" i="19"/>
  <c r="L54" i="19" s="1"/>
  <c r="N121" i="19"/>
  <c r="K126" i="19" s="1"/>
  <c r="L86" i="19"/>
  <c r="J134" i="19"/>
  <c r="K134" i="19" s="1"/>
  <c r="J72" i="19"/>
  <c r="L72" i="19" s="1"/>
  <c r="J135" i="19"/>
  <c r="K135" i="19" s="1"/>
  <c r="J47" i="19"/>
  <c r="L47" i="19" s="1"/>
  <c r="J56" i="19"/>
  <c r="J63" i="19"/>
  <c r="L63" i="19" s="1"/>
  <c r="J65" i="19"/>
  <c r="J27" i="19"/>
  <c r="L27" i="19" s="1"/>
  <c r="L102" i="19"/>
  <c r="J29" i="19"/>
  <c r="J74" i="19"/>
  <c r="L93" i="19"/>
  <c r="L110" i="19"/>
  <c r="B113" i="19"/>
  <c r="J113" i="19" s="1"/>
  <c r="J6" i="19" s="1"/>
  <c r="K113" i="19"/>
  <c r="J49" i="6"/>
  <c r="W54" i="6"/>
  <c r="K127" i="19" l="1"/>
  <c r="K128" i="19" s="1"/>
  <c r="J139" i="19" s="1"/>
  <c r="K139" i="19" s="1"/>
  <c r="J107" i="20"/>
  <c r="J109" i="20" s="1"/>
  <c r="J5" i="20" s="1"/>
  <c r="J141" i="19"/>
  <c r="K114" i="19"/>
  <c r="K116" i="19" s="1"/>
  <c r="K6" i="19" s="1"/>
  <c r="I136" i="18"/>
  <c r="I135" i="18"/>
  <c r="J135" i="18" s="1"/>
  <c r="I134" i="18"/>
  <c r="J134" i="18" s="1"/>
  <c r="J133" i="18"/>
  <c r="N114" i="18"/>
  <c r="J127" i="18" s="1"/>
  <c r="M114" i="18"/>
  <c r="J126" i="18" s="1"/>
  <c r="I139" i="18"/>
  <c r="J139" i="18" s="1"/>
  <c r="I138" i="18"/>
  <c r="J138" i="18" s="1"/>
  <c r="I137" i="18"/>
  <c r="J137" i="18" s="1"/>
  <c r="J132" i="18"/>
  <c r="J124" i="18"/>
  <c r="J111" i="18"/>
  <c r="K111" i="18" s="1"/>
  <c r="I111" i="18"/>
  <c r="K106" i="18"/>
  <c r="J103" i="18"/>
  <c r="I102" i="18"/>
  <c r="A102" i="18"/>
  <c r="I101" i="18"/>
  <c r="A101" i="18"/>
  <c r="K100" i="18"/>
  <c r="I100" i="18"/>
  <c r="A100" i="18"/>
  <c r="J96" i="18"/>
  <c r="I96" i="18"/>
  <c r="I91" i="18"/>
  <c r="J89" i="18"/>
  <c r="I88" i="18"/>
  <c r="K87" i="18"/>
  <c r="I87" i="18"/>
  <c r="I84" i="18"/>
  <c r="A84" i="18"/>
  <c r="I83" i="18"/>
  <c r="A83" i="18"/>
  <c r="I82" i="18"/>
  <c r="I81" i="18"/>
  <c r="J78" i="18"/>
  <c r="I77" i="18"/>
  <c r="I76" i="18"/>
  <c r="A76" i="18"/>
  <c r="I75" i="18"/>
  <c r="A75" i="18"/>
  <c r="I74" i="18"/>
  <c r="A74" i="18"/>
  <c r="I73" i="18"/>
  <c r="J70" i="18"/>
  <c r="I67" i="18"/>
  <c r="I65" i="18" s="1"/>
  <c r="A67" i="18"/>
  <c r="K62" i="18"/>
  <c r="K61" i="18"/>
  <c r="K60" i="18"/>
  <c r="I60" i="18"/>
  <c r="A60" i="18"/>
  <c r="K59" i="18"/>
  <c r="I59" i="18"/>
  <c r="A59" i="18"/>
  <c r="K58" i="18"/>
  <c r="I58" i="18"/>
  <c r="A58" i="18"/>
  <c r="K57" i="18"/>
  <c r="I57" i="18"/>
  <c r="A57" i="18"/>
  <c r="K56" i="18"/>
  <c r="A55" i="18"/>
  <c r="K54" i="18"/>
  <c r="J50" i="18"/>
  <c r="I48" i="18"/>
  <c r="I47" i="18"/>
  <c r="I46" i="18"/>
  <c r="A46" i="18"/>
  <c r="I44" i="18"/>
  <c r="A44" i="18"/>
  <c r="I43" i="18"/>
  <c r="A43" i="18"/>
  <c r="I42" i="18"/>
  <c r="A42" i="18"/>
  <c r="K41" i="18"/>
  <c r="I41" i="18"/>
  <c r="A41" i="18"/>
  <c r="K40" i="18"/>
  <c r="I40" i="18"/>
  <c r="A40" i="18"/>
  <c r="K38" i="18"/>
  <c r="I38" i="18"/>
  <c r="A38" i="18"/>
  <c r="K37" i="18"/>
  <c r="I37" i="18"/>
  <c r="A37" i="18"/>
  <c r="K36" i="18"/>
  <c r="I36" i="18"/>
  <c r="A36" i="18"/>
  <c r="I34" i="18"/>
  <c r="A34" i="18"/>
  <c r="I33" i="18"/>
  <c r="A33" i="18"/>
  <c r="I32" i="18"/>
  <c r="A32" i="18"/>
  <c r="I31" i="18"/>
  <c r="A31" i="18"/>
  <c r="I30" i="18"/>
  <c r="A30" i="18"/>
  <c r="I29" i="18"/>
  <c r="A29" i="18"/>
  <c r="J26" i="18"/>
  <c r="I25" i="18"/>
  <c r="I24" i="18"/>
  <c r="K23" i="18"/>
  <c r="K22" i="18"/>
  <c r="K20" i="18"/>
  <c r="K14" i="18"/>
  <c r="K13" i="18"/>
  <c r="K12" i="18"/>
  <c r="K11" i="18"/>
  <c r="I72" i="18" l="1"/>
  <c r="I80" i="18"/>
  <c r="I8" i="18"/>
  <c r="I52" i="18"/>
  <c r="I26" i="18"/>
  <c r="I55" i="18"/>
  <c r="J136" i="18"/>
  <c r="J128" i="18"/>
  <c r="J129" i="18" s="1"/>
  <c r="I140" i="18" s="1"/>
  <c r="J140" i="18" s="1"/>
  <c r="I103" i="18"/>
  <c r="I98" i="18"/>
  <c r="I78" i="18"/>
  <c r="I50" i="18"/>
  <c r="I28" i="18"/>
  <c r="I63" i="18"/>
  <c r="I89" i="18"/>
  <c r="I70" i="18"/>
  <c r="J116" i="18"/>
  <c r="A114" i="18"/>
  <c r="I114" i="18" s="1"/>
  <c r="I5" i="18" s="1"/>
  <c r="K55" i="18"/>
  <c r="J63" i="18"/>
  <c r="J114" i="18" s="1"/>
  <c r="J115" i="18" l="1"/>
  <c r="J117" i="18" s="1"/>
  <c r="J5" i="18" s="1"/>
  <c r="J139" i="17" l="1"/>
  <c r="J136" i="17"/>
  <c r="J135" i="17"/>
  <c r="J134" i="17"/>
  <c r="K134" i="17" s="1"/>
  <c r="J133" i="17"/>
  <c r="K133" i="17" s="1"/>
  <c r="N122" i="17"/>
  <c r="K127" i="17" s="1"/>
  <c r="M122" i="17"/>
  <c r="K126" i="17" s="1"/>
  <c r="K139" i="17"/>
  <c r="J138" i="17"/>
  <c r="K138" i="17" s="1"/>
  <c r="J137" i="17"/>
  <c r="K137" i="17" s="1"/>
  <c r="K132" i="17"/>
  <c r="K124" i="17"/>
  <c r="K111" i="17"/>
  <c r="K116" i="17" s="1"/>
  <c r="J111" i="17"/>
  <c r="K103" i="17"/>
  <c r="J103" i="17"/>
  <c r="L100" i="17"/>
  <c r="J96" i="17"/>
  <c r="K94" i="17"/>
  <c r="L93" i="17"/>
  <c r="J93" i="17"/>
  <c r="J94" i="17" s="1"/>
  <c r="B93" i="17"/>
  <c r="J89" i="17" s="1"/>
  <c r="L92" i="17"/>
  <c r="K87" i="17"/>
  <c r="J87" i="17"/>
  <c r="J86" i="17"/>
  <c r="J85" i="17"/>
  <c r="J83" i="17"/>
  <c r="B83" i="17"/>
  <c r="J82" i="17"/>
  <c r="B82" i="17"/>
  <c r="J81" i="17"/>
  <c r="B81" i="17"/>
  <c r="J80" i="17"/>
  <c r="B80" i="17"/>
  <c r="J79" i="17"/>
  <c r="J78" i="17"/>
  <c r="L77" i="17"/>
  <c r="J77" i="17"/>
  <c r="L76" i="17"/>
  <c r="L75" i="17"/>
  <c r="J75" i="17"/>
  <c r="K72" i="17"/>
  <c r="J71" i="17"/>
  <c r="B71" i="17"/>
  <c r="J70" i="17"/>
  <c r="B70" i="17"/>
  <c r="J69" i="17"/>
  <c r="J68" i="17"/>
  <c r="J67" i="17"/>
  <c r="J66" i="17"/>
  <c r="K63" i="17"/>
  <c r="J60" i="17"/>
  <c r="B60" i="17"/>
  <c r="J59" i="17"/>
  <c r="B59" i="17"/>
  <c r="K55" i="17"/>
  <c r="J54" i="17"/>
  <c r="J53" i="17"/>
  <c r="L52" i="17"/>
  <c r="J50" i="17"/>
  <c r="K48" i="17"/>
  <c r="J47" i="17"/>
  <c r="B47" i="17"/>
  <c r="J46" i="17"/>
  <c r="B46" i="17"/>
  <c r="J45" i="17"/>
  <c r="B45" i="17"/>
  <c r="J44" i="17"/>
  <c r="B44" i="17"/>
  <c r="L43" i="17"/>
  <c r="J43" i="17"/>
  <c r="B43" i="17"/>
  <c r="L42" i="17"/>
  <c r="J42" i="17"/>
  <c r="B42" i="17"/>
  <c r="L40" i="17"/>
  <c r="J40" i="17"/>
  <c r="B40" i="17"/>
  <c r="L39" i="17"/>
  <c r="J39" i="17"/>
  <c r="B39" i="17"/>
  <c r="L38" i="17"/>
  <c r="J38" i="17"/>
  <c r="B38" i="17"/>
  <c r="J36" i="17"/>
  <c r="B36" i="17"/>
  <c r="J35" i="17"/>
  <c r="B35" i="17"/>
  <c r="J34" i="17"/>
  <c r="B34" i="17"/>
  <c r="J33" i="17"/>
  <c r="B33" i="17"/>
  <c r="J32" i="17"/>
  <c r="B32" i="17"/>
  <c r="J31" i="17"/>
  <c r="B31" i="17"/>
  <c r="K28" i="17"/>
  <c r="L27" i="17"/>
  <c r="J27" i="17"/>
  <c r="L26" i="17"/>
  <c r="J26" i="17"/>
  <c r="L25" i="17"/>
  <c r="L24" i="17"/>
  <c r="L22" i="17"/>
  <c r="L15" i="17"/>
  <c r="L14" i="17"/>
  <c r="L13" i="17"/>
  <c r="L12" i="17"/>
  <c r="J9" i="17"/>
  <c r="K135" i="17" l="1"/>
  <c r="J63" i="17"/>
  <c r="J65" i="17"/>
  <c r="K136" i="17"/>
  <c r="K128" i="17"/>
  <c r="K129" i="17" s="1"/>
  <c r="J140" i="17" s="1"/>
  <c r="K140" i="17" s="1"/>
  <c r="J28" i="17"/>
  <c r="L28" i="17" s="1"/>
  <c r="K114" i="17"/>
  <c r="J55" i="17"/>
  <c r="L55" i="17" s="1"/>
  <c r="L103" i="17"/>
  <c r="J57" i="17"/>
  <c r="J74" i="17"/>
  <c r="L87" i="17"/>
  <c r="B114" i="17"/>
  <c r="J114" i="17" s="1"/>
  <c r="J6" i="17" s="1"/>
  <c r="J72" i="17"/>
  <c r="L72" i="17" s="1"/>
  <c r="J48" i="17"/>
  <c r="L48" i="17" s="1"/>
  <c r="J30" i="17"/>
  <c r="L94" i="17"/>
  <c r="L111" i="17"/>
  <c r="L63" i="17"/>
  <c r="J142" i="17" l="1"/>
  <c r="K115" i="17"/>
  <c r="K117" i="17" s="1"/>
  <c r="K6" i="17" s="1"/>
  <c r="J81" i="3" l="1"/>
  <c r="J80" i="3"/>
  <c r="J79" i="3"/>
  <c r="J78" i="3"/>
  <c r="B58" i="3"/>
  <c r="T58" i="3"/>
  <c r="U58" i="3"/>
  <c r="K55" i="3"/>
  <c r="U52" i="3"/>
  <c r="T52" i="3"/>
  <c r="L52" i="3"/>
  <c r="U51" i="3"/>
  <c r="T51" i="3"/>
  <c r="L18" i="3" l="1"/>
  <c r="T18" i="3"/>
  <c r="U18" i="3"/>
  <c r="R2157" i="16" l="1"/>
  <c r="R2156" i="16"/>
  <c r="R2155" i="16"/>
  <c r="R2154" i="16"/>
  <c r="R2153" i="16"/>
  <c r="R2152" i="16"/>
  <c r="R2151" i="16"/>
  <c r="R2150" i="16"/>
  <c r="R2149" i="16"/>
  <c r="R2148" i="16"/>
  <c r="R2147" i="16"/>
  <c r="R2146" i="16"/>
  <c r="R2145" i="16"/>
  <c r="R2144" i="16"/>
  <c r="R2143" i="16"/>
  <c r="R2142" i="16"/>
  <c r="R2141" i="16"/>
  <c r="R2140" i="16"/>
  <c r="R2139" i="16"/>
  <c r="R2138" i="16"/>
  <c r="R2137" i="16"/>
  <c r="R2136" i="16"/>
  <c r="R2135" i="16"/>
  <c r="R2134" i="16"/>
  <c r="R2133" i="16"/>
  <c r="R2132" i="16"/>
  <c r="R2131" i="16"/>
  <c r="R2130" i="16"/>
  <c r="R2129" i="16"/>
  <c r="R2128" i="16"/>
  <c r="R2127" i="16"/>
  <c r="R2126" i="16"/>
  <c r="R2125" i="16"/>
  <c r="R2124" i="16"/>
  <c r="R2123" i="16"/>
  <c r="R2122" i="16"/>
  <c r="R2121" i="16"/>
  <c r="R2120" i="16"/>
  <c r="R2119" i="16"/>
  <c r="R2118" i="16"/>
  <c r="R2117" i="16"/>
  <c r="R2116" i="16"/>
  <c r="R2115" i="16"/>
  <c r="R2114" i="16"/>
  <c r="R2113" i="16"/>
  <c r="R2112" i="16"/>
  <c r="R2111" i="16"/>
  <c r="R2110" i="16"/>
  <c r="R2109" i="16"/>
  <c r="R2108" i="16"/>
  <c r="R2107" i="16"/>
  <c r="R2106" i="16"/>
  <c r="R2105" i="16"/>
  <c r="R2104" i="16"/>
  <c r="R2103" i="16"/>
  <c r="R2102" i="16"/>
  <c r="R2101" i="16"/>
  <c r="R2100" i="16"/>
  <c r="R2099" i="16"/>
  <c r="R2098" i="16"/>
  <c r="R2097" i="16"/>
  <c r="R2096" i="16"/>
  <c r="R2095" i="16"/>
  <c r="R2094" i="16"/>
  <c r="R2093" i="16"/>
  <c r="R2092" i="16"/>
  <c r="R2091" i="16"/>
  <c r="R2090" i="16"/>
  <c r="R2089" i="16"/>
  <c r="R2088" i="16"/>
  <c r="R2087" i="16"/>
  <c r="R2086" i="16"/>
  <c r="R2085" i="16"/>
  <c r="R2084" i="16"/>
  <c r="R2083" i="16"/>
  <c r="R2082" i="16"/>
  <c r="R2081" i="16"/>
  <c r="R2080" i="16"/>
  <c r="R2079" i="16"/>
  <c r="R2078" i="16"/>
  <c r="R2077" i="16"/>
  <c r="R2076" i="16"/>
  <c r="R2075" i="16"/>
  <c r="R2074" i="16"/>
  <c r="R2073" i="16"/>
  <c r="R2072" i="16"/>
  <c r="R2071" i="16"/>
  <c r="R2070" i="16"/>
  <c r="R2069" i="16"/>
  <c r="R2068" i="16"/>
  <c r="R2067" i="16"/>
  <c r="R2066" i="16"/>
  <c r="R2065" i="16"/>
  <c r="R2064" i="16"/>
  <c r="R2063" i="16"/>
  <c r="R2062" i="16"/>
  <c r="R2061" i="16"/>
  <c r="R2060" i="16"/>
  <c r="R2059" i="16"/>
  <c r="R2058" i="16"/>
  <c r="R2057" i="16"/>
  <c r="R2056" i="16"/>
  <c r="R2055" i="16"/>
  <c r="R2054" i="16"/>
  <c r="R2053" i="16"/>
  <c r="R2052" i="16"/>
  <c r="R2051" i="16"/>
  <c r="R2050" i="16"/>
  <c r="R2049" i="16"/>
  <c r="R2048" i="16"/>
  <c r="R2047" i="16"/>
  <c r="R2046" i="16"/>
  <c r="R2045" i="16"/>
  <c r="R2044" i="16"/>
  <c r="R2043" i="16"/>
  <c r="R2042" i="16"/>
  <c r="R2041" i="16"/>
  <c r="R2040" i="16"/>
  <c r="R2039" i="16"/>
  <c r="R2038" i="16"/>
  <c r="R2037" i="16"/>
  <c r="R2036" i="16"/>
  <c r="R2035" i="16"/>
  <c r="R2034" i="16"/>
  <c r="R2033" i="16"/>
  <c r="R2032" i="16"/>
  <c r="R2031" i="16"/>
  <c r="R2030" i="16"/>
  <c r="R2029" i="16"/>
  <c r="R2028" i="16"/>
  <c r="R2027" i="16"/>
  <c r="R2026" i="16"/>
  <c r="R2025" i="16"/>
  <c r="R2024" i="16"/>
  <c r="R2023" i="16"/>
  <c r="R2022" i="16"/>
  <c r="R2021" i="16"/>
  <c r="R2020" i="16"/>
  <c r="R2019" i="16"/>
  <c r="R2018" i="16"/>
  <c r="R2017" i="16"/>
  <c r="R2016" i="16"/>
  <c r="R2015" i="16"/>
  <c r="R2014" i="16"/>
  <c r="R2013" i="16"/>
  <c r="R2012" i="16"/>
  <c r="R2011" i="16"/>
  <c r="R2010" i="16"/>
  <c r="R2009" i="16"/>
  <c r="R2008" i="16"/>
  <c r="R2007" i="16"/>
  <c r="R2006" i="16"/>
  <c r="R2005" i="16"/>
  <c r="R2004" i="16"/>
  <c r="R2003" i="16"/>
  <c r="R2002" i="16"/>
  <c r="R2001" i="16"/>
  <c r="R2000" i="16"/>
  <c r="R1999" i="16"/>
  <c r="R1998" i="16"/>
  <c r="R1997" i="16"/>
  <c r="R1996" i="16"/>
  <c r="R1995" i="16"/>
  <c r="R1994" i="16"/>
  <c r="R1993" i="16"/>
  <c r="R1992" i="16"/>
  <c r="R1991" i="16"/>
  <c r="R1990" i="16"/>
  <c r="R1989" i="16"/>
  <c r="R1988" i="16"/>
  <c r="R1987" i="16"/>
  <c r="R1986" i="16"/>
  <c r="R1985" i="16"/>
  <c r="R1984" i="16"/>
  <c r="R1983" i="16"/>
  <c r="R1982" i="16"/>
  <c r="R1981" i="16"/>
  <c r="R1980" i="16"/>
  <c r="R1979" i="16"/>
  <c r="R1978" i="16"/>
  <c r="R1977" i="16"/>
  <c r="R1976" i="16"/>
  <c r="R1975" i="16"/>
  <c r="R1974" i="16"/>
  <c r="R1973" i="16"/>
  <c r="R1972" i="16"/>
  <c r="R1971" i="16"/>
  <c r="R1970" i="16"/>
  <c r="R1969" i="16"/>
  <c r="R1968" i="16"/>
  <c r="R1967" i="16"/>
  <c r="R1966" i="16"/>
  <c r="R1965" i="16"/>
  <c r="R1964" i="16"/>
  <c r="R1963" i="16"/>
  <c r="R1962" i="16"/>
  <c r="R1961" i="16"/>
  <c r="R1960" i="16"/>
  <c r="R1959" i="16"/>
  <c r="R1958" i="16"/>
  <c r="R1957" i="16"/>
  <c r="R1956" i="16"/>
  <c r="R1955" i="16"/>
  <c r="R1954" i="16"/>
  <c r="R1953" i="16"/>
  <c r="R1952" i="16"/>
  <c r="R1951" i="16"/>
  <c r="R1950" i="16"/>
  <c r="R1949" i="16"/>
  <c r="R1948" i="16"/>
  <c r="R1947" i="16"/>
  <c r="R1946" i="16"/>
  <c r="R1945" i="16"/>
  <c r="R1944" i="16"/>
  <c r="R1943" i="16"/>
  <c r="R1942" i="16"/>
  <c r="R1941" i="16"/>
  <c r="R1940" i="16"/>
  <c r="R1939" i="16"/>
  <c r="R1938" i="16"/>
  <c r="R1937" i="16"/>
  <c r="R1936" i="16"/>
  <c r="R1935" i="16"/>
  <c r="R1934" i="16"/>
  <c r="R1933" i="16"/>
  <c r="R1932" i="16"/>
  <c r="R1931" i="16"/>
  <c r="R1930" i="16"/>
  <c r="R1929" i="16"/>
  <c r="R1928" i="16"/>
  <c r="R1927" i="16"/>
  <c r="R1926" i="16"/>
  <c r="R1925" i="16"/>
  <c r="R1924" i="16"/>
  <c r="R1923" i="16"/>
  <c r="R1922" i="16"/>
  <c r="R1921" i="16"/>
  <c r="R1920" i="16"/>
  <c r="R1919" i="16"/>
  <c r="R1918" i="16"/>
  <c r="R1917" i="16"/>
  <c r="R1916" i="16"/>
  <c r="R1915" i="16"/>
  <c r="R1914" i="16"/>
  <c r="R1913" i="16"/>
  <c r="R1912" i="16"/>
  <c r="R1911" i="16"/>
  <c r="R1910" i="16"/>
  <c r="R1909" i="16"/>
  <c r="R1908" i="16"/>
  <c r="R1907" i="16"/>
  <c r="R1906" i="16"/>
  <c r="R1905" i="16"/>
  <c r="R1904" i="16"/>
  <c r="R1903" i="16"/>
  <c r="R1902" i="16"/>
  <c r="R1901" i="16"/>
  <c r="R1900" i="16"/>
  <c r="R1899" i="16"/>
  <c r="R1898" i="16"/>
  <c r="R1897" i="16"/>
  <c r="R1896" i="16"/>
  <c r="R1895" i="16"/>
  <c r="R1894" i="16"/>
  <c r="R1893" i="16"/>
  <c r="R1892" i="16"/>
  <c r="R1891" i="16"/>
  <c r="R1890" i="16"/>
  <c r="R1889" i="16"/>
  <c r="R1888" i="16"/>
  <c r="R1887" i="16"/>
  <c r="R1886" i="16"/>
  <c r="R1885" i="16"/>
  <c r="R1884" i="16"/>
  <c r="R1883" i="16"/>
  <c r="R1882" i="16"/>
  <c r="R1881" i="16"/>
  <c r="R1880" i="16"/>
  <c r="R1879" i="16"/>
  <c r="R1878" i="16"/>
  <c r="R1877" i="16"/>
  <c r="R1876" i="16"/>
  <c r="R1875" i="16"/>
  <c r="R1874" i="16"/>
  <c r="R1873" i="16"/>
  <c r="R1872" i="16"/>
  <c r="R1871" i="16"/>
  <c r="R1870" i="16"/>
  <c r="R1869" i="16"/>
  <c r="R1868" i="16"/>
  <c r="R1867" i="16"/>
  <c r="R1866" i="16"/>
  <c r="R1865" i="16"/>
  <c r="R1864" i="16"/>
  <c r="R1863" i="16"/>
  <c r="R1862" i="16"/>
  <c r="R1861" i="16"/>
  <c r="R1860" i="16"/>
  <c r="R1859" i="16"/>
  <c r="R1858" i="16"/>
  <c r="R1857" i="16"/>
  <c r="R1856" i="16"/>
  <c r="R1855" i="16"/>
  <c r="R1854" i="16"/>
  <c r="R1853" i="16"/>
  <c r="R1852" i="16"/>
  <c r="R1851" i="16"/>
  <c r="R1850" i="16"/>
  <c r="R1849" i="16"/>
  <c r="R1848" i="16"/>
  <c r="R1847" i="16"/>
  <c r="R1846" i="16"/>
  <c r="R1845" i="16"/>
  <c r="R1844" i="16"/>
  <c r="R1843" i="16"/>
  <c r="R1842" i="16"/>
  <c r="R1841" i="16"/>
  <c r="R1840" i="16"/>
  <c r="R1839" i="16"/>
  <c r="R1838" i="16"/>
  <c r="R1837" i="16"/>
  <c r="R1836" i="16"/>
  <c r="R1835" i="16"/>
  <c r="R1834" i="16"/>
  <c r="R1833" i="16"/>
  <c r="R1832" i="16"/>
  <c r="R1831" i="16"/>
  <c r="R1830" i="16"/>
  <c r="R1829" i="16"/>
  <c r="R1828" i="16"/>
  <c r="R1827" i="16"/>
  <c r="R1826" i="16"/>
  <c r="R1825" i="16"/>
  <c r="R1824" i="16"/>
  <c r="R1823" i="16"/>
  <c r="R1822" i="16"/>
  <c r="R1821" i="16"/>
  <c r="R1820" i="16"/>
  <c r="R1819" i="16"/>
  <c r="R1818" i="16"/>
  <c r="R1817" i="16"/>
  <c r="R1816" i="16"/>
  <c r="R1815" i="16"/>
  <c r="R1814" i="16"/>
  <c r="R1813" i="16"/>
  <c r="R1812" i="16"/>
  <c r="R1811" i="16"/>
  <c r="R1810" i="16"/>
  <c r="R1809" i="16"/>
  <c r="R1808" i="16"/>
  <c r="R1807" i="16"/>
  <c r="R1806" i="16"/>
  <c r="R1805" i="16"/>
  <c r="R1804" i="16"/>
  <c r="R1803" i="16"/>
  <c r="R1802" i="16"/>
  <c r="R1801" i="16"/>
  <c r="R1800" i="16"/>
  <c r="R1799" i="16"/>
  <c r="R1798" i="16"/>
  <c r="R1797" i="16"/>
  <c r="R1796" i="16"/>
  <c r="R1795" i="16"/>
  <c r="R1794" i="16"/>
  <c r="R1793" i="16"/>
  <c r="R1792" i="16"/>
  <c r="R1791" i="16"/>
  <c r="R1790" i="16"/>
  <c r="R1789" i="16"/>
  <c r="R1788" i="16"/>
  <c r="R1787" i="16"/>
  <c r="R1786" i="16"/>
  <c r="R1785" i="16"/>
  <c r="R1784" i="16"/>
  <c r="R1783" i="16"/>
  <c r="R1782" i="16"/>
  <c r="R1781" i="16"/>
  <c r="R1780" i="16"/>
  <c r="R1779" i="16"/>
  <c r="R1778" i="16"/>
  <c r="R1777" i="16"/>
  <c r="R1776" i="16"/>
  <c r="R1775" i="16"/>
  <c r="R1774" i="16"/>
  <c r="R1773" i="16"/>
  <c r="R1772" i="16"/>
  <c r="R1771" i="16"/>
  <c r="R1770" i="16"/>
  <c r="R1769" i="16"/>
  <c r="R1768" i="16"/>
  <c r="R1767" i="16"/>
  <c r="R1766" i="16"/>
  <c r="R1765" i="16"/>
  <c r="R1764" i="16"/>
  <c r="R1763" i="16"/>
  <c r="R1762" i="16"/>
  <c r="R1761" i="16"/>
  <c r="R1760" i="16"/>
  <c r="R1759" i="16"/>
  <c r="R1758" i="16"/>
  <c r="R1757" i="16"/>
  <c r="R1756" i="16"/>
  <c r="R1755" i="16"/>
  <c r="R1754" i="16"/>
  <c r="R1753" i="16"/>
  <c r="R1752" i="16"/>
  <c r="R1751" i="16"/>
  <c r="R1750" i="16"/>
  <c r="R1749" i="16"/>
  <c r="R1748" i="16"/>
  <c r="R1747" i="16"/>
  <c r="R1746" i="16"/>
  <c r="R1745" i="16"/>
  <c r="R1744" i="16"/>
  <c r="R1743" i="16"/>
  <c r="R1742" i="16"/>
  <c r="R1741" i="16"/>
  <c r="R1740" i="16"/>
  <c r="R1739" i="16"/>
  <c r="R1738" i="16"/>
  <c r="R1737" i="16"/>
  <c r="R1736" i="16"/>
  <c r="R1735" i="16"/>
  <c r="R1734" i="16"/>
  <c r="R1733" i="16"/>
  <c r="R1732" i="16"/>
  <c r="R1731" i="16"/>
  <c r="R1730" i="16"/>
  <c r="R1729" i="16"/>
  <c r="R1728" i="16"/>
  <c r="R1727" i="16"/>
  <c r="R1726" i="16"/>
  <c r="R1725" i="16"/>
  <c r="R1724" i="16"/>
  <c r="R1723" i="16"/>
  <c r="R1722" i="16"/>
  <c r="R1721" i="16"/>
  <c r="R1720" i="16"/>
  <c r="R1719" i="16"/>
  <c r="R1718" i="16"/>
  <c r="R1717" i="16"/>
  <c r="R1716" i="16"/>
  <c r="R1715" i="16"/>
  <c r="R1714" i="16"/>
  <c r="R1713" i="16"/>
  <c r="R1712" i="16"/>
  <c r="R1711" i="16"/>
  <c r="R1710" i="16"/>
  <c r="R1709" i="16"/>
  <c r="R1708" i="16"/>
  <c r="R1707" i="16"/>
  <c r="R1706" i="16"/>
  <c r="R1705" i="16"/>
  <c r="R1704" i="16"/>
  <c r="R1703" i="16"/>
  <c r="R1702" i="16"/>
  <c r="R1701" i="16"/>
  <c r="R1700" i="16"/>
  <c r="R1699" i="16"/>
  <c r="R1698" i="16"/>
  <c r="R1697" i="16"/>
  <c r="R1696" i="16"/>
  <c r="R1695" i="16"/>
  <c r="R1694" i="16"/>
  <c r="R1693" i="16"/>
  <c r="R1692" i="16"/>
  <c r="R1691" i="16"/>
  <c r="R1690" i="16"/>
  <c r="R1689" i="16"/>
  <c r="R1688" i="16"/>
  <c r="R1687" i="16"/>
  <c r="R1686" i="16"/>
  <c r="R1685" i="16"/>
  <c r="R1684" i="16"/>
  <c r="R1683" i="16"/>
  <c r="R1682" i="16"/>
  <c r="R1681" i="16"/>
  <c r="R1680" i="16"/>
  <c r="R1679" i="16"/>
  <c r="R1678" i="16"/>
  <c r="R1677" i="16"/>
  <c r="R1676" i="16"/>
  <c r="R1675" i="16"/>
  <c r="R1674" i="16"/>
  <c r="R1673" i="16"/>
  <c r="R1672" i="16"/>
  <c r="R1671" i="16"/>
  <c r="R1670" i="16"/>
  <c r="R1669" i="16"/>
  <c r="R1668" i="16"/>
  <c r="R1667" i="16"/>
  <c r="R1666" i="16"/>
  <c r="R1665" i="16"/>
  <c r="R1664" i="16"/>
  <c r="R1663" i="16"/>
  <c r="R1662" i="16"/>
  <c r="R1661" i="16"/>
  <c r="R1660" i="16"/>
  <c r="R1659" i="16"/>
  <c r="R1658" i="16"/>
  <c r="R1657" i="16"/>
  <c r="R1656" i="16"/>
  <c r="R1655" i="16"/>
  <c r="R1654" i="16"/>
  <c r="R1653" i="16"/>
  <c r="R1652" i="16"/>
  <c r="R1651" i="16"/>
  <c r="R1650" i="16"/>
  <c r="R1649" i="16"/>
  <c r="R1648" i="16"/>
  <c r="R1647" i="16"/>
  <c r="R1646" i="16"/>
  <c r="R1645" i="16"/>
  <c r="R1644" i="16"/>
  <c r="R1643" i="16"/>
  <c r="R1642" i="16"/>
  <c r="R1641" i="16"/>
  <c r="R1640" i="16"/>
  <c r="R1639" i="16"/>
  <c r="R1638" i="16"/>
  <c r="R1637" i="16"/>
  <c r="R1636" i="16"/>
  <c r="R1635" i="16"/>
  <c r="R1634" i="16"/>
  <c r="R1633" i="16"/>
  <c r="R1632" i="16"/>
  <c r="R1631" i="16"/>
  <c r="R1630" i="16"/>
  <c r="R1629" i="16"/>
  <c r="R1628" i="16"/>
  <c r="R1627" i="16"/>
  <c r="R1626" i="16"/>
  <c r="R1625" i="16"/>
  <c r="R1624" i="16"/>
  <c r="R1623" i="16"/>
  <c r="R1622" i="16"/>
  <c r="R1621" i="16"/>
  <c r="R1620" i="16"/>
  <c r="R1619" i="16"/>
  <c r="R1618" i="16"/>
  <c r="R1617" i="16"/>
  <c r="R1616" i="16"/>
  <c r="R1615" i="16"/>
  <c r="R1614" i="16"/>
  <c r="R1613" i="16"/>
  <c r="R1612" i="16"/>
  <c r="R1611" i="16"/>
  <c r="R1610" i="16"/>
  <c r="R1609" i="16"/>
  <c r="R1608" i="16"/>
  <c r="R1607" i="16"/>
  <c r="R1606" i="16"/>
  <c r="R1605" i="16"/>
  <c r="R1604" i="16"/>
  <c r="R1603" i="16"/>
  <c r="R1602" i="16"/>
  <c r="R1601" i="16"/>
  <c r="R1600" i="16"/>
  <c r="R1599" i="16"/>
  <c r="R1598" i="16"/>
  <c r="R1597" i="16"/>
  <c r="R1596" i="16"/>
  <c r="R1595" i="16"/>
  <c r="R1594" i="16"/>
  <c r="R1593" i="16"/>
  <c r="R1592" i="16"/>
  <c r="R1591" i="16"/>
  <c r="R1590" i="16"/>
  <c r="R1589" i="16"/>
  <c r="R1588" i="16"/>
  <c r="R1587" i="16"/>
  <c r="R1586" i="16"/>
  <c r="R1585" i="16"/>
  <c r="R1584" i="16"/>
  <c r="R1583" i="16"/>
  <c r="R1582" i="16"/>
  <c r="R1581" i="16"/>
  <c r="R1580" i="16"/>
  <c r="R1579" i="16"/>
  <c r="R1578" i="16"/>
  <c r="R1577" i="16"/>
  <c r="R1576" i="16"/>
  <c r="R1575" i="16"/>
  <c r="R1574" i="16"/>
  <c r="R1573" i="16"/>
  <c r="R1572" i="16"/>
  <c r="R1571" i="16"/>
  <c r="R1570" i="16"/>
  <c r="R1569" i="16"/>
  <c r="R1568" i="16"/>
  <c r="R1567" i="16"/>
  <c r="R1566" i="16"/>
  <c r="R1565" i="16"/>
  <c r="R1564" i="16"/>
  <c r="R1563" i="16"/>
  <c r="R1562" i="16"/>
  <c r="R1561" i="16"/>
  <c r="R1560" i="16"/>
  <c r="R1559" i="16"/>
  <c r="R1558" i="16"/>
  <c r="R1557" i="16"/>
  <c r="R1556" i="16"/>
  <c r="R1555" i="16"/>
  <c r="R1554" i="16"/>
  <c r="R1553" i="16"/>
  <c r="R1552" i="16"/>
  <c r="R1551" i="16"/>
  <c r="R1550" i="16"/>
  <c r="R1549" i="16"/>
  <c r="R1548" i="16"/>
  <c r="R1547" i="16"/>
  <c r="R1546" i="16"/>
  <c r="R1545" i="16"/>
  <c r="R1544" i="16"/>
  <c r="R1543" i="16"/>
  <c r="R1542" i="16"/>
  <c r="R1541" i="16"/>
  <c r="R1540" i="16"/>
  <c r="R1539" i="16"/>
  <c r="R1538" i="16"/>
  <c r="R1537" i="16"/>
  <c r="R1536" i="16"/>
  <c r="R1535" i="16"/>
  <c r="R1534" i="16"/>
  <c r="R1533" i="16"/>
  <c r="R1532" i="16"/>
  <c r="R1531" i="16"/>
  <c r="R1530" i="16"/>
  <c r="R1529" i="16"/>
  <c r="R1528" i="16"/>
  <c r="R1527" i="16"/>
  <c r="R1526" i="16"/>
  <c r="R1525" i="16"/>
  <c r="R1524" i="16"/>
  <c r="R1523" i="16"/>
  <c r="R1522" i="16"/>
  <c r="R1521" i="16"/>
  <c r="R1520" i="16"/>
  <c r="R1519" i="16"/>
  <c r="R1518" i="16"/>
  <c r="R1517" i="16"/>
  <c r="R1516" i="16"/>
  <c r="R1515" i="16"/>
  <c r="R1514" i="16"/>
  <c r="R1513" i="16"/>
  <c r="R1512" i="16"/>
  <c r="R1511" i="16"/>
  <c r="R1510" i="16"/>
  <c r="R1509" i="16"/>
  <c r="R1508" i="16"/>
  <c r="R1507" i="16"/>
  <c r="R1506" i="16"/>
  <c r="R1505" i="16"/>
  <c r="R1504" i="16"/>
  <c r="R1503" i="16"/>
  <c r="R1502" i="16"/>
  <c r="R1501" i="16"/>
  <c r="R1500" i="16"/>
  <c r="R1499" i="16"/>
  <c r="R1498" i="16"/>
  <c r="R1497" i="16"/>
  <c r="R1496" i="16"/>
  <c r="R1495" i="16"/>
  <c r="R1494" i="16"/>
  <c r="R1493" i="16"/>
  <c r="R1492" i="16"/>
  <c r="R1491" i="16"/>
  <c r="R1490" i="16"/>
  <c r="R1489" i="16"/>
  <c r="R1488" i="16"/>
  <c r="R1487" i="16"/>
  <c r="R1486" i="16"/>
  <c r="R1485" i="16"/>
  <c r="R1484" i="16"/>
  <c r="R1483" i="16"/>
  <c r="R1482" i="16"/>
  <c r="R1481" i="16"/>
  <c r="R1480" i="16"/>
  <c r="R1479" i="16"/>
  <c r="R1478" i="16"/>
  <c r="R1477" i="16"/>
  <c r="R1476" i="16"/>
  <c r="R1475" i="16"/>
  <c r="R1474" i="16"/>
  <c r="R1473" i="16"/>
  <c r="R1472" i="16"/>
  <c r="R1471" i="16"/>
  <c r="R1470" i="16"/>
  <c r="R1469" i="16"/>
  <c r="R1468" i="16"/>
  <c r="R1467" i="16"/>
  <c r="R1466" i="16"/>
  <c r="R1465" i="16"/>
  <c r="R1464" i="16"/>
  <c r="R1463" i="16"/>
  <c r="R1462" i="16"/>
  <c r="R1461" i="16"/>
  <c r="R1460" i="16"/>
  <c r="R1459" i="16"/>
  <c r="R1458" i="16"/>
  <c r="R1457" i="16"/>
  <c r="R1456" i="16"/>
  <c r="R1455" i="16"/>
  <c r="R1454" i="16"/>
  <c r="R1453" i="16"/>
  <c r="R1452" i="16"/>
  <c r="R1451" i="16"/>
  <c r="R1450" i="16"/>
  <c r="R1449" i="16"/>
  <c r="R1448" i="16"/>
  <c r="R1447" i="16"/>
  <c r="R1446" i="16"/>
  <c r="R1445" i="16"/>
  <c r="R1444" i="16"/>
  <c r="R1443" i="16"/>
  <c r="R1442" i="16"/>
  <c r="R1441" i="16"/>
  <c r="R1440" i="16"/>
  <c r="R1439" i="16"/>
  <c r="R1438" i="16"/>
  <c r="R1437" i="16"/>
  <c r="R1436" i="16"/>
  <c r="R1435" i="16"/>
  <c r="R1434" i="16"/>
  <c r="R1433" i="16"/>
  <c r="R1432" i="16"/>
  <c r="R1431" i="16"/>
  <c r="R1430" i="16"/>
  <c r="R1429" i="16"/>
  <c r="R1428" i="16"/>
  <c r="R1427" i="16"/>
  <c r="R1426" i="16"/>
  <c r="R1425" i="16"/>
  <c r="R1424" i="16"/>
  <c r="R1423" i="16"/>
  <c r="R1422" i="16"/>
  <c r="R1421" i="16"/>
  <c r="R1420" i="16"/>
  <c r="R1419" i="16"/>
  <c r="R1418" i="16"/>
  <c r="R1417" i="16"/>
  <c r="R1416" i="16"/>
  <c r="R1415" i="16"/>
  <c r="R1414" i="16"/>
  <c r="R1413" i="16"/>
  <c r="R1412" i="16"/>
  <c r="R1411" i="16"/>
  <c r="R1410" i="16"/>
  <c r="R1409" i="16"/>
  <c r="R1408" i="16"/>
  <c r="R1407" i="16"/>
  <c r="R1406" i="16"/>
  <c r="R1405" i="16"/>
  <c r="R1404" i="16"/>
  <c r="R1403" i="16"/>
  <c r="R1402" i="16"/>
  <c r="R1401" i="16"/>
  <c r="R1400" i="16"/>
  <c r="R1399" i="16"/>
  <c r="R1398" i="16"/>
  <c r="R1397" i="16"/>
  <c r="R1396" i="16"/>
  <c r="R1395" i="16"/>
  <c r="R1394" i="16"/>
  <c r="R1393" i="16"/>
  <c r="R1392" i="16"/>
  <c r="R1391" i="16"/>
  <c r="R1390" i="16"/>
  <c r="R1389" i="16"/>
  <c r="R1388" i="16"/>
  <c r="R1387" i="16"/>
  <c r="R1386" i="16"/>
  <c r="R1385" i="16"/>
  <c r="R1384" i="16"/>
  <c r="R1383" i="16"/>
  <c r="R1382" i="16"/>
  <c r="R1381" i="16"/>
  <c r="R1380" i="16"/>
  <c r="R1379" i="16"/>
  <c r="R1378" i="16"/>
  <c r="R1377" i="16"/>
  <c r="R1376" i="16"/>
  <c r="R1375" i="16"/>
  <c r="R1374" i="16"/>
  <c r="R1373" i="16"/>
  <c r="R1372" i="16"/>
  <c r="R1371" i="16"/>
  <c r="R1370" i="16"/>
  <c r="R1369" i="16"/>
  <c r="R1368" i="16"/>
  <c r="R1367" i="16"/>
  <c r="R1366" i="16"/>
  <c r="R1365" i="16"/>
  <c r="R1364" i="16"/>
  <c r="R1363" i="16"/>
  <c r="R1362" i="16"/>
  <c r="R1361" i="16"/>
  <c r="R1360" i="16"/>
  <c r="R1359" i="16"/>
  <c r="R1358" i="16"/>
  <c r="R1357" i="16"/>
  <c r="R1356" i="16"/>
  <c r="R1355" i="16"/>
  <c r="R1354" i="16"/>
  <c r="R1353" i="16"/>
  <c r="R1352" i="16"/>
  <c r="R1351" i="16"/>
  <c r="R1350" i="16"/>
  <c r="R1349" i="16"/>
  <c r="R1348" i="16"/>
  <c r="R1347" i="16"/>
  <c r="R1346" i="16"/>
  <c r="R1345" i="16"/>
  <c r="R1344" i="16"/>
  <c r="R1343" i="16"/>
  <c r="R1342" i="16"/>
  <c r="R1341" i="16"/>
  <c r="R1340" i="16"/>
  <c r="R1339" i="16"/>
  <c r="R1338" i="16"/>
  <c r="R1337" i="16"/>
  <c r="R1336" i="16"/>
  <c r="R1335" i="16"/>
  <c r="R1334" i="16"/>
  <c r="R1333" i="16"/>
  <c r="R1332" i="16"/>
  <c r="R1331" i="16"/>
  <c r="R1330" i="16"/>
  <c r="R1329" i="16"/>
  <c r="R1328" i="16"/>
  <c r="R1327" i="16"/>
  <c r="R1326" i="16"/>
  <c r="R1325" i="16"/>
  <c r="R1324" i="16"/>
  <c r="R1323" i="16"/>
  <c r="R1322" i="16"/>
  <c r="R1321" i="16"/>
  <c r="R1320" i="16"/>
  <c r="R1319" i="16"/>
  <c r="R1318" i="16"/>
  <c r="R1317" i="16"/>
  <c r="R1316" i="16"/>
  <c r="R1315" i="16"/>
  <c r="R1314" i="16"/>
  <c r="R1313" i="16"/>
  <c r="R1312" i="16"/>
  <c r="R1311" i="16"/>
  <c r="R1310" i="16"/>
  <c r="R1309" i="16"/>
  <c r="R1308" i="16"/>
  <c r="R1307" i="16"/>
  <c r="R1306" i="16"/>
  <c r="R1305" i="16"/>
  <c r="R1304" i="16"/>
  <c r="R1303" i="16"/>
  <c r="R1302" i="16"/>
  <c r="R1301" i="16"/>
  <c r="R1300" i="16"/>
  <c r="R1299" i="16"/>
  <c r="R1298" i="16"/>
  <c r="R1297" i="16"/>
  <c r="R1296" i="16"/>
  <c r="R1295" i="16"/>
  <c r="R1294" i="16"/>
  <c r="R1293" i="16"/>
  <c r="R1292" i="16"/>
  <c r="R1291" i="16"/>
  <c r="R1290" i="16"/>
  <c r="R1289" i="16"/>
  <c r="R1288" i="16"/>
  <c r="R1287" i="16"/>
  <c r="R1286" i="16"/>
  <c r="R1285" i="16"/>
  <c r="R1284" i="16"/>
  <c r="R1283" i="16"/>
  <c r="R1282" i="16"/>
  <c r="R1281" i="16"/>
  <c r="R1280" i="16"/>
  <c r="R1279" i="16"/>
  <c r="R1278" i="16"/>
  <c r="R1277" i="16"/>
  <c r="R1276" i="16"/>
  <c r="R1275" i="16"/>
  <c r="R1274" i="16"/>
  <c r="R1273" i="16"/>
  <c r="R1272" i="16"/>
  <c r="R1271" i="16"/>
  <c r="R1270" i="16"/>
  <c r="R1269" i="16"/>
  <c r="R1268" i="16"/>
  <c r="R1267" i="16"/>
  <c r="R1266" i="16"/>
  <c r="R1265" i="16"/>
  <c r="R1264" i="16"/>
  <c r="R1263" i="16"/>
  <c r="R1262" i="16"/>
  <c r="R1261" i="16"/>
  <c r="R1260" i="16"/>
  <c r="R1259" i="16"/>
  <c r="R1258" i="16"/>
  <c r="R1257" i="16"/>
  <c r="R1256" i="16"/>
  <c r="R1255" i="16"/>
  <c r="R1254" i="16"/>
  <c r="R1253" i="16"/>
  <c r="R1252" i="16"/>
  <c r="R1251" i="16"/>
  <c r="R1250" i="16"/>
  <c r="R1249" i="16"/>
  <c r="R1248" i="16"/>
  <c r="R1247" i="16"/>
  <c r="R1246" i="16"/>
  <c r="R1245" i="16"/>
  <c r="R1244" i="16"/>
  <c r="R1243" i="16"/>
  <c r="R1242" i="16"/>
  <c r="R1241" i="16"/>
  <c r="R1240" i="16"/>
  <c r="R1239" i="16"/>
  <c r="R1238" i="16"/>
  <c r="R1237" i="16"/>
  <c r="R1236" i="16"/>
  <c r="R1235" i="16"/>
  <c r="R1234" i="16"/>
  <c r="R1233" i="16"/>
  <c r="R1232" i="16"/>
  <c r="R1231" i="16"/>
  <c r="R1230" i="16"/>
  <c r="R1229" i="16"/>
  <c r="R1228" i="16"/>
  <c r="R1227" i="16"/>
  <c r="R1226" i="16"/>
  <c r="R1225" i="16"/>
  <c r="R1224" i="16"/>
  <c r="R1223" i="16"/>
  <c r="R1222" i="16"/>
  <c r="R1221" i="16"/>
  <c r="R1220" i="16"/>
  <c r="R1219" i="16"/>
  <c r="R1218" i="16"/>
  <c r="R1217" i="16"/>
  <c r="R1216" i="16"/>
  <c r="R1215" i="16"/>
  <c r="R1214" i="16"/>
  <c r="R1213" i="16"/>
  <c r="R1212" i="16"/>
  <c r="R1211" i="16"/>
  <c r="R1210" i="16"/>
  <c r="R1209" i="16"/>
  <c r="R1208" i="16"/>
  <c r="R1207" i="16"/>
  <c r="R1206" i="16"/>
  <c r="R1205" i="16"/>
  <c r="R1204" i="16"/>
  <c r="R1203" i="16"/>
  <c r="R1202" i="16"/>
  <c r="R1201" i="16"/>
  <c r="R1200" i="16"/>
  <c r="R1199" i="16"/>
  <c r="R1198" i="16"/>
  <c r="R1197" i="16"/>
  <c r="R1196" i="16"/>
  <c r="R1195" i="16"/>
  <c r="R1194" i="16"/>
  <c r="R1193" i="16"/>
  <c r="R1192" i="16"/>
  <c r="R1191" i="16"/>
  <c r="R1190" i="16"/>
  <c r="R1189" i="16"/>
  <c r="R1188" i="16"/>
  <c r="R1187" i="16"/>
  <c r="R1186" i="16"/>
  <c r="R1185" i="16"/>
  <c r="R1184" i="16"/>
  <c r="R1183" i="16"/>
  <c r="R1182" i="16"/>
  <c r="R1181" i="16"/>
  <c r="R1180" i="16"/>
  <c r="R1179" i="16"/>
  <c r="R1178" i="16"/>
  <c r="R1177" i="16"/>
  <c r="R1176" i="16"/>
  <c r="R1175" i="16"/>
  <c r="R1174" i="16"/>
  <c r="R1173" i="16"/>
  <c r="R1172" i="16"/>
  <c r="R1171" i="16"/>
  <c r="R1170" i="16"/>
  <c r="R1169" i="16"/>
  <c r="R1168" i="16"/>
  <c r="R1167" i="16"/>
  <c r="R1166" i="16"/>
  <c r="R1165" i="16"/>
  <c r="R1164" i="16"/>
  <c r="R1163" i="16"/>
  <c r="R1162" i="16"/>
  <c r="R1161" i="16"/>
  <c r="R1160" i="16"/>
  <c r="R1159" i="16"/>
  <c r="R1158" i="16"/>
  <c r="R1157" i="16"/>
  <c r="R1156" i="16"/>
  <c r="R1155" i="16"/>
  <c r="R1154" i="16"/>
  <c r="R1153" i="16"/>
  <c r="R1152" i="16"/>
  <c r="R1151" i="16"/>
  <c r="R1150" i="16"/>
  <c r="R1149" i="16"/>
  <c r="R1148" i="16"/>
  <c r="R1147" i="16"/>
  <c r="R1146" i="16"/>
  <c r="R1145" i="16"/>
  <c r="R1144" i="16"/>
  <c r="R1143" i="16"/>
  <c r="R1142" i="16"/>
  <c r="R1141" i="16"/>
  <c r="R1140" i="16"/>
  <c r="R1139" i="16"/>
  <c r="R1138" i="16"/>
  <c r="R1137" i="16"/>
  <c r="R1136" i="16"/>
  <c r="R1135" i="16"/>
  <c r="R1134" i="16"/>
  <c r="R1133" i="16"/>
  <c r="R1132" i="16"/>
  <c r="R1131" i="16"/>
  <c r="R1130" i="16"/>
  <c r="R1129" i="16"/>
  <c r="R1128" i="16"/>
  <c r="R1127" i="16"/>
  <c r="R1126" i="16"/>
  <c r="R1125" i="16"/>
  <c r="R1124" i="16"/>
  <c r="R1123" i="16"/>
  <c r="R1122" i="16"/>
  <c r="R1121" i="16"/>
  <c r="R1120" i="16"/>
  <c r="R1119" i="16"/>
  <c r="R1118" i="16"/>
  <c r="R1117" i="16"/>
  <c r="R1116" i="16"/>
  <c r="R1115" i="16"/>
  <c r="R1114" i="16"/>
  <c r="R1113" i="16"/>
  <c r="R1112" i="16"/>
  <c r="R1111" i="16"/>
  <c r="R1110" i="16"/>
  <c r="R1109" i="16"/>
  <c r="R1108" i="16"/>
  <c r="R1107" i="16"/>
  <c r="R1106" i="16"/>
  <c r="R1105" i="16"/>
  <c r="R1104" i="16"/>
  <c r="R1103" i="16"/>
  <c r="R1102" i="16"/>
  <c r="R1101" i="16"/>
  <c r="R1100" i="16"/>
  <c r="R1099" i="16"/>
  <c r="R1098" i="16"/>
  <c r="R1097" i="16"/>
  <c r="R1096" i="16"/>
  <c r="R1095" i="16"/>
  <c r="R1094" i="16"/>
  <c r="R1093" i="16"/>
  <c r="R1092" i="16"/>
  <c r="R1091" i="16"/>
  <c r="R1090" i="16"/>
  <c r="R1089" i="16"/>
  <c r="R1088" i="16"/>
  <c r="R1087" i="16"/>
  <c r="R1086" i="16"/>
  <c r="R1085" i="16"/>
  <c r="R1084" i="16"/>
  <c r="R1083" i="16"/>
  <c r="R1082" i="16"/>
  <c r="R1081" i="16"/>
  <c r="R1080" i="16"/>
  <c r="R1079" i="16"/>
  <c r="R1078" i="16"/>
  <c r="R1077" i="16"/>
  <c r="R1076" i="16"/>
  <c r="R1075" i="16"/>
  <c r="R1074" i="16"/>
  <c r="R1073" i="16"/>
  <c r="R1072" i="16"/>
  <c r="R1071" i="16"/>
  <c r="R1070" i="16"/>
  <c r="R1069" i="16"/>
  <c r="R1068" i="16"/>
  <c r="R1067" i="16"/>
  <c r="R1066" i="16"/>
  <c r="R1065" i="16"/>
  <c r="R1064" i="16"/>
  <c r="R1063" i="16"/>
  <c r="R1062" i="16"/>
  <c r="R1061" i="16"/>
  <c r="R1060" i="16"/>
  <c r="R1059" i="16"/>
  <c r="R1058" i="16"/>
  <c r="R1057" i="16"/>
  <c r="R1056" i="16"/>
  <c r="R1055" i="16"/>
  <c r="R1054" i="16"/>
  <c r="R1053" i="16"/>
  <c r="R1052" i="16"/>
  <c r="R1051" i="16"/>
  <c r="R1050" i="16"/>
  <c r="R1049" i="16"/>
  <c r="R1048" i="16"/>
  <c r="R1047" i="16"/>
  <c r="R1046" i="16"/>
  <c r="R1045" i="16"/>
  <c r="R1044" i="16"/>
  <c r="R1043" i="16"/>
  <c r="R1042" i="16"/>
  <c r="R1041" i="16"/>
  <c r="R1040" i="16"/>
  <c r="R1039" i="16"/>
  <c r="R1038" i="16"/>
  <c r="R1037" i="16"/>
  <c r="R1036" i="16"/>
  <c r="R1035" i="16"/>
  <c r="R1034" i="16"/>
  <c r="R1033" i="16"/>
  <c r="R1032" i="16"/>
  <c r="R1031" i="16"/>
  <c r="R1030" i="16"/>
  <c r="R1029" i="16"/>
  <c r="R1028" i="16"/>
  <c r="R1027" i="16"/>
  <c r="R1026" i="16"/>
  <c r="R1025" i="16"/>
  <c r="R1024" i="16"/>
  <c r="R1023" i="16"/>
  <c r="R1022" i="16"/>
  <c r="R1021" i="16"/>
  <c r="R1020" i="16"/>
  <c r="R1019" i="16"/>
  <c r="R1018" i="16"/>
  <c r="R1017" i="16"/>
  <c r="R1016" i="16"/>
  <c r="R1015" i="16"/>
  <c r="R1014" i="16"/>
  <c r="R1013" i="16"/>
  <c r="R1012" i="16"/>
  <c r="R1011" i="16"/>
  <c r="R1010" i="16"/>
  <c r="R1009" i="16"/>
  <c r="R1008" i="16"/>
  <c r="R1007" i="16"/>
  <c r="R1006" i="16"/>
  <c r="R1005" i="16"/>
  <c r="R1004" i="16"/>
  <c r="R1003" i="16"/>
  <c r="R1002" i="16"/>
  <c r="R1001" i="16"/>
  <c r="R1000" i="16"/>
  <c r="R999" i="16"/>
  <c r="R998" i="16"/>
  <c r="R997" i="16"/>
  <c r="R996" i="16"/>
  <c r="R995" i="16"/>
  <c r="R994" i="16"/>
  <c r="R993" i="16"/>
  <c r="R992" i="16"/>
  <c r="R991" i="16"/>
  <c r="R990" i="16"/>
  <c r="R989" i="16"/>
  <c r="R988" i="16"/>
  <c r="R987" i="16"/>
  <c r="R986" i="16"/>
  <c r="R985" i="16"/>
  <c r="R984" i="16"/>
  <c r="R983" i="16"/>
  <c r="R982" i="16"/>
  <c r="R981" i="16"/>
  <c r="R980" i="16"/>
  <c r="R979" i="16"/>
  <c r="R978" i="16"/>
  <c r="R977" i="16"/>
  <c r="R976" i="16"/>
  <c r="R975" i="16"/>
  <c r="R974" i="16"/>
  <c r="R973" i="16"/>
  <c r="R972" i="16"/>
  <c r="R971" i="16"/>
  <c r="R970" i="16"/>
  <c r="R969" i="16"/>
  <c r="R968" i="16"/>
  <c r="R967" i="16"/>
  <c r="R966" i="16"/>
  <c r="R965" i="16"/>
  <c r="R964" i="16"/>
  <c r="R963" i="16"/>
  <c r="R962" i="16"/>
  <c r="R961" i="16"/>
  <c r="R960" i="16"/>
  <c r="R959" i="16"/>
  <c r="R958" i="16"/>
  <c r="R957" i="16"/>
  <c r="R956" i="16"/>
  <c r="R955" i="16"/>
  <c r="R954" i="16"/>
  <c r="R953" i="16"/>
  <c r="R952" i="16"/>
  <c r="R951" i="16"/>
  <c r="R950" i="16"/>
  <c r="R949" i="16"/>
  <c r="R948" i="16"/>
  <c r="R947" i="16"/>
  <c r="R946" i="16"/>
  <c r="R945" i="16"/>
  <c r="R944" i="16"/>
  <c r="R943" i="16"/>
  <c r="R942" i="16"/>
  <c r="R941" i="16"/>
  <c r="R940" i="16"/>
  <c r="R939" i="16"/>
  <c r="R938" i="16"/>
  <c r="R937" i="16"/>
  <c r="R936" i="16"/>
  <c r="R935" i="16"/>
  <c r="R934" i="16"/>
  <c r="R933" i="16"/>
  <c r="R932" i="16"/>
  <c r="R931" i="16"/>
  <c r="R930" i="16"/>
  <c r="R929" i="16"/>
  <c r="R928" i="16"/>
  <c r="R927" i="16"/>
  <c r="R926" i="16"/>
  <c r="R925" i="16"/>
  <c r="R924" i="16"/>
  <c r="R923" i="16"/>
  <c r="R922" i="16"/>
  <c r="R921" i="16"/>
  <c r="R920" i="16"/>
  <c r="R919" i="16"/>
  <c r="R918" i="16"/>
  <c r="R917" i="16"/>
  <c r="R916" i="16"/>
  <c r="R915" i="16"/>
  <c r="R914" i="16"/>
  <c r="R913" i="16"/>
  <c r="R912" i="16"/>
  <c r="R911" i="16"/>
  <c r="R910" i="16"/>
  <c r="R909" i="16"/>
  <c r="R908" i="16"/>
  <c r="R907" i="16"/>
  <c r="R906" i="16"/>
  <c r="R905" i="16"/>
  <c r="R904" i="16"/>
  <c r="R903" i="16"/>
  <c r="R902" i="16"/>
  <c r="R901" i="16"/>
  <c r="R900" i="16"/>
  <c r="R899" i="16"/>
  <c r="R898" i="16"/>
  <c r="R897" i="16"/>
  <c r="R896" i="16"/>
  <c r="R895" i="16"/>
  <c r="R894" i="16"/>
  <c r="R893" i="16"/>
  <c r="R892" i="16"/>
  <c r="R891" i="16"/>
  <c r="R890" i="16"/>
  <c r="R889" i="16"/>
  <c r="R888" i="16"/>
  <c r="R887" i="16"/>
  <c r="R886" i="16"/>
  <c r="R885" i="16"/>
  <c r="R884" i="16"/>
  <c r="R883" i="16"/>
  <c r="R882" i="16"/>
  <c r="R881" i="16"/>
  <c r="R880" i="16"/>
  <c r="R879" i="16"/>
  <c r="R878" i="16"/>
  <c r="R877" i="16"/>
  <c r="R876" i="16"/>
  <c r="R875" i="16"/>
  <c r="R874" i="16"/>
  <c r="R873" i="16"/>
  <c r="R872" i="16"/>
  <c r="R871" i="16"/>
  <c r="R870" i="16"/>
  <c r="R869" i="16"/>
  <c r="R868" i="16"/>
  <c r="R867" i="16"/>
  <c r="R866" i="16"/>
  <c r="R865" i="16"/>
  <c r="R864" i="16"/>
  <c r="R863" i="16"/>
  <c r="R862" i="16"/>
  <c r="R861" i="16"/>
  <c r="R860" i="16"/>
  <c r="R859" i="16"/>
  <c r="R858" i="16"/>
  <c r="R857" i="16"/>
  <c r="R856" i="16"/>
  <c r="R855" i="16"/>
  <c r="R854" i="16"/>
  <c r="R853" i="16"/>
  <c r="R852" i="16"/>
  <c r="R851" i="16"/>
  <c r="R850" i="16"/>
  <c r="R849" i="16"/>
  <c r="R848" i="16"/>
  <c r="R847" i="16"/>
  <c r="R846" i="16"/>
  <c r="R845" i="16"/>
  <c r="R844" i="16"/>
  <c r="R843" i="16"/>
  <c r="R842" i="16"/>
  <c r="R841" i="16"/>
  <c r="R840" i="16"/>
  <c r="R839" i="16"/>
  <c r="R838" i="16"/>
  <c r="R837" i="16"/>
  <c r="R836" i="16"/>
  <c r="R835" i="16"/>
  <c r="R834" i="16"/>
  <c r="R833" i="16"/>
  <c r="R832" i="16"/>
  <c r="R831" i="16"/>
  <c r="R830" i="16"/>
  <c r="R829" i="16"/>
  <c r="R828" i="16"/>
  <c r="R827" i="16"/>
  <c r="R826" i="16"/>
  <c r="R825" i="16"/>
  <c r="R824" i="16"/>
  <c r="R823" i="16"/>
  <c r="R822" i="16"/>
  <c r="R821" i="16"/>
  <c r="R820" i="16"/>
  <c r="R819" i="16"/>
  <c r="R818" i="16"/>
  <c r="R817" i="16"/>
  <c r="R816" i="16"/>
  <c r="R815" i="16"/>
  <c r="R814" i="16"/>
  <c r="R813" i="16"/>
  <c r="R812" i="16"/>
  <c r="R811" i="16"/>
  <c r="R810" i="16"/>
  <c r="R809" i="16"/>
  <c r="R808" i="16"/>
  <c r="R807" i="16"/>
  <c r="R806" i="16"/>
  <c r="R805" i="16"/>
  <c r="R804" i="16"/>
  <c r="R803" i="16"/>
  <c r="R802" i="16"/>
  <c r="R801" i="16"/>
  <c r="R800" i="16"/>
  <c r="R799" i="16"/>
  <c r="R798" i="16"/>
  <c r="R797" i="16"/>
  <c r="R796" i="16"/>
  <c r="R795" i="16"/>
  <c r="R794" i="16"/>
  <c r="R793" i="16"/>
  <c r="R792" i="16"/>
  <c r="R791" i="16"/>
  <c r="R790" i="16"/>
  <c r="R789" i="16"/>
  <c r="R788" i="16"/>
  <c r="R787" i="16"/>
  <c r="R786" i="16"/>
  <c r="R785" i="16"/>
  <c r="R784" i="16"/>
  <c r="R783" i="16"/>
  <c r="R782" i="16"/>
  <c r="R781" i="16"/>
  <c r="R780" i="16"/>
  <c r="R779" i="16"/>
  <c r="R778" i="16"/>
  <c r="R777" i="16"/>
  <c r="R776" i="16"/>
  <c r="R775" i="16"/>
  <c r="R774" i="16"/>
  <c r="R773" i="16"/>
  <c r="R772" i="16"/>
  <c r="R771" i="16"/>
  <c r="R770" i="16"/>
  <c r="R769" i="16"/>
  <c r="R768" i="16"/>
  <c r="R767" i="16"/>
  <c r="R766" i="16"/>
  <c r="R765" i="16"/>
  <c r="R764" i="16"/>
  <c r="R763" i="16"/>
  <c r="R762" i="16"/>
  <c r="R761" i="16"/>
  <c r="R760" i="16"/>
  <c r="R759" i="16"/>
  <c r="R758" i="16"/>
  <c r="R757" i="16"/>
  <c r="R756" i="16"/>
  <c r="R755" i="16"/>
  <c r="R754" i="16"/>
  <c r="R753" i="16"/>
  <c r="R752" i="16"/>
  <c r="R751" i="16"/>
  <c r="R750" i="16"/>
  <c r="R749" i="16"/>
  <c r="R748" i="16"/>
  <c r="R747" i="16"/>
  <c r="R746" i="16"/>
  <c r="R745" i="16"/>
  <c r="R744" i="16"/>
  <c r="R743" i="16"/>
  <c r="R742" i="16"/>
  <c r="R741" i="16"/>
  <c r="R740" i="16"/>
  <c r="R739" i="16"/>
  <c r="R738" i="16"/>
  <c r="R737" i="16"/>
  <c r="R736" i="16"/>
  <c r="R735" i="16"/>
  <c r="R734" i="16"/>
  <c r="R733" i="16"/>
  <c r="R732" i="16"/>
  <c r="R731" i="16"/>
  <c r="R730" i="16"/>
  <c r="R729" i="16"/>
  <c r="R728" i="16"/>
  <c r="R727" i="16"/>
  <c r="R726" i="16"/>
  <c r="R725" i="16"/>
  <c r="R724" i="16"/>
  <c r="R723" i="16"/>
  <c r="R722" i="16"/>
  <c r="R721" i="16"/>
  <c r="R720" i="16"/>
  <c r="R719" i="16"/>
  <c r="R718" i="16"/>
  <c r="R717" i="16"/>
  <c r="R716" i="16"/>
  <c r="R715" i="16"/>
  <c r="R714" i="16"/>
  <c r="R713" i="16"/>
  <c r="R712" i="16"/>
  <c r="R711" i="16"/>
  <c r="R710" i="16"/>
  <c r="R709" i="16"/>
  <c r="R708" i="16"/>
  <c r="R707" i="16"/>
  <c r="R706" i="16"/>
  <c r="R705" i="16"/>
  <c r="R704" i="16"/>
  <c r="R703" i="16"/>
  <c r="R702" i="16"/>
  <c r="R701" i="16"/>
  <c r="R700" i="16"/>
  <c r="R699" i="16"/>
  <c r="R698" i="16"/>
  <c r="R697" i="16"/>
  <c r="R696" i="16"/>
  <c r="R695" i="16"/>
  <c r="R694" i="16"/>
  <c r="R693" i="16"/>
  <c r="R692" i="16"/>
  <c r="R691" i="16"/>
  <c r="R690" i="16"/>
  <c r="R689" i="16"/>
  <c r="R688" i="16"/>
  <c r="R687" i="16"/>
  <c r="R686" i="16"/>
  <c r="R685" i="16"/>
  <c r="R684" i="16"/>
  <c r="R683" i="16"/>
  <c r="R682" i="16"/>
  <c r="R681" i="16"/>
  <c r="R680" i="16"/>
  <c r="R679" i="16"/>
  <c r="R678" i="16"/>
  <c r="R677" i="16"/>
  <c r="R676" i="16"/>
  <c r="R675" i="16"/>
  <c r="R674" i="16"/>
  <c r="R673" i="16"/>
  <c r="R672" i="16"/>
  <c r="R671" i="16"/>
  <c r="R670" i="16"/>
  <c r="R669" i="16"/>
  <c r="R668" i="16"/>
  <c r="R667" i="16"/>
  <c r="R666" i="16"/>
  <c r="R665" i="16"/>
  <c r="R664" i="16"/>
  <c r="R663" i="16"/>
  <c r="R662" i="16"/>
  <c r="R661" i="16"/>
  <c r="R660" i="16"/>
  <c r="R659" i="16"/>
  <c r="R658" i="16"/>
  <c r="R657" i="16"/>
  <c r="R656" i="16"/>
  <c r="R655" i="16"/>
  <c r="R654" i="16"/>
  <c r="R653" i="16"/>
  <c r="R652" i="16"/>
  <c r="R651" i="16"/>
  <c r="R650" i="16"/>
  <c r="R649" i="16"/>
  <c r="R648" i="16"/>
  <c r="R647" i="16"/>
  <c r="R646" i="16"/>
  <c r="R645" i="16"/>
  <c r="R644" i="16"/>
  <c r="R643" i="16"/>
  <c r="R642" i="16"/>
  <c r="R641" i="16"/>
  <c r="R640" i="16"/>
  <c r="R639" i="16"/>
  <c r="R638" i="16"/>
  <c r="R637" i="16"/>
  <c r="R636" i="16"/>
  <c r="R635" i="16"/>
  <c r="R634" i="16"/>
  <c r="R633" i="16"/>
  <c r="R632" i="16"/>
  <c r="R631" i="16"/>
  <c r="R630" i="16"/>
  <c r="R629" i="16"/>
  <c r="R628" i="16"/>
  <c r="R627" i="16"/>
  <c r="R626" i="16"/>
  <c r="R625" i="16"/>
  <c r="R624" i="16"/>
  <c r="R623" i="16"/>
  <c r="R622" i="16"/>
  <c r="R621" i="16"/>
  <c r="R620" i="16"/>
  <c r="R619" i="16"/>
  <c r="R618" i="16"/>
  <c r="R617" i="16"/>
  <c r="R616" i="16"/>
  <c r="R615" i="16"/>
  <c r="R614" i="16"/>
  <c r="R613" i="16"/>
  <c r="R612" i="16"/>
  <c r="R611" i="16"/>
  <c r="R610" i="16"/>
  <c r="R609" i="16"/>
  <c r="R608" i="16"/>
  <c r="R607" i="16"/>
  <c r="R606" i="16"/>
  <c r="R605" i="16"/>
  <c r="R604" i="16"/>
  <c r="R603" i="16"/>
  <c r="R602" i="16"/>
  <c r="R601" i="16"/>
  <c r="R600" i="16"/>
  <c r="R599" i="16"/>
  <c r="R598" i="16"/>
  <c r="R597" i="16"/>
  <c r="R596" i="16"/>
  <c r="R595" i="16"/>
  <c r="R594" i="16"/>
  <c r="R593" i="16"/>
  <c r="R592" i="16"/>
  <c r="R591" i="16"/>
  <c r="R590" i="16"/>
  <c r="R589" i="16"/>
  <c r="R588" i="16"/>
  <c r="R587" i="16"/>
  <c r="R586" i="16"/>
  <c r="R585" i="16"/>
  <c r="R584" i="16"/>
  <c r="R583" i="16"/>
  <c r="R582" i="16"/>
  <c r="R581" i="16"/>
  <c r="R580" i="16"/>
  <c r="R579" i="16"/>
  <c r="R578" i="16"/>
  <c r="R577" i="16"/>
  <c r="R576" i="16"/>
  <c r="R575" i="16"/>
  <c r="R574" i="16"/>
  <c r="R573" i="16"/>
  <c r="R572" i="16"/>
  <c r="R571" i="16"/>
  <c r="R570" i="16"/>
  <c r="R569" i="16"/>
  <c r="R568" i="16"/>
  <c r="R567" i="16"/>
  <c r="R566" i="16"/>
  <c r="R565" i="16"/>
  <c r="R564" i="16"/>
  <c r="R563" i="16"/>
  <c r="R562" i="16"/>
  <c r="R561" i="16"/>
  <c r="R560" i="16"/>
  <c r="R559" i="16"/>
  <c r="R558" i="16"/>
  <c r="R557" i="16"/>
  <c r="R556" i="16"/>
  <c r="R555" i="16"/>
  <c r="R554" i="16"/>
  <c r="R553" i="16"/>
  <c r="R552" i="16"/>
  <c r="R551" i="16"/>
  <c r="R550" i="16"/>
  <c r="R549" i="16"/>
  <c r="R548" i="16"/>
  <c r="R547" i="16"/>
  <c r="R546" i="16"/>
  <c r="R545" i="16"/>
  <c r="R544" i="16"/>
  <c r="R543" i="16"/>
  <c r="R542" i="16"/>
  <c r="R541" i="16"/>
  <c r="R540" i="16"/>
  <c r="R539" i="16"/>
  <c r="R538" i="16"/>
  <c r="R537" i="16"/>
  <c r="R536" i="16"/>
  <c r="R535" i="16"/>
  <c r="R534" i="16"/>
  <c r="R533" i="16"/>
  <c r="R532" i="16"/>
  <c r="R531" i="16"/>
  <c r="R530" i="16"/>
  <c r="R529" i="16"/>
  <c r="R528" i="16"/>
  <c r="R527" i="16"/>
  <c r="R526" i="16"/>
  <c r="R525" i="16"/>
  <c r="R524" i="16"/>
  <c r="R523" i="16"/>
  <c r="R522" i="16"/>
  <c r="R521" i="16"/>
  <c r="R520" i="16"/>
  <c r="R519" i="16"/>
  <c r="R518" i="16"/>
  <c r="R517" i="16"/>
  <c r="R516" i="16"/>
  <c r="R515" i="16"/>
  <c r="R514" i="16"/>
  <c r="R513" i="16"/>
  <c r="R512" i="16"/>
  <c r="R511" i="16"/>
  <c r="R510" i="16"/>
  <c r="R509" i="16"/>
  <c r="R508" i="16"/>
  <c r="R507" i="16"/>
  <c r="R506" i="16"/>
  <c r="R505" i="16"/>
  <c r="R504" i="16"/>
  <c r="R503" i="16"/>
  <c r="R502" i="16"/>
  <c r="R501" i="16"/>
  <c r="R500" i="16"/>
  <c r="R499" i="16"/>
  <c r="R498" i="16"/>
  <c r="R497" i="16"/>
  <c r="R496" i="16"/>
  <c r="R495" i="16"/>
  <c r="R494" i="16"/>
  <c r="R493" i="16"/>
  <c r="R492" i="16"/>
  <c r="R491" i="16"/>
  <c r="R490" i="16"/>
  <c r="R489" i="16"/>
  <c r="R488" i="16"/>
  <c r="R487" i="16"/>
  <c r="R486" i="16"/>
  <c r="R485" i="16"/>
  <c r="R484" i="16"/>
  <c r="R483" i="16"/>
  <c r="R482" i="16"/>
  <c r="R481" i="16"/>
  <c r="R480" i="16"/>
  <c r="R479" i="16"/>
  <c r="R478" i="16"/>
  <c r="R477" i="16"/>
  <c r="R476" i="16"/>
  <c r="R475" i="16"/>
  <c r="R474" i="16"/>
  <c r="R473" i="16"/>
  <c r="R472" i="16"/>
  <c r="R471" i="16"/>
  <c r="R470" i="16"/>
  <c r="R469" i="16"/>
  <c r="R468" i="16"/>
  <c r="R467" i="16"/>
  <c r="R466" i="16"/>
  <c r="R465" i="16"/>
  <c r="R464" i="16"/>
  <c r="R463" i="16"/>
  <c r="R462" i="16"/>
  <c r="R461" i="16"/>
  <c r="R460" i="16"/>
  <c r="R459" i="16"/>
  <c r="R458" i="16"/>
  <c r="R457" i="16"/>
  <c r="R456" i="16"/>
  <c r="R455" i="16"/>
  <c r="R454" i="16"/>
  <c r="R453" i="16"/>
  <c r="R452" i="16"/>
  <c r="R451" i="16"/>
  <c r="R450" i="16"/>
  <c r="R449" i="16"/>
  <c r="R448" i="16"/>
  <c r="R447" i="16"/>
  <c r="R446" i="16"/>
  <c r="R445" i="16"/>
  <c r="R444" i="16"/>
  <c r="R443" i="16"/>
  <c r="R442" i="16"/>
  <c r="R441" i="16"/>
  <c r="R440" i="16"/>
  <c r="R439" i="16"/>
  <c r="R438" i="16"/>
  <c r="R437" i="16"/>
  <c r="R436" i="16"/>
  <c r="R435" i="16"/>
  <c r="R434" i="16"/>
  <c r="R433" i="16"/>
  <c r="R432" i="16"/>
  <c r="R431" i="16"/>
  <c r="R430" i="16"/>
  <c r="R429" i="16"/>
  <c r="R428" i="16"/>
  <c r="R427" i="16"/>
  <c r="R426" i="16"/>
  <c r="R425" i="16"/>
  <c r="R424" i="16"/>
  <c r="R423" i="16"/>
  <c r="R422" i="16"/>
  <c r="R421" i="16"/>
  <c r="R420" i="16"/>
  <c r="R419" i="16"/>
  <c r="R418" i="16"/>
  <c r="R417" i="16"/>
  <c r="R416" i="16"/>
  <c r="R415" i="16"/>
  <c r="R414" i="16"/>
  <c r="R413" i="16"/>
  <c r="R412" i="16"/>
  <c r="R411" i="16"/>
  <c r="R410" i="16"/>
  <c r="R409" i="16"/>
  <c r="R408" i="16"/>
  <c r="R407" i="16"/>
  <c r="R406" i="16"/>
  <c r="R405" i="16"/>
  <c r="R404" i="16"/>
  <c r="R403" i="16"/>
  <c r="R402" i="16"/>
  <c r="R401" i="16"/>
  <c r="R400" i="16"/>
  <c r="R399" i="16"/>
  <c r="R398" i="16"/>
  <c r="R397" i="16"/>
  <c r="R396" i="16"/>
  <c r="R395" i="16"/>
  <c r="R394" i="16"/>
  <c r="R393" i="16"/>
  <c r="R392" i="16"/>
  <c r="R391" i="16"/>
  <c r="R390" i="16"/>
  <c r="R389" i="16"/>
  <c r="R388" i="16"/>
  <c r="R387" i="16"/>
  <c r="R386" i="16"/>
  <c r="R385" i="16"/>
  <c r="R384" i="16"/>
  <c r="R383" i="16"/>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2" i="16"/>
  <c r="R321" i="16"/>
  <c r="R320" i="16"/>
  <c r="R319" i="16"/>
  <c r="R318" i="16"/>
  <c r="R317" i="16"/>
  <c r="R316" i="16"/>
  <c r="R315" i="16"/>
  <c r="R314" i="16"/>
  <c r="R313" i="16"/>
  <c r="R312" i="16"/>
  <c r="R311" i="16"/>
  <c r="R310" i="16"/>
  <c r="R309" i="16"/>
  <c r="R308" i="16"/>
  <c r="R307" i="16"/>
  <c r="R306" i="16"/>
  <c r="R305" i="16"/>
  <c r="R304" i="16"/>
  <c r="R303" i="16"/>
  <c r="R302" i="16"/>
  <c r="R301" i="16"/>
  <c r="R300" i="16"/>
  <c r="R299" i="16"/>
  <c r="R298" i="16"/>
  <c r="R297" i="16"/>
  <c r="R296" i="16"/>
  <c r="R295" i="16"/>
  <c r="R294" i="16"/>
  <c r="R293" i="16"/>
  <c r="R292" i="16"/>
  <c r="R291" i="16"/>
  <c r="R290" i="16"/>
  <c r="R289" i="16"/>
  <c r="R288" i="16"/>
  <c r="R287" i="16"/>
  <c r="R286" i="16"/>
  <c r="R285" i="16"/>
  <c r="R284" i="16"/>
  <c r="R283" i="16"/>
  <c r="R282" i="16"/>
  <c r="R281" i="16"/>
  <c r="R280" i="16"/>
  <c r="R279" i="16"/>
  <c r="R278" i="16"/>
  <c r="R277" i="16"/>
  <c r="R276" i="16"/>
  <c r="R275" i="16"/>
  <c r="R274" i="16"/>
  <c r="R273" i="16"/>
  <c r="R272" i="16"/>
  <c r="R271" i="16"/>
  <c r="R270" i="16"/>
  <c r="R269" i="16"/>
  <c r="R268" i="16"/>
  <c r="R267" i="16"/>
  <c r="R266" i="16"/>
  <c r="R265" i="16"/>
  <c r="R264" i="16"/>
  <c r="R263" i="16"/>
  <c r="R262" i="16"/>
  <c r="R261" i="16"/>
  <c r="R260" i="16"/>
  <c r="R259" i="16"/>
  <c r="R258" i="16"/>
  <c r="R257" i="16"/>
  <c r="R256" i="16"/>
  <c r="R255" i="16"/>
  <c r="R254" i="16"/>
  <c r="R253" i="16"/>
  <c r="R252" i="16"/>
  <c r="R251" i="16"/>
  <c r="R250" i="16"/>
  <c r="R249" i="16"/>
  <c r="R248" i="16"/>
  <c r="R247" i="16"/>
  <c r="R246" i="16"/>
  <c r="R245" i="16"/>
  <c r="R244" i="16"/>
  <c r="R243" i="16"/>
  <c r="R242" i="16"/>
  <c r="R241" i="16"/>
  <c r="R240" i="16"/>
  <c r="R239" i="16"/>
  <c r="R238" i="16"/>
  <c r="R237" i="16"/>
  <c r="R236" i="16"/>
  <c r="R235" i="16"/>
  <c r="R234" i="16"/>
  <c r="R233" i="16"/>
  <c r="R232" i="16"/>
  <c r="R231" i="16"/>
  <c r="R230" i="16"/>
  <c r="R229" i="16"/>
  <c r="R228" i="16"/>
  <c r="R227" i="16"/>
  <c r="R226" i="16"/>
  <c r="R225" i="16"/>
  <c r="R224" i="16"/>
  <c r="R223" i="16"/>
  <c r="R222" i="16"/>
  <c r="R221" i="16"/>
  <c r="R220" i="16"/>
  <c r="R219" i="16"/>
  <c r="R218" i="16"/>
  <c r="R217" i="16"/>
  <c r="R216" i="16"/>
  <c r="R215" i="16"/>
  <c r="R214" i="16"/>
  <c r="R213" i="16"/>
  <c r="R212" i="16"/>
  <c r="R211" i="16"/>
  <c r="R210" i="16"/>
  <c r="R209" i="16"/>
  <c r="R208" i="16"/>
  <c r="R207" i="16"/>
  <c r="R206" i="16"/>
  <c r="R205" i="16"/>
  <c r="R204" i="16"/>
  <c r="R203" i="16"/>
  <c r="R202" i="16"/>
  <c r="R201" i="16"/>
  <c r="R200" i="16"/>
  <c r="R199" i="16"/>
  <c r="R198" i="16"/>
  <c r="R197" i="16"/>
  <c r="R196" i="16"/>
  <c r="R195" i="16"/>
  <c r="R194" i="16"/>
  <c r="R193" i="16"/>
  <c r="R192" i="16"/>
  <c r="R191" i="16"/>
  <c r="R190" i="16"/>
  <c r="R189" i="16"/>
  <c r="R188" i="16"/>
  <c r="R187" i="16"/>
  <c r="R186" i="16"/>
  <c r="R185" i="16"/>
  <c r="R184" i="16"/>
  <c r="R183" i="16"/>
  <c r="R182" i="16"/>
  <c r="R181" i="16"/>
  <c r="R180" i="16"/>
  <c r="R179" i="16"/>
  <c r="R178" i="16"/>
  <c r="R177" i="16"/>
  <c r="R176" i="16"/>
  <c r="R175" i="16"/>
  <c r="R174" i="16"/>
  <c r="R173" i="16"/>
  <c r="R172" i="16"/>
  <c r="R171" i="16"/>
  <c r="R170" i="16"/>
  <c r="R169" i="16"/>
  <c r="R168" i="16"/>
  <c r="R167" i="16"/>
  <c r="R166" i="16"/>
  <c r="R165" i="16"/>
  <c r="R164" i="16"/>
  <c r="R163" i="16"/>
  <c r="R162" i="16"/>
  <c r="R161" i="16"/>
  <c r="R160" i="16"/>
  <c r="R159" i="16"/>
  <c r="R158" i="16"/>
  <c r="R157" i="16"/>
  <c r="R156" i="16"/>
  <c r="R155" i="16"/>
  <c r="R154" i="16"/>
  <c r="R153" i="16"/>
  <c r="R152" i="16"/>
  <c r="R151" i="16"/>
  <c r="R150" i="16"/>
  <c r="R149" i="16"/>
  <c r="R148" i="16"/>
  <c r="R147" i="16"/>
  <c r="R146" i="16"/>
  <c r="R145" i="16"/>
  <c r="R144" i="16"/>
  <c r="R143" i="16"/>
  <c r="R142" i="16"/>
  <c r="R141" i="16"/>
  <c r="R140" i="16"/>
  <c r="R139" i="16"/>
  <c r="R138" i="16"/>
  <c r="R137" i="16"/>
  <c r="R136" i="16"/>
  <c r="R135" i="16"/>
  <c r="R134" i="16"/>
  <c r="R133" i="16"/>
  <c r="R132" i="16"/>
  <c r="R131" i="16"/>
  <c r="R130" i="16"/>
  <c r="R129" i="16"/>
  <c r="R128" i="16"/>
  <c r="R127" i="16"/>
  <c r="R126" i="16"/>
  <c r="R125" i="16"/>
  <c r="R124" i="16"/>
  <c r="R123" i="16"/>
  <c r="R122" i="16"/>
  <c r="R121" i="16"/>
  <c r="R120" i="16"/>
  <c r="R119" i="16"/>
  <c r="R118" i="16"/>
  <c r="R117" i="16"/>
  <c r="R116" i="16"/>
  <c r="R115" i="16"/>
  <c r="R114" i="16"/>
  <c r="R113" i="16"/>
  <c r="R112" i="16"/>
  <c r="R111" i="16"/>
  <c r="R110" i="16"/>
  <c r="R109" i="16"/>
  <c r="R108" i="16"/>
  <c r="R107" i="16"/>
  <c r="R106" i="16"/>
  <c r="R105" i="16"/>
  <c r="R104" i="16"/>
  <c r="R103" i="16"/>
  <c r="R102" i="16"/>
  <c r="R101" i="16"/>
  <c r="R100" i="16"/>
  <c r="R99" i="16"/>
  <c r="R98" i="16"/>
  <c r="R97" i="16"/>
  <c r="R96" i="16"/>
  <c r="R95" i="16"/>
  <c r="R94" i="16"/>
  <c r="R93" i="16"/>
  <c r="R92" i="16"/>
  <c r="R91" i="16"/>
  <c r="R90" i="16"/>
  <c r="R89" i="16"/>
  <c r="R88" i="16"/>
  <c r="R87" i="16"/>
  <c r="R86" i="16"/>
  <c r="R85" i="16"/>
  <c r="R84" i="16"/>
  <c r="R83" i="16"/>
  <c r="R82" i="16"/>
  <c r="R81" i="16"/>
  <c r="R80"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R50" i="16"/>
  <c r="R49" i="16"/>
  <c r="R48" i="16"/>
  <c r="R47" i="16"/>
  <c r="R46" i="16"/>
  <c r="R45" i="16"/>
  <c r="R44" i="16"/>
  <c r="R43" i="16"/>
  <c r="R42" i="16"/>
  <c r="R41" i="16"/>
  <c r="R40" i="16"/>
  <c r="R39" i="16"/>
  <c r="R38" i="16"/>
  <c r="R37" i="16"/>
  <c r="R36" i="16"/>
  <c r="R35" i="16"/>
  <c r="R34" i="16"/>
  <c r="R33" i="16"/>
  <c r="R32" i="16"/>
  <c r="R31" i="16"/>
  <c r="R30" i="16"/>
  <c r="R29" i="16"/>
  <c r="R28" i="16"/>
  <c r="R27" i="16"/>
  <c r="R26" i="16"/>
  <c r="R25" i="16"/>
  <c r="R24" i="16"/>
  <c r="R23" i="16"/>
  <c r="R22" i="16"/>
  <c r="R21" i="16"/>
  <c r="R20" i="16"/>
  <c r="R19" i="16"/>
  <c r="R18" i="16"/>
  <c r="R17" i="16"/>
  <c r="R16" i="16"/>
  <c r="R15" i="16"/>
  <c r="R14" i="16"/>
  <c r="R13" i="16"/>
  <c r="R12" i="16"/>
  <c r="R11" i="16"/>
  <c r="R10" i="16"/>
  <c r="R9" i="16"/>
  <c r="R8" i="16"/>
  <c r="R7" i="16"/>
  <c r="R6" i="16"/>
  <c r="R5" i="16"/>
  <c r="R4" i="16"/>
  <c r="R3" i="16"/>
  <c r="R2" i="16"/>
  <c r="E122" i="15"/>
  <c r="F122" i="15" s="1"/>
  <c r="E121" i="15"/>
  <c r="F121" i="15" s="1"/>
  <c r="E120" i="15"/>
  <c r="F120" i="15" s="1"/>
  <c r="E117" i="15"/>
  <c r="F117" i="15" s="1"/>
  <c r="E116" i="15"/>
  <c r="F116" i="15" s="1"/>
  <c r="F115" i="15"/>
  <c r="F107" i="15"/>
  <c r="F102" i="15"/>
  <c r="E102" i="15"/>
  <c r="L101" i="15"/>
  <c r="K101" i="15"/>
  <c r="L100" i="15"/>
  <c r="K100" i="15"/>
  <c r="L99" i="15"/>
  <c r="K99" i="15"/>
  <c r="E96" i="15"/>
  <c r="L95" i="15"/>
  <c r="K95" i="15"/>
  <c r="L94" i="15"/>
  <c r="K94" i="15"/>
  <c r="L93" i="15"/>
  <c r="K93" i="15"/>
  <c r="L92" i="15"/>
  <c r="K92" i="15"/>
  <c r="L91" i="15"/>
  <c r="K91" i="15"/>
  <c r="L90" i="15"/>
  <c r="K90" i="15"/>
  <c r="L89" i="15"/>
  <c r="K89" i="15"/>
  <c r="L88" i="15"/>
  <c r="K88" i="15"/>
  <c r="L87" i="15"/>
  <c r="K87" i="15"/>
  <c r="E86" i="15"/>
  <c r="E84" i="15"/>
  <c r="L83" i="15"/>
  <c r="K83" i="15"/>
  <c r="L82" i="15"/>
  <c r="K82" i="15"/>
  <c r="L81" i="15"/>
  <c r="K81" i="15"/>
  <c r="L80" i="15"/>
  <c r="K80" i="15"/>
  <c r="L79" i="15"/>
  <c r="K79" i="15"/>
  <c r="E78" i="15"/>
  <c r="E76" i="15"/>
  <c r="F76" i="15" s="1"/>
  <c r="L75" i="15"/>
  <c r="K75" i="15"/>
  <c r="L74" i="15"/>
  <c r="K74" i="15"/>
  <c r="L73" i="15"/>
  <c r="K73" i="15"/>
  <c r="L72" i="15"/>
  <c r="K72" i="15"/>
  <c r="L71" i="15"/>
  <c r="K71" i="15"/>
  <c r="L70" i="15"/>
  <c r="K70" i="15"/>
  <c r="L69" i="15"/>
  <c r="K69" i="15"/>
  <c r="L68" i="15"/>
  <c r="K68" i="15"/>
  <c r="L67" i="15"/>
  <c r="K67" i="15"/>
  <c r="L66" i="15"/>
  <c r="K66" i="15"/>
  <c r="L65" i="15"/>
  <c r="K65" i="15"/>
  <c r="L64" i="15"/>
  <c r="K64" i="15"/>
  <c r="E63" i="15"/>
  <c r="E61" i="15"/>
  <c r="L60" i="15"/>
  <c r="K60" i="15"/>
  <c r="L59" i="15"/>
  <c r="K59" i="15"/>
  <c r="L58" i="15"/>
  <c r="K58" i="15"/>
  <c r="L57" i="15"/>
  <c r="K57" i="15"/>
  <c r="L56" i="15"/>
  <c r="K56" i="15"/>
  <c r="E55" i="15"/>
  <c r="E53" i="15"/>
  <c r="F53" i="15" s="1"/>
  <c r="L52" i="15"/>
  <c r="K52" i="15"/>
  <c r="L51" i="15"/>
  <c r="K51" i="15"/>
  <c r="L50" i="15"/>
  <c r="K50" i="15"/>
  <c r="L48" i="15"/>
  <c r="K48" i="15"/>
  <c r="L47" i="15"/>
  <c r="K47" i="15"/>
  <c r="E46" i="15"/>
  <c r="E44" i="15"/>
  <c r="L43" i="15"/>
  <c r="K43" i="15"/>
  <c r="L42" i="15"/>
  <c r="K42" i="15"/>
  <c r="L41" i="15"/>
  <c r="K41" i="15"/>
  <c r="L39" i="15"/>
  <c r="K39" i="15"/>
  <c r="E38" i="15"/>
  <c r="E36" i="15"/>
  <c r="F36" i="15" s="1"/>
  <c r="L35" i="15"/>
  <c r="K35" i="15"/>
  <c r="L34" i="15"/>
  <c r="K34" i="15"/>
  <c r="L33" i="15"/>
  <c r="K33" i="15"/>
  <c r="L32" i="15"/>
  <c r="K32" i="15"/>
  <c r="L30" i="15"/>
  <c r="K30" i="15"/>
  <c r="L29" i="15"/>
  <c r="K29" i="15"/>
  <c r="L28" i="15"/>
  <c r="K28" i="15"/>
  <c r="L27" i="15"/>
  <c r="K27" i="15"/>
  <c r="L26" i="15"/>
  <c r="K26" i="15"/>
  <c r="L25" i="15"/>
  <c r="K25" i="15"/>
  <c r="L24" i="15"/>
  <c r="K24" i="15"/>
  <c r="E23" i="15"/>
  <c r="E21" i="15"/>
  <c r="F21" i="15" s="1"/>
  <c r="L20" i="15"/>
  <c r="K20" i="15"/>
  <c r="L19" i="15"/>
  <c r="K19" i="15"/>
  <c r="L17" i="15"/>
  <c r="K17" i="15"/>
  <c r="L16" i="15"/>
  <c r="K16" i="15"/>
  <c r="L15" i="15"/>
  <c r="K15" i="15"/>
  <c r="L13" i="15"/>
  <c r="K13" i="15"/>
  <c r="L12" i="15"/>
  <c r="K12" i="15"/>
  <c r="L11" i="15"/>
  <c r="K11" i="15"/>
  <c r="AB10" i="15"/>
  <c r="AB9" i="15"/>
  <c r="L9" i="15"/>
  <c r="K9" i="15"/>
  <c r="AB8" i="15"/>
  <c r="E8" i="15"/>
  <c r="AB7" i="15"/>
  <c r="AB6" i="15"/>
  <c r="AB5" i="15"/>
  <c r="AB4" i="15"/>
  <c r="AB3" i="15"/>
  <c r="D116" i="14"/>
  <c r="E116" i="14" s="1"/>
  <c r="D115" i="14"/>
  <c r="E115" i="14" s="1"/>
  <c r="D114" i="14"/>
  <c r="E114" i="14" s="1"/>
  <c r="D111" i="14"/>
  <c r="E111" i="14" s="1"/>
  <c r="D110" i="14"/>
  <c r="E110" i="14" s="1"/>
  <c r="E109" i="14"/>
  <c r="E101" i="14"/>
  <c r="E96" i="14"/>
  <c r="D96" i="14"/>
  <c r="K95" i="14"/>
  <c r="J95" i="14"/>
  <c r="K94" i="14"/>
  <c r="J94" i="14"/>
  <c r="K93" i="14"/>
  <c r="J93" i="14"/>
  <c r="D90" i="14"/>
  <c r="E90" i="14" s="1"/>
  <c r="K89" i="14"/>
  <c r="J89" i="14"/>
  <c r="K88" i="14"/>
  <c r="J88" i="14"/>
  <c r="K87" i="14"/>
  <c r="J87" i="14"/>
  <c r="K86" i="14"/>
  <c r="J86" i="14"/>
  <c r="K85" i="14"/>
  <c r="J85" i="14"/>
  <c r="K84" i="14"/>
  <c r="J84" i="14"/>
  <c r="K83" i="14"/>
  <c r="J83" i="14"/>
  <c r="K82" i="14"/>
  <c r="J82" i="14"/>
  <c r="E81" i="14"/>
  <c r="D79" i="14"/>
  <c r="E79" i="14" s="1"/>
  <c r="K78" i="14"/>
  <c r="J78" i="14"/>
  <c r="K77" i="14"/>
  <c r="J77" i="14"/>
  <c r="K76" i="14"/>
  <c r="J76" i="14"/>
  <c r="K75" i="14"/>
  <c r="J75" i="14"/>
  <c r="K74" i="14"/>
  <c r="J74" i="14"/>
  <c r="E73" i="14"/>
  <c r="D71" i="14"/>
  <c r="E71" i="14" s="1"/>
  <c r="K70" i="14"/>
  <c r="J70" i="14"/>
  <c r="K69" i="14"/>
  <c r="J69" i="14"/>
  <c r="K68" i="14"/>
  <c r="J68" i="14"/>
  <c r="K67" i="14"/>
  <c r="J67" i="14"/>
  <c r="K66" i="14"/>
  <c r="J66" i="14"/>
  <c r="K65" i="14"/>
  <c r="J65" i="14"/>
  <c r="K64" i="14"/>
  <c r="J64" i="14"/>
  <c r="K63" i="14"/>
  <c r="J63" i="14"/>
  <c r="K62" i="14"/>
  <c r="J62" i="14"/>
  <c r="K61" i="14"/>
  <c r="J61" i="14"/>
  <c r="K60" i="14"/>
  <c r="J60" i="14"/>
  <c r="K59" i="14"/>
  <c r="J59" i="14"/>
  <c r="E58" i="14"/>
  <c r="D56" i="14"/>
  <c r="K55" i="14"/>
  <c r="J55" i="14"/>
  <c r="K54" i="14"/>
  <c r="J54" i="14"/>
  <c r="K53" i="14"/>
  <c r="J53" i="14"/>
  <c r="E52" i="14"/>
  <c r="D50" i="14"/>
  <c r="K49" i="14"/>
  <c r="J49" i="14"/>
  <c r="K48" i="14"/>
  <c r="J48" i="14"/>
  <c r="K47" i="14"/>
  <c r="J47" i="14"/>
  <c r="K46" i="14"/>
  <c r="J46" i="14"/>
  <c r="K45" i="14"/>
  <c r="J45" i="14"/>
  <c r="E44" i="14"/>
  <c r="E50" i="14" s="1"/>
  <c r="D42" i="14"/>
  <c r="K41" i="14"/>
  <c r="J41" i="14"/>
  <c r="K40" i="14"/>
  <c r="J40" i="14"/>
  <c r="K39" i="14"/>
  <c r="J39" i="14"/>
  <c r="E38" i="14"/>
  <c r="E42" i="14" s="1"/>
  <c r="D36" i="14"/>
  <c r="K35" i="14"/>
  <c r="J35" i="14"/>
  <c r="K34" i="14"/>
  <c r="J34" i="14"/>
  <c r="K33" i="14"/>
  <c r="J33" i="14"/>
  <c r="K32" i="14"/>
  <c r="J32" i="14"/>
  <c r="K31" i="14"/>
  <c r="J31" i="14"/>
  <c r="K30" i="14"/>
  <c r="J30" i="14"/>
  <c r="K29" i="14"/>
  <c r="J29" i="14"/>
  <c r="K28" i="14"/>
  <c r="J28" i="14"/>
  <c r="K27" i="14"/>
  <c r="J27" i="14"/>
  <c r="K26" i="14"/>
  <c r="J26" i="14"/>
  <c r="K25" i="14"/>
  <c r="J25" i="14"/>
  <c r="K24" i="14"/>
  <c r="J24" i="14"/>
  <c r="K23" i="14"/>
  <c r="J23" i="14"/>
  <c r="K22" i="14"/>
  <c r="J22" i="14"/>
  <c r="E21" i="14"/>
  <c r="D19" i="14"/>
  <c r="K18" i="14"/>
  <c r="J18" i="14"/>
  <c r="K17" i="14"/>
  <c r="J17" i="14"/>
  <c r="K16" i="14"/>
  <c r="J16" i="14"/>
  <c r="K15" i="14"/>
  <c r="J15" i="14"/>
  <c r="K14" i="14"/>
  <c r="J14" i="14"/>
  <c r="K13" i="14"/>
  <c r="J13" i="14"/>
  <c r="K12" i="14"/>
  <c r="J12" i="14"/>
  <c r="K11" i="14"/>
  <c r="J11" i="14"/>
  <c r="AA10" i="14"/>
  <c r="K10" i="14"/>
  <c r="J10" i="14"/>
  <c r="AA9" i="14"/>
  <c r="K9" i="14"/>
  <c r="J9" i="14"/>
  <c r="AA8" i="14"/>
  <c r="E8" i="14"/>
  <c r="AA7" i="14"/>
  <c r="AA6" i="14"/>
  <c r="AA5" i="14"/>
  <c r="AA4" i="14"/>
  <c r="AA3" i="14"/>
  <c r="G3" i="14"/>
  <c r="E134" i="13"/>
  <c r="F134" i="13" s="1"/>
  <c r="E133" i="13"/>
  <c r="F133" i="13" s="1"/>
  <c r="E132" i="13"/>
  <c r="F132" i="13" s="1"/>
  <c r="E129" i="13"/>
  <c r="F129" i="13" s="1"/>
  <c r="E128" i="13"/>
  <c r="F128" i="13" s="1"/>
  <c r="F127" i="13"/>
  <c r="F119" i="13"/>
  <c r="F114" i="13"/>
  <c r="E114" i="13"/>
  <c r="L113" i="13"/>
  <c r="K113" i="13"/>
  <c r="L112" i="13"/>
  <c r="K112" i="13"/>
  <c r="L111" i="13"/>
  <c r="K111" i="13"/>
  <c r="E108" i="13"/>
  <c r="L107" i="13"/>
  <c r="K107" i="13"/>
  <c r="L106" i="13"/>
  <c r="K106" i="13"/>
  <c r="L105" i="13"/>
  <c r="K105" i="13"/>
  <c r="L104" i="13"/>
  <c r="K104" i="13"/>
  <c r="L103" i="13"/>
  <c r="K103" i="13"/>
  <c r="L102" i="13"/>
  <c r="K102" i="13"/>
  <c r="L101" i="13"/>
  <c r="K101" i="13"/>
  <c r="L100" i="13"/>
  <c r="K100" i="13"/>
  <c r="L99" i="13"/>
  <c r="K99" i="13"/>
  <c r="E98" i="13"/>
  <c r="E96" i="13"/>
  <c r="L95" i="13"/>
  <c r="K95" i="13"/>
  <c r="L94" i="13"/>
  <c r="K94" i="13"/>
  <c r="L93" i="13"/>
  <c r="K93" i="13"/>
  <c r="L92" i="13"/>
  <c r="K92" i="13"/>
  <c r="L91" i="13"/>
  <c r="K91" i="13"/>
  <c r="L90" i="13"/>
  <c r="K90" i="13"/>
  <c r="E89" i="13"/>
  <c r="F87" i="13"/>
  <c r="E87" i="13"/>
  <c r="L86" i="13"/>
  <c r="K86" i="13"/>
  <c r="L85" i="13"/>
  <c r="K85" i="13"/>
  <c r="L84" i="13"/>
  <c r="K84" i="13"/>
  <c r="L83" i="13"/>
  <c r="K83" i="13"/>
  <c r="L82" i="13"/>
  <c r="K82" i="13"/>
  <c r="L81" i="13"/>
  <c r="K81" i="13"/>
  <c r="L80" i="13"/>
  <c r="K80" i="13"/>
  <c r="L79" i="13"/>
  <c r="K79" i="13"/>
  <c r="L78" i="13"/>
  <c r="K78" i="13"/>
  <c r="L77" i="13"/>
  <c r="K77" i="13"/>
  <c r="L76" i="13"/>
  <c r="K76" i="13"/>
  <c r="L75" i="13"/>
  <c r="K75" i="13"/>
  <c r="L74" i="13"/>
  <c r="K74" i="13"/>
  <c r="L73" i="13"/>
  <c r="K73" i="13"/>
  <c r="L72" i="13"/>
  <c r="K72" i="13"/>
  <c r="L71" i="13"/>
  <c r="K71" i="13"/>
  <c r="E70" i="13"/>
  <c r="E68" i="13"/>
  <c r="L67" i="13"/>
  <c r="K67" i="13"/>
  <c r="L66" i="13"/>
  <c r="K66" i="13"/>
  <c r="L65" i="13"/>
  <c r="K65" i="13"/>
  <c r="L64" i="13"/>
  <c r="K64" i="13"/>
  <c r="L63" i="13"/>
  <c r="K63" i="13"/>
  <c r="L62" i="13"/>
  <c r="K62" i="13"/>
  <c r="E61" i="13"/>
  <c r="E59" i="13"/>
  <c r="L58" i="13"/>
  <c r="K58" i="13"/>
  <c r="L57" i="13"/>
  <c r="K57" i="13"/>
  <c r="L56" i="13"/>
  <c r="K56" i="13"/>
  <c r="L55" i="13"/>
  <c r="K55" i="13"/>
  <c r="L54" i="13"/>
  <c r="K54" i="13"/>
  <c r="L53" i="13"/>
  <c r="K53" i="13"/>
  <c r="L52" i="13"/>
  <c r="K52" i="13"/>
  <c r="E51" i="13"/>
  <c r="E49" i="13"/>
  <c r="L48" i="13"/>
  <c r="K48" i="13"/>
  <c r="L47" i="13"/>
  <c r="K47" i="13"/>
  <c r="L46" i="13"/>
  <c r="K46" i="13"/>
  <c r="L45" i="13"/>
  <c r="K45" i="13"/>
  <c r="L44" i="13"/>
  <c r="K44" i="13"/>
  <c r="L43" i="13"/>
  <c r="K43" i="13"/>
  <c r="L42" i="13"/>
  <c r="K42" i="13"/>
  <c r="E41" i="13"/>
  <c r="E39" i="13"/>
  <c r="L38" i="13"/>
  <c r="K38" i="13"/>
  <c r="L37" i="13"/>
  <c r="K37" i="13"/>
  <c r="L36" i="13"/>
  <c r="K36" i="13"/>
  <c r="L35" i="13"/>
  <c r="K35" i="13"/>
  <c r="L34" i="13"/>
  <c r="K34" i="13"/>
  <c r="L33" i="13"/>
  <c r="K33" i="13"/>
  <c r="L32" i="13"/>
  <c r="K32" i="13"/>
  <c r="L31" i="13"/>
  <c r="K31" i="13"/>
  <c r="L30" i="13"/>
  <c r="K30" i="13"/>
  <c r="L29" i="13"/>
  <c r="K29" i="13"/>
  <c r="L28" i="13"/>
  <c r="K28" i="13"/>
  <c r="L27" i="13"/>
  <c r="K27" i="13"/>
  <c r="L26" i="13"/>
  <c r="K26" i="13"/>
  <c r="L25" i="13"/>
  <c r="K25" i="13"/>
  <c r="L24" i="13"/>
  <c r="K24" i="13"/>
  <c r="E23" i="13"/>
  <c r="F39" i="13" s="1"/>
  <c r="E21" i="13"/>
  <c r="L20" i="13"/>
  <c r="K20" i="13"/>
  <c r="L19" i="13"/>
  <c r="K19" i="13"/>
  <c r="L18" i="13"/>
  <c r="K18" i="13"/>
  <c r="L17" i="13"/>
  <c r="K17" i="13"/>
  <c r="L16" i="13"/>
  <c r="K16" i="13"/>
  <c r="K15" i="13"/>
  <c r="L14" i="13"/>
  <c r="K14" i="13"/>
  <c r="L13" i="13"/>
  <c r="K13" i="13"/>
  <c r="L12" i="13"/>
  <c r="K12" i="13"/>
  <c r="L11" i="13"/>
  <c r="K11" i="13"/>
  <c r="AB10" i="13"/>
  <c r="L10" i="13"/>
  <c r="K10" i="13"/>
  <c r="AB9" i="13"/>
  <c r="L9" i="13"/>
  <c r="K9" i="13"/>
  <c r="AB8" i="13"/>
  <c r="E8" i="13"/>
  <c r="F21" i="13" s="1"/>
  <c r="AB7" i="13"/>
  <c r="AB6" i="13"/>
  <c r="AB5" i="13"/>
  <c r="AB4" i="13"/>
  <c r="AB3" i="13"/>
  <c r="E124" i="12"/>
  <c r="F124" i="12" s="1"/>
  <c r="E123" i="12"/>
  <c r="F123" i="12" s="1"/>
  <c r="E122" i="12"/>
  <c r="F122" i="12" s="1"/>
  <c r="E119" i="12"/>
  <c r="F119" i="12" s="1"/>
  <c r="E118" i="12"/>
  <c r="F118" i="12" s="1"/>
  <c r="F117" i="12"/>
  <c r="F109" i="12"/>
  <c r="F104" i="12"/>
  <c r="E104" i="12"/>
  <c r="L103" i="12"/>
  <c r="K103" i="12"/>
  <c r="L102" i="12"/>
  <c r="K102" i="12"/>
  <c r="L101" i="12"/>
  <c r="K101" i="12"/>
  <c r="E98" i="12"/>
  <c r="L97" i="12"/>
  <c r="K97" i="12"/>
  <c r="L96" i="12"/>
  <c r="K96" i="12"/>
  <c r="L95" i="12"/>
  <c r="K95" i="12"/>
  <c r="L94" i="12"/>
  <c r="K94" i="12"/>
  <c r="L92" i="12"/>
  <c r="K92" i="12"/>
  <c r="L91" i="12"/>
  <c r="K91" i="12"/>
  <c r="L90" i="12"/>
  <c r="K90" i="12"/>
  <c r="L89" i="12"/>
  <c r="K89" i="12"/>
  <c r="L88" i="12"/>
  <c r="K88" i="12"/>
  <c r="E87" i="12"/>
  <c r="E85" i="12"/>
  <c r="L84" i="12"/>
  <c r="K84" i="12"/>
  <c r="L83" i="12"/>
  <c r="K83" i="12"/>
  <c r="L82" i="12"/>
  <c r="K82" i="12"/>
  <c r="L81" i="12"/>
  <c r="K81" i="12"/>
  <c r="L80" i="12"/>
  <c r="K80" i="12"/>
  <c r="E79" i="12"/>
  <c r="E77" i="12"/>
  <c r="L76" i="12"/>
  <c r="K76" i="12"/>
  <c r="L75" i="12"/>
  <c r="K75" i="12"/>
  <c r="L74" i="12"/>
  <c r="K74" i="12"/>
  <c r="L73" i="12"/>
  <c r="K73" i="12"/>
  <c r="L72" i="12"/>
  <c r="K72" i="12"/>
  <c r="L71" i="12"/>
  <c r="K71" i="12"/>
  <c r="L70" i="12"/>
  <c r="K70" i="12"/>
  <c r="L69" i="12"/>
  <c r="K69" i="12"/>
  <c r="L68" i="12"/>
  <c r="K68" i="12"/>
  <c r="L67" i="12"/>
  <c r="K67" i="12"/>
  <c r="L66" i="12"/>
  <c r="K66" i="12"/>
  <c r="E65" i="12"/>
  <c r="E63" i="12"/>
  <c r="L62" i="12"/>
  <c r="K62" i="12"/>
  <c r="L61" i="12"/>
  <c r="K61" i="12"/>
  <c r="L60" i="12"/>
  <c r="K60" i="12"/>
  <c r="L59" i="12"/>
  <c r="K59" i="12"/>
  <c r="E58" i="12"/>
  <c r="E56" i="12"/>
  <c r="L55" i="12"/>
  <c r="K55" i="12"/>
  <c r="L54" i="12"/>
  <c r="K54" i="12"/>
  <c r="L53" i="12"/>
  <c r="K53" i="12"/>
  <c r="L52" i="12"/>
  <c r="K52" i="12"/>
  <c r="L51" i="12"/>
  <c r="K51" i="12"/>
  <c r="E50" i="12"/>
  <c r="E48" i="12"/>
  <c r="L47" i="12"/>
  <c r="K47" i="12"/>
  <c r="L46" i="12"/>
  <c r="K46" i="12"/>
  <c r="L45" i="12"/>
  <c r="K45" i="12"/>
  <c r="E44" i="12"/>
  <c r="E42" i="12"/>
  <c r="L41" i="12"/>
  <c r="K41" i="12"/>
  <c r="L40" i="12"/>
  <c r="K40" i="12"/>
  <c r="L39" i="12"/>
  <c r="K39" i="12"/>
  <c r="L38" i="12"/>
  <c r="K38" i="12"/>
  <c r="L37" i="12"/>
  <c r="K37" i="12"/>
  <c r="L36" i="12"/>
  <c r="K36" i="12"/>
  <c r="L35" i="12"/>
  <c r="K35" i="12"/>
  <c r="L34" i="12"/>
  <c r="K34" i="12"/>
  <c r="L31" i="12"/>
  <c r="K31" i="12"/>
  <c r="L30" i="12"/>
  <c r="K30" i="12"/>
  <c r="L29" i="12"/>
  <c r="K29" i="12"/>
  <c r="L28" i="12"/>
  <c r="K28" i="12"/>
  <c r="L27" i="12"/>
  <c r="K27" i="12"/>
  <c r="L26" i="12"/>
  <c r="K26" i="12"/>
  <c r="L25" i="12"/>
  <c r="K25" i="12"/>
  <c r="L24" i="12"/>
  <c r="K24" i="12"/>
  <c r="L23" i="12"/>
  <c r="K23" i="12"/>
  <c r="L22" i="12"/>
  <c r="K22" i="12"/>
  <c r="E21" i="12"/>
  <c r="E19" i="12"/>
  <c r="L18" i="12"/>
  <c r="K18" i="12"/>
  <c r="L16" i="12"/>
  <c r="K16" i="12"/>
  <c r="L15" i="12"/>
  <c r="K15" i="12"/>
  <c r="L14" i="12"/>
  <c r="K14" i="12"/>
  <c r="L13" i="12"/>
  <c r="K13" i="12"/>
  <c r="L12" i="12"/>
  <c r="K12" i="12"/>
  <c r="L11" i="12"/>
  <c r="K11" i="12"/>
  <c r="AB10" i="12"/>
  <c r="AB9" i="12"/>
  <c r="L9" i="12"/>
  <c r="K9" i="12"/>
  <c r="AB8" i="12"/>
  <c r="E8" i="12"/>
  <c r="AB7" i="12"/>
  <c r="AB6" i="12"/>
  <c r="AB5" i="12"/>
  <c r="AB4" i="12"/>
  <c r="AB3" i="12"/>
  <c r="H3" i="12"/>
  <c r="E138" i="11"/>
  <c r="F138" i="11" s="1"/>
  <c r="E137" i="11"/>
  <c r="F137" i="11" s="1"/>
  <c r="E136" i="11"/>
  <c r="F136" i="11" s="1"/>
  <c r="F133" i="11"/>
  <c r="E133" i="11"/>
  <c r="E132" i="11"/>
  <c r="F132" i="11" s="1"/>
  <c r="F131" i="11"/>
  <c r="F123" i="11"/>
  <c r="F118" i="11"/>
  <c r="E118" i="11"/>
  <c r="L117" i="11"/>
  <c r="K117" i="11"/>
  <c r="L116" i="11"/>
  <c r="K116" i="11"/>
  <c r="L115" i="11"/>
  <c r="K115" i="11"/>
  <c r="E112" i="11"/>
  <c r="L111" i="11"/>
  <c r="K111" i="11"/>
  <c r="L110" i="11"/>
  <c r="K110" i="11"/>
  <c r="L109" i="11"/>
  <c r="K109" i="11"/>
  <c r="L108" i="11"/>
  <c r="K108" i="11"/>
  <c r="L107" i="11"/>
  <c r="K107" i="11"/>
  <c r="L106" i="11"/>
  <c r="K106" i="11"/>
  <c r="L105" i="11"/>
  <c r="K105" i="11"/>
  <c r="L104" i="11"/>
  <c r="K104" i="11"/>
  <c r="L103" i="11"/>
  <c r="K103" i="11"/>
  <c r="E102" i="11"/>
  <c r="E100" i="11"/>
  <c r="L99" i="11"/>
  <c r="K99" i="11"/>
  <c r="L98" i="11"/>
  <c r="K98" i="11"/>
  <c r="L97" i="11"/>
  <c r="K97" i="11"/>
  <c r="L96" i="11"/>
  <c r="K96" i="11"/>
  <c r="L95" i="11"/>
  <c r="K95" i="11"/>
  <c r="E94" i="11"/>
  <c r="E92" i="11"/>
  <c r="L91" i="11"/>
  <c r="K91" i="11"/>
  <c r="L90" i="11"/>
  <c r="K90" i="11"/>
  <c r="L89" i="11"/>
  <c r="K89" i="11"/>
  <c r="L88" i="11"/>
  <c r="K88" i="11"/>
  <c r="L87" i="11"/>
  <c r="K87" i="11"/>
  <c r="L86" i="11"/>
  <c r="K86" i="11"/>
  <c r="L85" i="11"/>
  <c r="K85" i="11"/>
  <c r="L84" i="11"/>
  <c r="K84" i="11"/>
  <c r="L83" i="11"/>
  <c r="K83" i="11"/>
  <c r="L82" i="11"/>
  <c r="K82" i="11"/>
  <c r="L81" i="11"/>
  <c r="K81" i="11"/>
  <c r="L80" i="11"/>
  <c r="K80" i="11"/>
  <c r="L79" i="11"/>
  <c r="K79" i="11"/>
  <c r="L78" i="11"/>
  <c r="K78" i="11"/>
  <c r="L77" i="11"/>
  <c r="K77" i="11"/>
  <c r="L76" i="11"/>
  <c r="K76" i="11"/>
  <c r="E75" i="11"/>
  <c r="E73" i="11"/>
  <c r="L72" i="11"/>
  <c r="K72" i="11"/>
  <c r="L71" i="11"/>
  <c r="K71" i="11"/>
  <c r="L70" i="11"/>
  <c r="K70" i="11"/>
  <c r="L69" i="11"/>
  <c r="K69" i="11"/>
  <c r="L68" i="11"/>
  <c r="K68" i="11"/>
  <c r="L67" i="11"/>
  <c r="K67" i="11"/>
  <c r="E66" i="11"/>
  <c r="E64" i="11"/>
  <c r="L63" i="11"/>
  <c r="K63" i="11"/>
  <c r="L62" i="11"/>
  <c r="K62" i="11"/>
  <c r="L61" i="11"/>
  <c r="K61" i="11"/>
  <c r="L60" i="11"/>
  <c r="K60" i="11"/>
  <c r="L59" i="11"/>
  <c r="K59" i="11"/>
  <c r="L58" i="11"/>
  <c r="K58" i="11"/>
  <c r="E57" i="11"/>
  <c r="E55" i="11"/>
  <c r="L54" i="11"/>
  <c r="K54" i="11"/>
  <c r="L53" i="11"/>
  <c r="K53" i="11"/>
  <c r="L52" i="11"/>
  <c r="K52" i="11"/>
  <c r="L51" i="11"/>
  <c r="K51" i="11"/>
  <c r="L50" i="11"/>
  <c r="K50" i="11"/>
  <c r="L49" i="11"/>
  <c r="K49" i="11"/>
  <c r="L48" i="11"/>
  <c r="K48" i="11"/>
  <c r="L47" i="11"/>
  <c r="K47" i="11"/>
  <c r="L46" i="11"/>
  <c r="K46" i="11"/>
  <c r="E45" i="11"/>
  <c r="E43" i="11"/>
  <c r="L42" i="11"/>
  <c r="K42" i="11"/>
  <c r="L41" i="11"/>
  <c r="K41" i="11"/>
  <c r="L40" i="11"/>
  <c r="K40" i="11"/>
  <c r="L39" i="11"/>
  <c r="K39" i="11"/>
  <c r="L38" i="11"/>
  <c r="K38" i="11"/>
  <c r="L37" i="11"/>
  <c r="K37" i="11"/>
  <c r="L36" i="11"/>
  <c r="K36" i="11"/>
  <c r="L35" i="11"/>
  <c r="K35" i="11"/>
  <c r="L34" i="11"/>
  <c r="K34" i="11"/>
  <c r="L33" i="11"/>
  <c r="K33" i="11"/>
  <c r="L32" i="11"/>
  <c r="K32" i="11"/>
  <c r="L31" i="11"/>
  <c r="K31" i="11"/>
  <c r="L30" i="11"/>
  <c r="K30" i="11"/>
  <c r="L29" i="11"/>
  <c r="K29" i="11"/>
  <c r="L28" i="11"/>
  <c r="K28" i="11"/>
  <c r="L27" i="11"/>
  <c r="K27" i="11"/>
  <c r="L26" i="11"/>
  <c r="K26" i="11"/>
  <c r="L25" i="11"/>
  <c r="K25" i="11"/>
  <c r="L24" i="11"/>
  <c r="K24" i="11"/>
  <c r="E23" i="11"/>
  <c r="E21" i="11"/>
  <c r="L20" i="11"/>
  <c r="K20" i="11"/>
  <c r="L19" i="11"/>
  <c r="K19" i="11"/>
  <c r="L18" i="11"/>
  <c r="K18" i="11"/>
  <c r="L17" i="11"/>
  <c r="K17" i="11"/>
  <c r="L16" i="11"/>
  <c r="K16" i="11"/>
  <c r="L15" i="11"/>
  <c r="K15" i="11"/>
  <c r="L14" i="11"/>
  <c r="K14" i="11"/>
  <c r="L13" i="11"/>
  <c r="K13" i="11"/>
  <c r="L12" i="11"/>
  <c r="K12" i="11"/>
  <c r="L11" i="11"/>
  <c r="K11" i="11"/>
  <c r="AB10" i="11"/>
  <c r="L10" i="11"/>
  <c r="K10" i="11"/>
  <c r="AB9" i="11"/>
  <c r="L9" i="11"/>
  <c r="K9" i="11"/>
  <c r="AB8" i="11"/>
  <c r="E8" i="11"/>
  <c r="AB7" i="11"/>
  <c r="AB6" i="11"/>
  <c r="AB5" i="11"/>
  <c r="AB4" i="11"/>
  <c r="AB3" i="11"/>
  <c r="E144" i="10"/>
  <c r="F144" i="10" s="1"/>
  <c r="E143" i="10"/>
  <c r="F143" i="10" s="1"/>
  <c r="E142" i="10"/>
  <c r="F142" i="10" s="1"/>
  <c r="F139" i="10"/>
  <c r="E139" i="10"/>
  <c r="E138" i="10"/>
  <c r="F138" i="10" s="1"/>
  <c r="F137" i="10"/>
  <c r="F129" i="10"/>
  <c r="F124" i="10"/>
  <c r="L123" i="10"/>
  <c r="K123" i="10"/>
  <c r="L122" i="10"/>
  <c r="K122" i="10"/>
  <c r="L121" i="10"/>
  <c r="K121" i="10"/>
  <c r="L117" i="10"/>
  <c r="K117" i="10"/>
  <c r="E117" i="10"/>
  <c r="D117" i="10"/>
  <c r="C117" i="10"/>
  <c r="B117" i="10"/>
  <c r="L116" i="10"/>
  <c r="K116" i="10"/>
  <c r="E116" i="10"/>
  <c r="D116" i="10"/>
  <c r="C116" i="10"/>
  <c r="B116" i="10"/>
  <c r="L115" i="10"/>
  <c r="K115" i="10"/>
  <c r="E115" i="10"/>
  <c r="D115" i="10"/>
  <c r="C115" i="10"/>
  <c r="B115" i="10"/>
  <c r="L114" i="10"/>
  <c r="K114" i="10"/>
  <c r="E114" i="10"/>
  <c r="D114" i="10"/>
  <c r="L113" i="10"/>
  <c r="K113" i="10"/>
  <c r="E113" i="10"/>
  <c r="D113" i="10"/>
  <c r="C113" i="10"/>
  <c r="B113" i="10"/>
  <c r="L112" i="10"/>
  <c r="K112" i="10"/>
  <c r="E112" i="10"/>
  <c r="D112" i="10"/>
  <c r="C112" i="10"/>
  <c r="B112" i="10"/>
  <c r="L111" i="10"/>
  <c r="K111" i="10"/>
  <c r="E111" i="10"/>
  <c r="D111" i="10"/>
  <c r="C111" i="10"/>
  <c r="B111" i="10"/>
  <c r="L110" i="10"/>
  <c r="K110" i="10"/>
  <c r="E110" i="10"/>
  <c r="D110" i="10"/>
  <c r="C110" i="10"/>
  <c r="B110" i="10"/>
  <c r="L109" i="10"/>
  <c r="K109" i="10"/>
  <c r="E109" i="10"/>
  <c r="C109" i="10"/>
  <c r="L108" i="10"/>
  <c r="K108" i="10"/>
  <c r="E108" i="10"/>
  <c r="C108" i="10"/>
  <c r="E107" i="10"/>
  <c r="L104" i="10"/>
  <c r="K104" i="10"/>
  <c r="E104" i="10"/>
  <c r="D104" i="10"/>
  <c r="C104" i="10"/>
  <c r="B104" i="10"/>
  <c r="L103" i="10"/>
  <c r="K103" i="10"/>
  <c r="E103" i="10"/>
  <c r="C103" i="10"/>
  <c r="B103" i="10"/>
  <c r="L102" i="10"/>
  <c r="K102" i="10"/>
  <c r="E102" i="10"/>
  <c r="C102" i="10"/>
  <c r="B102" i="10"/>
  <c r="L101" i="10"/>
  <c r="K101" i="10"/>
  <c r="E101" i="10"/>
  <c r="C101" i="10"/>
  <c r="B101" i="10"/>
  <c r="L100" i="10"/>
  <c r="K100" i="10"/>
  <c r="E100" i="10"/>
  <c r="C100" i="10"/>
  <c r="B100" i="10"/>
  <c r="L99" i="10"/>
  <c r="K99" i="10"/>
  <c r="E99" i="10"/>
  <c r="C99" i="10"/>
  <c r="B99" i="10"/>
  <c r="E98" i="10"/>
  <c r="L95" i="10"/>
  <c r="K95" i="10"/>
  <c r="E95" i="10"/>
  <c r="D95" i="10"/>
  <c r="C95" i="10"/>
  <c r="B95" i="10"/>
  <c r="L94" i="10"/>
  <c r="K94" i="10"/>
  <c r="E94" i="10"/>
  <c r="D94" i="10"/>
  <c r="C94" i="10"/>
  <c r="B94" i="10"/>
  <c r="L93" i="10"/>
  <c r="K93" i="10"/>
  <c r="E93" i="10"/>
  <c r="D93" i="10"/>
  <c r="C93" i="10"/>
  <c r="B93" i="10"/>
  <c r="L92" i="10"/>
  <c r="K92" i="10"/>
  <c r="C92" i="10"/>
  <c r="L91" i="10"/>
  <c r="K91" i="10"/>
  <c r="E91" i="10"/>
  <c r="C91" i="10"/>
  <c r="L90" i="10"/>
  <c r="K90" i="10"/>
  <c r="D90" i="10"/>
  <c r="L89" i="10"/>
  <c r="K89" i="10"/>
  <c r="E89" i="10"/>
  <c r="D89" i="10"/>
  <c r="C89" i="10"/>
  <c r="L88" i="10"/>
  <c r="K88" i="10"/>
  <c r="E88" i="10"/>
  <c r="D88" i="10"/>
  <c r="L87" i="10"/>
  <c r="K87" i="10"/>
  <c r="E87" i="10"/>
  <c r="D87" i="10"/>
  <c r="C87" i="10"/>
  <c r="L86" i="10"/>
  <c r="K86" i="10"/>
  <c r="E86" i="10"/>
  <c r="C86" i="10"/>
  <c r="L85" i="10"/>
  <c r="K85" i="10"/>
  <c r="E85" i="10"/>
  <c r="D85" i="10"/>
  <c r="L84" i="10"/>
  <c r="K84" i="10"/>
  <c r="E84" i="10"/>
  <c r="D84" i="10"/>
  <c r="C84" i="10"/>
  <c r="L83" i="10"/>
  <c r="K83" i="10"/>
  <c r="E83" i="10"/>
  <c r="C83" i="10"/>
  <c r="L82" i="10"/>
  <c r="K82" i="10"/>
  <c r="E82" i="10"/>
  <c r="C82" i="10"/>
  <c r="E81" i="10"/>
  <c r="L78" i="10"/>
  <c r="K78" i="10"/>
  <c r="E78" i="10"/>
  <c r="D78" i="10"/>
  <c r="C78" i="10"/>
  <c r="B78" i="10"/>
  <c r="L77" i="10"/>
  <c r="K77" i="10"/>
  <c r="E77" i="10"/>
  <c r="D77" i="10"/>
  <c r="C77" i="10"/>
  <c r="B77" i="10"/>
  <c r="L76" i="10"/>
  <c r="K76" i="10"/>
  <c r="E76" i="10"/>
  <c r="D76" i="10"/>
  <c r="C76" i="10"/>
  <c r="B76" i="10"/>
  <c r="L75" i="10"/>
  <c r="K75" i="10"/>
  <c r="E75" i="10"/>
  <c r="D75" i="10"/>
  <c r="L74" i="10"/>
  <c r="K74" i="10"/>
  <c r="E74" i="10"/>
  <c r="D74" i="10"/>
  <c r="C74" i="10"/>
  <c r="B74" i="10"/>
  <c r="L73" i="10"/>
  <c r="K73" i="10"/>
  <c r="E73" i="10"/>
  <c r="D73" i="10"/>
  <c r="L72" i="10"/>
  <c r="K72" i="10"/>
  <c r="E72" i="10"/>
  <c r="D72" i="10"/>
  <c r="L71" i="10"/>
  <c r="K71" i="10"/>
  <c r="E71" i="10"/>
  <c r="D71" i="10"/>
  <c r="C71" i="10"/>
  <c r="E70" i="10"/>
  <c r="L67" i="10"/>
  <c r="K67" i="10"/>
  <c r="E67" i="10"/>
  <c r="D67" i="10"/>
  <c r="C67" i="10"/>
  <c r="B67" i="10"/>
  <c r="L66" i="10"/>
  <c r="K66" i="10"/>
  <c r="D66" i="10"/>
  <c r="L65" i="10"/>
  <c r="K65" i="10"/>
  <c r="D65" i="10"/>
  <c r="L64" i="10"/>
  <c r="K64" i="10"/>
  <c r="E64" i="10"/>
  <c r="C64" i="10"/>
  <c r="L63" i="10"/>
  <c r="K63" i="10"/>
  <c r="E63" i="10"/>
  <c r="E68" i="10" s="1"/>
  <c r="F68" i="10" s="1"/>
  <c r="C63" i="10"/>
  <c r="E62" i="10"/>
  <c r="L59" i="10"/>
  <c r="K59" i="10"/>
  <c r="E59" i="10"/>
  <c r="D59" i="10"/>
  <c r="C59" i="10"/>
  <c r="B59" i="10"/>
  <c r="L58" i="10"/>
  <c r="K58" i="10"/>
  <c r="E58" i="10"/>
  <c r="D58" i="10"/>
  <c r="C58" i="10"/>
  <c r="B58" i="10"/>
  <c r="L57" i="10"/>
  <c r="K57" i="10"/>
  <c r="E57" i="10"/>
  <c r="D57" i="10"/>
  <c r="L56" i="10"/>
  <c r="K56" i="10"/>
  <c r="E56" i="10"/>
  <c r="D56" i="10"/>
  <c r="C56" i="10"/>
  <c r="B56" i="10"/>
  <c r="L55" i="10"/>
  <c r="K55" i="10"/>
  <c r="E55" i="10"/>
  <c r="D55" i="10"/>
  <c r="L54" i="10"/>
  <c r="K54" i="10"/>
  <c r="E54" i="10"/>
  <c r="D54" i="10"/>
  <c r="C54" i="10"/>
  <c r="B54" i="10"/>
  <c r="L53" i="10"/>
  <c r="K53" i="10"/>
  <c r="E53" i="10"/>
  <c r="D53" i="10"/>
  <c r="L52" i="10"/>
  <c r="K52" i="10"/>
  <c r="D52" i="10"/>
  <c r="C52" i="10"/>
  <c r="B52" i="10"/>
  <c r="L51" i="10"/>
  <c r="K51" i="10"/>
  <c r="E51" i="10"/>
  <c r="D51" i="10"/>
  <c r="L50" i="10"/>
  <c r="K50" i="10"/>
  <c r="E50" i="10"/>
  <c r="D50" i="10"/>
  <c r="C50" i="10"/>
  <c r="B50" i="10"/>
  <c r="L49" i="10"/>
  <c r="K49" i="10"/>
  <c r="C49" i="10"/>
  <c r="B49" i="10"/>
  <c r="E48" i="10"/>
  <c r="L45" i="10"/>
  <c r="K45" i="10"/>
  <c r="E45" i="10"/>
  <c r="D45" i="10"/>
  <c r="C45" i="10"/>
  <c r="B45" i="10"/>
  <c r="L44" i="10"/>
  <c r="K44" i="10"/>
  <c r="E44" i="10"/>
  <c r="C44" i="10"/>
  <c r="L43" i="10"/>
  <c r="K43" i="10"/>
  <c r="C43" i="10"/>
  <c r="L42" i="10"/>
  <c r="K42" i="10"/>
  <c r="E42" i="10"/>
  <c r="D42" i="10"/>
  <c r="L41" i="10"/>
  <c r="K41" i="10"/>
  <c r="E41" i="10"/>
  <c r="D41" i="10"/>
  <c r="L40" i="10"/>
  <c r="K40" i="10"/>
  <c r="D40" i="10"/>
  <c r="C40" i="10"/>
  <c r="L39" i="10"/>
  <c r="K39" i="10"/>
  <c r="C39" i="10"/>
  <c r="L38" i="10"/>
  <c r="K38" i="10"/>
  <c r="E38" i="10"/>
  <c r="D38" i="10"/>
  <c r="L37" i="10"/>
  <c r="K37" i="10"/>
  <c r="E37" i="10"/>
  <c r="D37" i="10"/>
  <c r="L36" i="10"/>
  <c r="K36" i="10"/>
  <c r="E36" i="10"/>
  <c r="D36" i="10"/>
  <c r="L35" i="10"/>
  <c r="K35" i="10"/>
  <c r="E35" i="10"/>
  <c r="D35" i="10"/>
  <c r="C35" i="10"/>
  <c r="L34" i="10"/>
  <c r="K34" i="10"/>
  <c r="E34" i="10"/>
  <c r="C34" i="10"/>
  <c r="L33" i="10"/>
  <c r="K33" i="10"/>
  <c r="E33" i="10"/>
  <c r="C33" i="10"/>
  <c r="L32" i="10"/>
  <c r="K32" i="10"/>
  <c r="E32" i="10"/>
  <c r="D32" i="10"/>
  <c r="L31" i="10"/>
  <c r="K31" i="10"/>
  <c r="D31" i="10"/>
  <c r="C31" i="10"/>
  <c r="L30" i="10"/>
  <c r="K30" i="10"/>
  <c r="E30" i="10"/>
  <c r="C30" i="10"/>
  <c r="L29" i="10"/>
  <c r="K29" i="10"/>
  <c r="E29" i="10"/>
  <c r="C29" i="10"/>
  <c r="L28" i="10"/>
  <c r="K28" i="10"/>
  <c r="C28" i="10"/>
  <c r="L27" i="10"/>
  <c r="K27" i="10"/>
  <c r="E27" i="10"/>
  <c r="D27" i="10"/>
  <c r="L26" i="10"/>
  <c r="K26" i="10"/>
  <c r="E26" i="10"/>
  <c r="D26" i="10"/>
  <c r="C26" i="10"/>
  <c r="L25" i="10"/>
  <c r="K25" i="10"/>
  <c r="E25" i="10"/>
  <c r="C25" i="10"/>
  <c r="L24" i="10"/>
  <c r="K24" i="10"/>
  <c r="E24" i="10"/>
  <c r="C24" i="10"/>
  <c r="L23" i="10"/>
  <c r="K23" i="10"/>
  <c r="E23" i="10"/>
  <c r="D23" i="10"/>
  <c r="L22" i="10"/>
  <c r="K22" i="10"/>
  <c r="D22" i="10"/>
  <c r="E21" i="10"/>
  <c r="L18" i="10"/>
  <c r="K18" i="10"/>
  <c r="E18" i="10"/>
  <c r="D18" i="10"/>
  <c r="C18" i="10"/>
  <c r="B18" i="10"/>
  <c r="L17" i="10"/>
  <c r="K17" i="10"/>
  <c r="E17" i="10"/>
  <c r="D17" i="10"/>
  <c r="L16" i="10"/>
  <c r="K16" i="10"/>
  <c r="E16" i="10"/>
  <c r="D16" i="10"/>
  <c r="C16" i="10"/>
  <c r="L15" i="10"/>
  <c r="K15" i="10"/>
  <c r="E15" i="10"/>
  <c r="D15" i="10"/>
  <c r="L14" i="10"/>
  <c r="K14" i="10"/>
  <c r="E14" i="10"/>
  <c r="D14" i="10"/>
  <c r="C14" i="10"/>
  <c r="L13" i="10"/>
  <c r="K13" i="10"/>
  <c r="E13" i="10"/>
  <c r="C13" i="10"/>
  <c r="L12" i="10"/>
  <c r="K12" i="10"/>
  <c r="E12" i="10"/>
  <c r="C12" i="10"/>
  <c r="L11" i="10"/>
  <c r="K11" i="10"/>
  <c r="D11" i="10"/>
  <c r="AC10" i="10"/>
  <c r="AB10" i="10"/>
  <c r="AA10" i="10"/>
  <c r="Z10" i="10"/>
  <c r="Y10" i="10"/>
  <c r="X10" i="10"/>
  <c r="W10" i="10"/>
  <c r="V10" i="10"/>
  <c r="L10" i="10"/>
  <c r="K10" i="10"/>
  <c r="C10" i="10"/>
  <c r="AC9" i="10"/>
  <c r="AB9" i="10"/>
  <c r="AA9" i="10"/>
  <c r="Z9" i="10"/>
  <c r="Y9" i="10"/>
  <c r="X9" i="10"/>
  <c r="W9" i="10"/>
  <c r="V9" i="10"/>
  <c r="L9" i="10"/>
  <c r="K9" i="10"/>
  <c r="AC8" i="10"/>
  <c r="AB8" i="10"/>
  <c r="AA8" i="10"/>
  <c r="Z8" i="10"/>
  <c r="Y8" i="10"/>
  <c r="X8" i="10"/>
  <c r="W8" i="10"/>
  <c r="V8" i="10"/>
  <c r="E8" i="10"/>
  <c r="AC7" i="10"/>
  <c r="AB7" i="10"/>
  <c r="AA7" i="10"/>
  <c r="Z7" i="10"/>
  <c r="Y7" i="10"/>
  <c r="X7" i="10"/>
  <c r="W7" i="10"/>
  <c r="V7" i="10"/>
  <c r="AC6" i="10"/>
  <c r="AB6" i="10"/>
  <c r="AA6" i="10"/>
  <c r="Z6" i="10"/>
  <c r="Y6" i="10"/>
  <c r="X6" i="10"/>
  <c r="W6" i="10"/>
  <c r="V6" i="10"/>
  <c r="AC5" i="10"/>
  <c r="AB5" i="10"/>
  <c r="AA5" i="10"/>
  <c r="Z5" i="10"/>
  <c r="Y5" i="10"/>
  <c r="X5" i="10"/>
  <c r="W5" i="10"/>
  <c r="V5" i="10"/>
  <c r="AC4" i="10"/>
  <c r="AB4" i="10"/>
  <c r="AA4" i="10"/>
  <c r="Z4" i="10"/>
  <c r="Y4" i="10"/>
  <c r="X4" i="10"/>
  <c r="W4" i="10"/>
  <c r="V4" i="10"/>
  <c r="AC3" i="10"/>
  <c r="AB3" i="10"/>
  <c r="AA3" i="10"/>
  <c r="Z3" i="10"/>
  <c r="Y3" i="10"/>
  <c r="X3" i="10"/>
  <c r="W3" i="10"/>
  <c r="V3" i="10"/>
  <c r="E142" i="9"/>
  <c r="F142" i="9" s="1"/>
  <c r="E141" i="9"/>
  <c r="F141" i="9" s="1"/>
  <c r="E140" i="9"/>
  <c r="F140" i="9" s="1"/>
  <c r="E137" i="9"/>
  <c r="F137" i="9" s="1"/>
  <c r="E136" i="9"/>
  <c r="F136" i="9" s="1"/>
  <c r="F135" i="9"/>
  <c r="F127" i="9"/>
  <c r="F122" i="9"/>
  <c r="E122" i="9"/>
  <c r="L121" i="9"/>
  <c r="K121" i="9"/>
  <c r="L120" i="9"/>
  <c r="K120" i="9"/>
  <c r="L119" i="9"/>
  <c r="K119" i="9"/>
  <c r="E116" i="9"/>
  <c r="F116" i="9" s="1"/>
  <c r="L115" i="9"/>
  <c r="K115" i="9"/>
  <c r="L114" i="9"/>
  <c r="K114" i="9"/>
  <c r="L113" i="9"/>
  <c r="K113" i="9"/>
  <c r="L112" i="9"/>
  <c r="K112" i="9"/>
  <c r="L111" i="9"/>
  <c r="K111" i="9"/>
  <c r="L110" i="9"/>
  <c r="K110" i="9"/>
  <c r="L109" i="9"/>
  <c r="K109" i="9"/>
  <c r="L108" i="9"/>
  <c r="K108" i="9"/>
  <c r="L107" i="9"/>
  <c r="K107" i="9"/>
  <c r="L106" i="9"/>
  <c r="K106" i="9"/>
  <c r="E105" i="9"/>
  <c r="E103" i="9"/>
  <c r="F103" i="9" s="1"/>
  <c r="L102" i="9"/>
  <c r="K102" i="9"/>
  <c r="L101" i="9"/>
  <c r="K101" i="9"/>
  <c r="L100" i="9"/>
  <c r="K100" i="9"/>
  <c r="L99" i="9"/>
  <c r="K99" i="9"/>
  <c r="L98" i="9"/>
  <c r="K98" i="9"/>
  <c r="E97" i="9"/>
  <c r="E95" i="9"/>
  <c r="L94" i="9"/>
  <c r="K94" i="9"/>
  <c r="L93" i="9"/>
  <c r="K93" i="9"/>
  <c r="L92" i="9"/>
  <c r="K92" i="9"/>
  <c r="L91" i="9"/>
  <c r="K91" i="9"/>
  <c r="L90" i="9"/>
  <c r="K90" i="9"/>
  <c r="L89" i="9"/>
  <c r="K89" i="9"/>
  <c r="L88" i="9"/>
  <c r="K88" i="9"/>
  <c r="L87" i="9"/>
  <c r="K87" i="9"/>
  <c r="L86" i="9"/>
  <c r="K86" i="9"/>
  <c r="L85" i="9"/>
  <c r="K85" i="9"/>
  <c r="L84" i="9"/>
  <c r="K84" i="9"/>
  <c r="L83" i="9"/>
  <c r="K83" i="9"/>
  <c r="L82" i="9"/>
  <c r="K82" i="9"/>
  <c r="L81" i="9"/>
  <c r="K81" i="9"/>
  <c r="L80" i="9"/>
  <c r="K80" i="9"/>
  <c r="L79" i="9"/>
  <c r="K79" i="9"/>
  <c r="L78" i="9"/>
  <c r="K78" i="9"/>
  <c r="E77" i="9"/>
  <c r="E75" i="9"/>
  <c r="L74" i="9"/>
  <c r="K74" i="9"/>
  <c r="L73" i="9"/>
  <c r="K73" i="9"/>
  <c r="L72" i="9"/>
  <c r="K72" i="9"/>
  <c r="L71" i="9"/>
  <c r="K71" i="9"/>
  <c r="L70" i="9"/>
  <c r="K70" i="9"/>
  <c r="L69" i="9"/>
  <c r="K69" i="9"/>
  <c r="E68" i="9"/>
  <c r="F75" i="9" s="1"/>
  <c r="E66" i="9"/>
  <c r="F66" i="9" s="1"/>
  <c r="L65" i="9"/>
  <c r="K65" i="9"/>
  <c r="L64" i="9"/>
  <c r="K64" i="9"/>
  <c r="L63" i="9"/>
  <c r="K63" i="9"/>
  <c r="L62" i="9"/>
  <c r="K62" i="9"/>
  <c r="L61" i="9"/>
  <c r="K61" i="9"/>
  <c r="L60" i="9"/>
  <c r="K60" i="9"/>
  <c r="E59" i="9"/>
  <c r="L56" i="9"/>
  <c r="K56" i="9"/>
  <c r="L55" i="9"/>
  <c r="K55" i="9"/>
  <c r="E55" i="9"/>
  <c r="E57" i="9" s="1"/>
  <c r="L54" i="9"/>
  <c r="K54" i="9"/>
  <c r="L53" i="9"/>
  <c r="K53" i="9"/>
  <c r="L52" i="9"/>
  <c r="K52" i="9"/>
  <c r="L51" i="9"/>
  <c r="K51" i="9"/>
  <c r="L50" i="9"/>
  <c r="K50" i="9"/>
  <c r="E49" i="9"/>
  <c r="E47" i="9"/>
  <c r="L46" i="9"/>
  <c r="K46" i="9"/>
  <c r="L45" i="9"/>
  <c r="K45" i="9"/>
  <c r="L44" i="9"/>
  <c r="K44" i="9"/>
  <c r="L43" i="9"/>
  <c r="K43" i="9"/>
  <c r="L42" i="9"/>
  <c r="K42" i="9"/>
  <c r="L41" i="9"/>
  <c r="K41" i="9"/>
  <c r="L40" i="9"/>
  <c r="K40" i="9"/>
  <c r="L39" i="9"/>
  <c r="K39" i="9"/>
  <c r="L38" i="9"/>
  <c r="K38" i="9"/>
  <c r="L37" i="9"/>
  <c r="K37" i="9"/>
  <c r="L36" i="9"/>
  <c r="K36" i="9"/>
  <c r="L35" i="9"/>
  <c r="K35" i="9"/>
  <c r="L34" i="9"/>
  <c r="K34" i="9"/>
  <c r="L33" i="9"/>
  <c r="K33" i="9"/>
  <c r="L32" i="9"/>
  <c r="K32" i="9"/>
  <c r="L31" i="9"/>
  <c r="K31" i="9"/>
  <c r="L30" i="9"/>
  <c r="K30" i="9"/>
  <c r="L29" i="9"/>
  <c r="K29" i="9"/>
  <c r="L28" i="9"/>
  <c r="K28" i="9"/>
  <c r="L27" i="9"/>
  <c r="K27" i="9"/>
  <c r="L26" i="9"/>
  <c r="K26" i="9"/>
  <c r="L25" i="9"/>
  <c r="K25" i="9"/>
  <c r="E24" i="9"/>
  <c r="E22" i="9"/>
  <c r="F22" i="9" s="1"/>
  <c r="L21" i="9"/>
  <c r="K21" i="9"/>
  <c r="L20" i="9"/>
  <c r="K20" i="9"/>
  <c r="L19" i="9"/>
  <c r="K19" i="9"/>
  <c r="L18" i="9"/>
  <c r="K18" i="9"/>
  <c r="L17" i="9"/>
  <c r="K17" i="9"/>
  <c r="L16" i="9"/>
  <c r="K16" i="9"/>
  <c r="L15" i="9"/>
  <c r="K15" i="9"/>
  <c r="L14" i="9"/>
  <c r="K14" i="9"/>
  <c r="L13" i="9"/>
  <c r="K13" i="9"/>
  <c r="L12" i="9"/>
  <c r="K12" i="9"/>
  <c r="L11" i="9"/>
  <c r="K11" i="9"/>
  <c r="AB10" i="9"/>
  <c r="L10" i="9"/>
  <c r="K10" i="9"/>
  <c r="AB9" i="9"/>
  <c r="L9" i="9"/>
  <c r="K9" i="9"/>
  <c r="AB8" i="9"/>
  <c r="E8" i="9"/>
  <c r="AB7" i="9"/>
  <c r="AB6" i="9"/>
  <c r="AB5" i="9"/>
  <c r="AB4" i="9"/>
  <c r="AB3" i="9"/>
  <c r="J138" i="8"/>
  <c r="K138" i="8" s="1"/>
  <c r="J137" i="8"/>
  <c r="K137" i="8" s="1"/>
  <c r="J136" i="8"/>
  <c r="K136" i="8" s="1"/>
  <c r="J133" i="8"/>
  <c r="K133" i="8" s="1"/>
  <c r="K132" i="8"/>
  <c r="K124" i="8"/>
  <c r="J119" i="8"/>
  <c r="K111" i="8"/>
  <c r="K116" i="8" s="1"/>
  <c r="J111" i="8"/>
  <c r="Q110" i="8"/>
  <c r="P110" i="8"/>
  <c r="K107" i="8"/>
  <c r="Q106" i="8"/>
  <c r="P106" i="8"/>
  <c r="I106" i="8"/>
  <c r="Q105" i="8"/>
  <c r="P105" i="8"/>
  <c r="Q104" i="8"/>
  <c r="P104" i="8"/>
  <c r="Q103" i="8"/>
  <c r="P103" i="8"/>
  <c r="Q102" i="8"/>
  <c r="P102" i="8"/>
  <c r="Q101" i="8"/>
  <c r="P101" i="8"/>
  <c r="J101" i="8"/>
  <c r="I101" i="8"/>
  <c r="H101" i="8"/>
  <c r="Q100" i="8"/>
  <c r="P100" i="8"/>
  <c r="J100" i="8"/>
  <c r="I100" i="8"/>
  <c r="H100" i="8"/>
  <c r="Q99" i="8"/>
  <c r="P99" i="8"/>
  <c r="J99" i="8"/>
  <c r="I99" i="8"/>
  <c r="H99" i="8"/>
  <c r="Q98" i="8"/>
  <c r="P98" i="8"/>
  <c r="J98" i="8"/>
  <c r="I98" i="8"/>
  <c r="Q97" i="8"/>
  <c r="P97" i="8"/>
  <c r="Q96" i="8"/>
  <c r="P96" i="8"/>
  <c r="I96" i="8"/>
  <c r="Q95" i="8"/>
  <c r="P95" i="8"/>
  <c r="Q94" i="8"/>
  <c r="P94" i="8"/>
  <c r="Q93" i="8"/>
  <c r="P93" i="8"/>
  <c r="J93" i="8"/>
  <c r="I93" i="8"/>
  <c r="H93" i="8"/>
  <c r="Q92" i="8"/>
  <c r="P92" i="8"/>
  <c r="J92" i="8"/>
  <c r="I91" i="8"/>
  <c r="H91" i="8"/>
  <c r="I90" i="8"/>
  <c r="G90" i="8"/>
  <c r="Q89" i="8"/>
  <c r="P89" i="8"/>
  <c r="I89" i="8"/>
  <c r="Q88" i="8"/>
  <c r="P88" i="8"/>
  <c r="Q87" i="8"/>
  <c r="P87" i="8"/>
  <c r="Q86" i="8"/>
  <c r="P86" i="8"/>
  <c r="Q85" i="8"/>
  <c r="P85" i="8"/>
  <c r="J84" i="8"/>
  <c r="I84" i="8"/>
  <c r="H84" i="8"/>
  <c r="J83" i="8"/>
  <c r="J107" i="8" s="1"/>
  <c r="I83" i="8"/>
  <c r="H83" i="8"/>
  <c r="Q82" i="8"/>
  <c r="P82" i="8"/>
  <c r="G82" i="8"/>
  <c r="K79" i="8"/>
  <c r="Q78" i="8"/>
  <c r="P78" i="8"/>
  <c r="J78" i="8"/>
  <c r="Q77" i="8"/>
  <c r="P77" i="8"/>
  <c r="J77" i="8"/>
  <c r="B77" i="8"/>
  <c r="Q76" i="8"/>
  <c r="P76" i="8"/>
  <c r="J76" i="8"/>
  <c r="B76" i="8"/>
  <c r="Q75" i="8"/>
  <c r="P75" i="8"/>
  <c r="J75" i="8"/>
  <c r="Q74" i="8"/>
  <c r="P74" i="8"/>
  <c r="I74" i="8"/>
  <c r="Q73" i="8"/>
  <c r="P73" i="8"/>
  <c r="I73" i="8"/>
  <c r="Q72" i="8"/>
  <c r="P72" i="8"/>
  <c r="J72" i="8"/>
  <c r="I72" i="8"/>
  <c r="H72" i="8"/>
  <c r="G72" i="8"/>
  <c r="Q71" i="8"/>
  <c r="P71" i="8"/>
  <c r="Q70" i="8"/>
  <c r="P70" i="8"/>
  <c r="Q69" i="8"/>
  <c r="P69" i="8"/>
  <c r="J69" i="8"/>
  <c r="I69" i="8"/>
  <c r="H69" i="8"/>
  <c r="Q68" i="8"/>
  <c r="P68" i="8"/>
  <c r="Q67" i="8"/>
  <c r="P67" i="8"/>
  <c r="Q66" i="8"/>
  <c r="P66" i="8"/>
  <c r="Q65" i="8"/>
  <c r="P65" i="8"/>
  <c r="Q64" i="8"/>
  <c r="P64" i="8"/>
  <c r="S63" i="8"/>
  <c r="Q63" i="8"/>
  <c r="P63" i="8"/>
  <c r="I63" i="8"/>
  <c r="J63" i="8" s="1"/>
  <c r="S62" i="8"/>
  <c r="Q62" i="8"/>
  <c r="P62" i="8"/>
  <c r="I62" i="8"/>
  <c r="J62" i="8" s="1"/>
  <c r="Q61" i="8"/>
  <c r="P61" i="8"/>
  <c r="I61" i="8"/>
  <c r="Q60" i="8"/>
  <c r="P60" i="8"/>
  <c r="Q59" i="8"/>
  <c r="P59" i="8"/>
  <c r="K56" i="8"/>
  <c r="Q55" i="8"/>
  <c r="P55" i="8"/>
  <c r="I55" i="8"/>
  <c r="J55" i="8" s="1"/>
  <c r="H55" i="8"/>
  <c r="Q54" i="8"/>
  <c r="P54" i="8"/>
  <c r="I54" i="8"/>
  <c r="J54" i="8" s="1"/>
  <c r="H54" i="8"/>
  <c r="F54" i="8"/>
  <c r="Q53" i="8"/>
  <c r="P53" i="8"/>
  <c r="J53" i="8"/>
  <c r="I53" i="8"/>
  <c r="H53" i="8"/>
  <c r="Q52" i="8"/>
  <c r="P52" i="8"/>
  <c r="I52" i="8"/>
  <c r="Q51" i="8"/>
  <c r="P51" i="8"/>
  <c r="I51" i="8"/>
  <c r="Q50" i="8"/>
  <c r="P50" i="8"/>
  <c r="Q49" i="8"/>
  <c r="P49" i="8"/>
  <c r="Q48" i="8"/>
  <c r="P48" i="8"/>
  <c r="Q47" i="8"/>
  <c r="P47" i="8"/>
  <c r="Q46" i="8"/>
  <c r="P46" i="8"/>
  <c r="Q45" i="8"/>
  <c r="P45" i="8"/>
  <c r="Q44" i="8"/>
  <c r="P44" i="8"/>
  <c r="I44" i="8"/>
  <c r="Q43" i="8"/>
  <c r="P43" i="8"/>
  <c r="Q42" i="8"/>
  <c r="P42" i="8"/>
  <c r="B42" i="8"/>
  <c r="Q41" i="8"/>
  <c r="P41" i="8"/>
  <c r="B41" i="8"/>
  <c r="Q40" i="8"/>
  <c r="P40" i="8"/>
  <c r="B40" i="8"/>
  <c r="Q39" i="8"/>
  <c r="P39" i="8"/>
  <c r="B39" i="8"/>
  <c r="Q38" i="8"/>
  <c r="P38" i="8"/>
  <c r="Q37" i="8"/>
  <c r="P37" i="8"/>
  <c r="B37" i="8"/>
  <c r="B35" i="8"/>
  <c r="K34" i="8"/>
  <c r="Q33" i="8"/>
  <c r="P33" i="8"/>
  <c r="J33" i="8"/>
  <c r="I33" i="8"/>
  <c r="H33" i="8"/>
  <c r="G33" i="8"/>
  <c r="B33" i="8"/>
  <c r="P32" i="8"/>
  <c r="J32" i="8"/>
  <c r="I32" i="8"/>
  <c r="H32" i="8"/>
  <c r="B32" i="8"/>
  <c r="Q31" i="8"/>
  <c r="P31" i="8"/>
  <c r="J31" i="8"/>
  <c r="H31" i="8"/>
  <c r="G31" i="8"/>
  <c r="Q30" i="8"/>
  <c r="P30" i="8"/>
  <c r="I30" i="8"/>
  <c r="H30" i="8"/>
  <c r="G30" i="8"/>
  <c r="B30" i="8"/>
  <c r="Q29" i="8"/>
  <c r="P29" i="8"/>
  <c r="J29" i="8"/>
  <c r="I29" i="8"/>
  <c r="H29" i="8"/>
  <c r="B29" i="8"/>
  <c r="Q28" i="8"/>
  <c r="P28" i="8"/>
  <c r="J28" i="8"/>
  <c r="I28" i="8"/>
  <c r="H28" i="8"/>
  <c r="G28" i="8"/>
  <c r="B27" i="8"/>
  <c r="K25" i="8"/>
  <c r="Q24" i="8"/>
  <c r="P24" i="8"/>
  <c r="Q23" i="8"/>
  <c r="P23" i="8"/>
  <c r="Q22" i="8"/>
  <c r="P22" i="8"/>
  <c r="Q21" i="8"/>
  <c r="P21" i="8"/>
  <c r="Q20" i="8"/>
  <c r="P20" i="8"/>
  <c r="Q19" i="8"/>
  <c r="P19" i="8"/>
  <c r="Q18" i="8"/>
  <c r="P18" i="8"/>
  <c r="Q17" i="8"/>
  <c r="P17" i="8"/>
  <c r="Q16" i="8"/>
  <c r="P16" i="8"/>
  <c r="Q15" i="8"/>
  <c r="P15" i="8"/>
  <c r="Q14" i="8"/>
  <c r="P14" i="8"/>
  <c r="Q13" i="8"/>
  <c r="P13" i="8"/>
  <c r="Q12" i="8"/>
  <c r="P12" i="8"/>
  <c r="J12" i="8"/>
  <c r="I12" i="8"/>
  <c r="Q11" i="8"/>
  <c r="P11" i="8"/>
  <c r="J11" i="8"/>
  <c r="J25" i="8" s="1"/>
  <c r="I11" i="8"/>
  <c r="Q10" i="8"/>
  <c r="P10" i="8"/>
  <c r="Q9" i="8"/>
  <c r="P9" i="8"/>
  <c r="D114" i="7"/>
  <c r="E114" i="7" s="1"/>
  <c r="D113" i="7"/>
  <c r="E113" i="7" s="1"/>
  <c r="D112" i="7"/>
  <c r="E112" i="7" s="1"/>
  <c r="D109" i="7"/>
  <c r="E109" i="7" s="1"/>
  <c r="D108" i="7"/>
  <c r="E108" i="7" s="1"/>
  <c r="E107" i="7"/>
  <c r="E99" i="7"/>
  <c r="E94" i="7"/>
  <c r="K93" i="7"/>
  <c r="J93" i="7"/>
  <c r="E90" i="7"/>
  <c r="K89" i="7"/>
  <c r="J89" i="7"/>
  <c r="K88" i="7"/>
  <c r="J88" i="7"/>
  <c r="K87" i="7"/>
  <c r="J87" i="7"/>
  <c r="E84" i="7"/>
  <c r="K83" i="7"/>
  <c r="J83" i="7"/>
  <c r="E80" i="7"/>
  <c r="K79" i="7"/>
  <c r="J79" i="7"/>
  <c r="K78" i="7"/>
  <c r="J78" i="7"/>
  <c r="K77" i="7"/>
  <c r="J77" i="7"/>
  <c r="K76" i="7"/>
  <c r="J76" i="7"/>
  <c r="K75" i="7"/>
  <c r="J75" i="7"/>
  <c r="K74" i="7"/>
  <c r="J74" i="7"/>
  <c r="K73" i="7"/>
  <c r="J73" i="7"/>
  <c r="E70" i="7"/>
  <c r="K69" i="7"/>
  <c r="J69" i="7"/>
  <c r="E66" i="7"/>
  <c r="K65" i="7"/>
  <c r="J65" i="7"/>
  <c r="K64" i="7"/>
  <c r="J64" i="7"/>
  <c r="K63" i="7"/>
  <c r="J63" i="7"/>
  <c r="K62" i="7"/>
  <c r="J62" i="7"/>
  <c r="E59" i="7"/>
  <c r="K58" i="7"/>
  <c r="J58" i="7"/>
  <c r="K57" i="7"/>
  <c r="J57" i="7"/>
  <c r="E54" i="7"/>
  <c r="K53" i="7"/>
  <c r="J53" i="7"/>
  <c r="K52" i="7"/>
  <c r="J52" i="7"/>
  <c r="K51" i="7"/>
  <c r="J51" i="7"/>
  <c r="K50" i="7"/>
  <c r="J50" i="7"/>
  <c r="K49" i="7"/>
  <c r="J49" i="7"/>
  <c r="K48" i="7"/>
  <c r="J48" i="7"/>
  <c r="K47" i="7"/>
  <c r="J47" i="7"/>
  <c r="K46" i="7"/>
  <c r="J46" i="7"/>
  <c r="K45" i="7"/>
  <c r="J45" i="7"/>
  <c r="K44" i="7"/>
  <c r="J44" i="7"/>
  <c r="K43" i="7"/>
  <c r="J43" i="7"/>
  <c r="K42" i="7"/>
  <c r="J42" i="7"/>
  <c r="K41" i="7"/>
  <c r="J41" i="7"/>
  <c r="K40" i="7"/>
  <c r="J40" i="7"/>
  <c r="K39" i="7"/>
  <c r="J39" i="7"/>
  <c r="K38" i="7"/>
  <c r="J38" i="7"/>
  <c r="K37" i="7"/>
  <c r="J37" i="7"/>
  <c r="K36" i="7"/>
  <c r="J36" i="7"/>
  <c r="K35" i="7"/>
  <c r="J35" i="7"/>
  <c r="K34" i="7"/>
  <c r="J34" i="7"/>
  <c r="K33" i="7"/>
  <c r="J33" i="7"/>
  <c r="K32" i="7"/>
  <c r="J32" i="7"/>
  <c r="K31" i="7"/>
  <c r="J31" i="7"/>
  <c r="K30" i="7"/>
  <c r="J30" i="7"/>
  <c r="E27" i="7"/>
  <c r="K26" i="7"/>
  <c r="J26" i="7"/>
  <c r="K25" i="7"/>
  <c r="J25" i="7"/>
  <c r="K24" i="7"/>
  <c r="J24" i="7"/>
  <c r="K23" i="7"/>
  <c r="J23" i="7"/>
  <c r="K22" i="7"/>
  <c r="J22" i="7"/>
  <c r="K21" i="7"/>
  <c r="J21" i="7"/>
  <c r="K20" i="7"/>
  <c r="J20" i="7"/>
  <c r="K19" i="7"/>
  <c r="J19" i="7"/>
  <c r="K18" i="7"/>
  <c r="J18" i="7"/>
  <c r="K17" i="7"/>
  <c r="J17" i="7"/>
  <c r="K16" i="7"/>
  <c r="J16" i="7"/>
  <c r="K15" i="7"/>
  <c r="J15" i="7"/>
  <c r="K14" i="7"/>
  <c r="J14" i="7"/>
  <c r="K13" i="7"/>
  <c r="J13" i="7"/>
  <c r="K12" i="7"/>
  <c r="J12" i="7"/>
  <c r="K11" i="7"/>
  <c r="J11" i="7"/>
  <c r="K10" i="7"/>
  <c r="J10" i="7"/>
  <c r="K9" i="7"/>
  <c r="J9" i="7"/>
  <c r="K132" i="6"/>
  <c r="L132" i="6" s="1"/>
  <c r="K131" i="6"/>
  <c r="L131" i="6" s="1"/>
  <c r="L128" i="6"/>
  <c r="K128" i="6"/>
  <c r="K127" i="6"/>
  <c r="L127" i="6" s="1"/>
  <c r="L126" i="6"/>
  <c r="L118" i="6"/>
  <c r="L108" i="6"/>
  <c r="L113" i="6" s="1"/>
  <c r="R107" i="6"/>
  <c r="Q107" i="6"/>
  <c r="R106" i="6"/>
  <c r="Q106" i="6"/>
  <c r="R105" i="6"/>
  <c r="Q105" i="6"/>
  <c r="R104" i="6"/>
  <c r="Q104" i="6"/>
  <c r="R103" i="6"/>
  <c r="Q103" i="6"/>
  <c r="L100" i="6"/>
  <c r="R99" i="6"/>
  <c r="Q99" i="6"/>
  <c r="R98" i="6"/>
  <c r="Q98" i="6"/>
  <c r="R97" i="6"/>
  <c r="Q97" i="6"/>
  <c r="K97" i="6"/>
  <c r="K100" i="6" s="1"/>
  <c r="B97" i="6"/>
  <c r="R96" i="6"/>
  <c r="Q96" i="6"/>
  <c r="R95" i="6"/>
  <c r="Q95" i="6"/>
  <c r="R94" i="6"/>
  <c r="Q94" i="6"/>
  <c r="L91" i="6"/>
  <c r="R90" i="6"/>
  <c r="Q90" i="6"/>
  <c r="R89" i="6"/>
  <c r="Q89" i="6"/>
  <c r="K89" i="6"/>
  <c r="K91" i="6" s="1"/>
  <c r="B89" i="6"/>
  <c r="R88" i="6"/>
  <c r="Q88" i="6"/>
  <c r="R87" i="6"/>
  <c r="Q87" i="6"/>
  <c r="R86" i="6"/>
  <c r="Q86" i="6"/>
  <c r="L83" i="6"/>
  <c r="R82" i="6"/>
  <c r="Q82" i="6"/>
  <c r="K82" i="6"/>
  <c r="B82" i="6"/>
  <c r="R81" i="6"/>
  <c r="Q81" i="6"/>
  <c r="K81" i="6"/>
  <c r="K83" i="6" s="1"/>
  <c r="B81" i="6"/>
  <c r="R80" i="6"/>
  <c r="Q80" i="6"/>
  <c r="R79" i="6"/>
  <c r="Q79" i="6"/>
  <c r="R78" i="6"/>
  <c r="Q78" i="6"/>
  <c r="R77" i="6"/>
  <c r="Q77" i="6"/>
  <c r="R76" i="6"/>
  <c r="Q76" i="6"/>
  <c r="L73" i="6"/>
  <c r="R72" i="6"/>
  <c r="Q72" i="6"/>
  <c r="K72" i="6"/>
  <c r="R71" i="6"/>
  <c r="Q71" i="6"/>
  <c r="K71" i="6"/>
  <c r="B71" i="6"/>
  <c r="R70" i="6"/>
  <c r="Q70" i="6"/>
  <c r="K70" i="6"/>
  <c r="R69" i="6"/>
  <c r="Q69" i="6"/>
  <c r="K69" i="6"/>
  <c r="R68" i="6"/>
  <c r="Q68" i="6"/>
  <c r="K68" i="6"/>
  <c r="J68" i="6"/>
  <c r="R67" i="6"/>
  <c r="Q67" i="6"/>
  <c r="K67" i="6"/>
  <c r="L64" i="6"/>
  <c r="K64" i="6"/>
  <c r="R63" i="6"/>
  <c r="Q63" i="6"/>
  <c r="R62" i="6"/>
  <c r="Q62" i="6"/>
  <c r="R61" i="6"/>
  <c r="Q61" i="6"/>
  <c r="R60" i="6"/>
  <c r="Q60" i="6"/>
  <c r="R59" i="6"/>
  <c r="Q59" i="6"/>
  <c r="R58" i="6"/>
  <c r="Q58" i="6"/>
  <c r="L55" i="6"/>
  <c r="R54" i="6"/>
  <c r="Q54" i="6"/>
  <c r="K54" i="6"/>
  <c r="J54" i="6"/>
  <c r="H54" i="6"/>
  <c r="R53" i="6"/>
  <c r="Q53" i="6"/>
  <c r="K53" i="6"/>
  <c r="R52" i="6"/>
  <c r="Q52" i="6"/>
  <c r="K52" i="6"/>
  <c r="R51" i="6"/>
  <c r="Q51" i="6"/>
  <c r="K51" i="6"/>
  <c r="R50" i="6"/>
  <c r="Q50" i="6"/>
  <c r="K50" i="6"/>
  <c r="R49" i="6"/>
  <c r="Q49" i="6"/>
  <c r="K49" i="6"/>
  <c r="R48" i="6"/>
  <c r="Q48" i="6"/>
  <c r="K48" i="6"/>
  <c r="L45" i="6"/>
  <c r="R44" i="6"/>
  <c r="Q44" i="6"/>
  <c r="R43" i="6"/>
  <c r="Q43" i="6"/>
  <c r="R42" i="6"/>
  <c r="Q42" i="6"/>
  <c r="R41" i="6"/>
  <c r="Q41" i="6"/>
  <c r="K41" i="6"/>
  <c r="R40" i="6"/>
  <c r="Q40" i="6"/>
  <c r="K40" i="6"/>
  <c r="R39" i="6"/>
  <c r="Q39" i="6"/>
  <c r="K39" i="6"/>
  <c r="R38" i="6"/>
  <c r="Q38" i="6"/>
  <c r="K38" i="6"/>
  <c r="R37" i="6"/>
  <c r="Q37" i="6"/>
  <c r="R36" i="6"/>
  <c r="Q36" i="6"/>
  <c r="R35" i="6"/>
  <c r="Q35" i="6"/>
  <c r="R34" i="6"/>
  <c r="Q34" i="6"/>
  <c r="R33" i="6"/>
  <c r="Q33" i="6"/>
  <c r="K33" i="6"/>
  <c r="B33" i="6"/>
  <c r="R32" i="6"/>
  <c r="Q32" i="6"/>
  <c r="K32" i="6"/>
  <c r="B32" i="6"/>
  <c r="R31" i="6"/>
  <c r="Q31" i="6"/>
  <c r="R30" i="6"/>
  <c r="Q30" i="6"/>
  <c r="R29" i="6"/>
  <c r="Q29" i="6"/>
  <c r="L26" i="6"/>
  <c r="K26" i="6"/>
  <c r="R25" i="6"/>
  <c r="Q25" i="6"/>
  <c r="R24" i="6"/>
  <c r="Q24" i="6"/>
  <c r="R23" i="6"/>
  <c r="Q23" i="6"/>
  <c r="R22" i="6"/>
  <c r="Q22" i="6"/>
  <c r="R21" i="6"/>
  <c r="Q21" i="6"/>
  <c r="R20" i="6"/>
  <c r="Q20" i="6"/>
  <c r="R19" i="6"/>
  <c r="Q19" i="6"/>
  <c r="R18" i="6"/>
  <c r="Q18" i="6"/>
  <c r="R17" i="6"/>
  <c r="Q17" i="6"/>
  <c r="R16" i="6"/>
  <c r="Q16" i="6"/>
  <c r="R15" i="6"/>
  <c r="Q15" i="6"/>
  <c r="R14" i="6"/>
  <c r="Q14" i="6"/>
  <c r="R13" i="6"/>
  <c r="Q13" i="6"/>
  <c r="R12" i="6"/>
  <c r="Q12" i="6"/>
  <c r="R11" i="6"/>
  <c r="Q11" i="6"/>
  <c r="R10" i="6"/>
  <c r="Q10" i="6"/>
  <c r="J130" i="5"/>
  <c r="K130" i="5" s="1"/>
  <c r="J129" i="5"/>
  <c r="K129" i="5" s="1"/>
  <c r="K128" i="5"/>
  <c r="J128" i="5"/>
  <c r="J125" i="5"/>
  <c r="K125" i="5" s="1"/>
  <c r="J124" i="5"/>
  <c r="K124" i="5" s="1"/>
  <c r="K123" i="5"/>
  <c r="K115" i="5"/>
  <c r="J110" i="5"/>
  <c r="K102" i="5"/>
  <c r="K107" i="5" s="1"/>
  <c r="J102" i="5"/>
  <c r="Q101" i="5"/>
  <c r="P101" i="5"/>
  <c r="Q100" i="5"/>
  <c r="P100" i="5"/>
  <c r="Q99" i="5"/>
  <c r="P99" i="5"/>
  <c r="Q98" i="5"/>
  <c r="P98" i="5"/>
  <c r="Q97" i="5"/>
  <c r="P97" i="5"/>
  <c r="K94" i="5"/>
  <c r="Q93" i="5"/>
  <c r="P93" i="5"/>
  <c r="Q92" i="5"/>
  <c r="P92" i="5"/>
  <c r="Q91" i="5"/>
  <c r="P91" i="5"/>
  <c r="Q90" i="5"/>
  <c r="P90" i="5"/>
  <c r="Q89" i="5"/>
  <c r="P89" i="5"/>
  <c r="Q88" i="5"/>
  <c r="P88" i="5"/>
  <c r="Q87" i="5"/>
  <c r="P87" i="5"/>
  <c r="Q86" i="5"/>
  <c r="P86" i="5"/>
  <c r="Q85" i="5"/>
  <c r="P85" i="5"/>
  <c r="Q84" i="5"/>
  <c r="P84" i="5"/>
  <c r="J84" i="5"/>
  <c r="Q83" i="5"/>
  <c r="P83" i="5"/>
  <c r="J83" i="5"/>
  <c r="Q82" i="5"/>
  <c r="P82" i="5"/>
  <c r="J82" i="5"/>
  <c r="Q81" i="5"/>
  <c r="P81" i="5"/>
  <c r="J81" i="5"/>
  <c r="Q80" i="5"/>
  <c r="P80" i="5"/>
  <c r="J80" i="5"/>
  <c r="Q79" i="5"/>
  <c r="P79" i="5"/>
  <c r="J79" i="5"/>
  <c r="Q78" i="5"/>
  <c r="P78" i="5"/>
  <c r="J78" i="5"/>
  <c r="Q77" i="5"/>
  <c r="P77" i="5"/>
  <c r="J77" i="5"/>
  <c r="B77" i="5"/>
  <c r="Q76" i="5"/>
  <c r="P76" i="5"/>
  <c r="J76" i="5"/>
  <c r="B76" i="5"/>
  <c r="Q75" i="5"/>
  <c r="P75" i="5"/>
  <c r="J75" i="5"/>
  <c r="H75" i="5"/>
  <c r="Q74" i="5"/>
  <c r="P74" i="5"/>
  <c r="J74" i="5"/>
  <c r="H74" i="5"/>
  <c r="Q73" i="5"/>
  <c r="P73" i="5"/>
  <c r="J73" i="5"/>
  <c r="I73" i="5"/>
  <c r="H73" i="5"/>
  <c r="Q72" i="5"/>
  <c r="P72" i="5"/>
  <c r="J72" i="5"/>
  <c r="I72" i="5"/>
  <c r="H72" i="5"/>
  <c r="Q71" i="5"/>
  <c r="P71" i="5"/>
  <c r="J71" i="5"/>
  <c r="I71" i="5"/>
  <c r="H71" i="5"/>
  <c r="Q70" i="5"/>
  <c r="P70" i="5"/>
  <c r="J70" i="5"/>
  <c r="I70" i="5"/>
  <c r="H70" i="5"/>
  <c r="K67" i="5"/>
  <c r="Q66" i="5"/>
  <c r="P66" i="5"/>
  <c r="J66" i="5"/>
  <c r="Q65" i="5"/>
  <c r="P65" i="5"/>
  <c r="J65" i="5"/>
  <c r="Q64" i="5"/>
  <c r="P64" i="5"/>
  <c r="J64" i="5"/>
  <c r="Q63" i="5"/>
  <c r="P63" i="5"/>
  <c r="Q62" i="5"/>
  <c r="P62" i="5"/>
  <c r="Q61" i="5"/>
  <c r="P61" i="5"/>
  <c r="J61" i="5"/>
  <c r="Q60" i="5"/>
  <c r="P60" i="5"/>
  <c r="J60" i="5"/>
  <c r="Q59" i="5"/>
  <c r="P59" i="5"/>
  <c r="Q58" i="5"/>
  <c r="P58" i="5"/>
  <c r="Q57" i="5"/>
  <c r="P57" i="5"/>
  <c r="Q56" i="5"/>
  <c r="P56" i="5"/>
  <c r="Q55" i="5"/>
  <c r="P55" i="5"/>
  <c r="Q54" i="5"/>
  <c r="P54" i="5"/>
  <c r="J54" i="5"/>
  <c r="Q53" i="5"/>
  <c r="P53" i="5"/>
  <c r="J53" i="5"/>
  <c r="Q52" i="5"/>
  <c r="P52" i="5"/>
  <c r="J52" i="5"/>
  <c r="Q51" i="5"/>
  <c r="P51" i="5"/>
  <c r="Q50" i="5"/>
  <c r="P50" i="5"/>
  <c r="J50" i="5"/>
  <c r="Q49" i="5"/>
  <c r="P49" i="5"/>
  <c r="J49" i="5"/>
  <c r="Q48" i="5"/>
  <c r="P48" i="5"/>
  <c r="K45" i="5"/>
  <c r="Q44" i="5"/>
  <c r="P44" i="5"/>
  <c r="Q43" i="5"/>
  <c r="P43" i="5"/>
  <c r="Q42" i="5"/>
  <c r="P42" i="5"/>
  <c r="J42" i="5"/>
  <c r="B42" i="5"/>
  <c r="Q41" i="5"/>
  <c r="P41" i="5"/>
  <c r="J41" i="5"/>
  <c r="B41" i="5"/>
  <c r="Q40" i="5"/>
  <c r="P40" i="5"/>
  <c r="B40" i="5"/>
  <c r="Q39" i="5"/>
  <c r="P39" i="5"/>
  <c r="B39" i="5"/>
  <c r="Q38" i="5"/>
  <c r="P38" i="5"/>
  <c r="Q37" i="5"/>
  <c r="P37" i="5"/>
  <c r="J37" i="5"/>
  <c r="B37" i="5"/>
  <c r="Q36" i="5"/>
  <c r="P36" i="5"/>
  <c r="J36" i="5"/>
  <c r="J45" i="5" s="1"/>
  <c r="Q35" i="5"/>
  <c r="P35" i="5"/>
  <c r="B35" i="5"/>
  <c r="Q34" i="5"/>
  <c r="P34" i="5"/>
  <c r="Q33" i="5"/>
  <c r="P33" i="5"/>
  <c r="B33" i="5"/>
  <c r="Q32" i="5"/>
  <c r="P32" i="5"/>
  <c r="B32" i="5"/>
  <c r="Q31" i="5"/>
  <c r="P31" i="5"/>
  <c r="Q30" i="5"/>
  <c r="P30" i="5"/>
  <c r="B30" i="5"/>
  <c r="Q29" i="5"/>
  <c r="P29" i="5"/>
  <c r="B29" i="5"/>
  <c r="Q28" i="5"/>
  <c r="P28" i="5"/>
  <c r="Q27" i="5"/>
  <c r="P27" i="5"/>
  <c r="B27" i="5"/>
  <c r="K24" i="5"/>
  <c r="J24" i="5"/>
  <c r="Q23" i="5"/>
  <c r="P23" i="5"/>
  <c r="Q22" i="5"/>
  <c r="P22" i="5"/>
  <c r="Q21" i="5"/>
  <c r="P21" i="5"/>
  <c r="Q20" i="5"/>
  <c r="P20" i="5"/>
  <c r="Q19" i="5"/>
  <c r="P19" i="5"/>
  <c r="Q18" i="5"/>
  <c r="P18" i="5"/>
  <c r="Q17" i="5"/>
  <c r="P17" i="5"/>
  <c r="Q16" i="5"/>
  <c r="P16" i="5"/>
  <c r="Q15" i="5"/>
  <c r="P15" i="5"/>
  <c r="Q14" i="5"/>
  <c r="P14" i="5"/>
  <c r="Q13" i="5"/>
  <c r="P13" i="5"/>
  <c r="Q12" i="5"/>
  <c r="P12" i="5"/>
  <c r="Q11" i="5"/>
  <c r="P11" i="5"/>
  <c r="Q10" i="5"/>
  <c r="P10" i="5"/>
  <c r="Q9" i="5"/>
  <c r="P9" i="5"/>
  <c r="I150" i="4"/>
  <c r="J150" i="4" s="1"/>
  <c r="I149" i="4"/>
  <c r="J149" i="4" s="1"/>
  <c r="I148" i="4"/>
  <c r="J148" i="4" s="1"/>
  <c r="J145" i="4"/>
  <c r="I145" i="4"/>
  <c r="I144" i="4"/>
  <c r="J144" i="4" s="1"/>
  <c r="J143" i="4"/>
  <c r="J135" i="4"/>
  <c r="J124" i="4"/>
  <c r="I124" i="4"/>
  <c r="P123" i="4"/>
  <c r="O123" i="4"/>
  <c r="P122" i="4"/>
  <c r="O122" i="4"/>
  <c r="P121" i="4"/>
  <c r="O121" i="4"/>
  <c r="P120" i="4"/>
  <c r="O120" i="4"/>
  <c r="P119" i="4"/>
  <c r="O119" i="4"/>
  <c r="K119" i="4"/>
  <c r="J116" i="4"/>
  <c r="P115" i="4"/>
  <c r="O115" i="4"/>
  <c r="I115" i="4"/>
  <c r="G115" i="4"/>
  <c r="A115" i="4"/>
  <c r="P114" i="4"/>
  <c r="O114" i="4"/>
  <c r="I114" i="4"/>
  <c r="A114" i="4"/>
  <c r="P113" i="4"/>
  <c r="O113" i="4"/>
  <c r="K113" i="4"/>
  <c r="I113" i="4"/>
  <c r="A113" i="4"/>
  <c r="P112" i="4"/>
  <c r="O112" i="4"/>
  <c r="J109" i="4"/>
  <c r="P108" i="4"/>
  <c r="O108" i="4"/>
  <c r="I108" i="4"/>
  <c r="A108" i="4"/>
  <c r="P107" i="4"/>
  <c r="O107" i="4"/>
  <c r="P106" i="4"/>
  <c r="O106" i="4"/>
  <c r="K106" i="4"/>
  <c r="J103" i="4"/>
  <c r="P102" i="4"/>
  <c r="O102" i="4"/>
  <c r="I102" i="4"/>
  <c r="H102" i="4"/>
  <c r="P101" i="4"/>
  <c r="O101" i="4"/>
  <c r="I101" i="4"/>
  <c r="H101" i="4"/>
  <c r="P100" i="4"/>
  <c r="O100" i="4"/>
  <c r="I100" i="4"/>
  <c r="H100" i="4"/>
  <c r="G100" i="4"/>
  <c r="P99" i="4"/>
  <c r="O99" i="4"/>
  <c r="I99" i="4"/>
  <c r="G99" i="4"/>
  <c r="P98" i="4"/>
  <c r="O98" i="4"/>
  <c r="I98" i="4"/>
  <c r="H98" i="4"/>
  <c r="A98" i="4"/>
  <c r="P97" i="4"/>
  <c r="O97" i="4"/>
  <c r="I97" i="4"/>
  <c r="A97" i="4"/>
  <c r="P96" i="4"/>
  <c r="O96" i="4"/>
  <c r="I96" i="4"/>
  <c r="H96" i="4"/>
  <c r="P95" i="4"/>
  <c r="O95" i="4"/>
  <c r="I95" i="4"/>
  <c r="J92" i="4"/>
  <c r="P91" i="4"/>
  <c r="O91" i="4"/>
  <c r="I91" i="4"/>
  <c r="I92" i="4" s="1"/>
  <c r="P90" i="4"/>
  <c r="O90" i="4"/>
  <c r="I90" i="4"/>
  <c r="A90" i="4"/>
  <c r="P89" i="4"/>
  <c r="O89" i="4"/>
  <c r="I89" i="4"/>
  <c r="A89" i="4"/>
  <c r="P88" i="4"/>
  <c r="O88" i="4"/>
  <c r="I88" i="4"/>
  <c r="A88" i="4"/>
  <c r="P87" i="4"/>
  <c r="O87" i="4"/>
  <c r="I87" i="4"/>
  <c r="G87" i="4"/>
  <c r="J84" i="4"/>
  <c r="P83" i="4"/>
  <c r="O83" i="4"/>
  <c r="I83" i="4"/>
  <c r="P82" i="4"/>
  <c r="O82" i="4"/>
  <c r="I82" i="4"/>
  <c r="P81" i="4"/>
  <c r="O81" i="4"/>
  <c r="I81" i="4"/>
  <c r="A81" i="4"/>
  <c r="P80" i="4"/>
  <c r="O80" i="4"/>
  <c r="I80" i="4"/>
  <c r="P79" i="4"/>
  <c r="O79" i="4"/>
  <c r="I79" i="4"/>
  <c r="G79" i="4"/>
  <c r="J76" i="4"/>
  <c r="I76" i="4"/>
  <c r="P75" i="4"/>
  <c r="O75" i="4"/>
  <c r="I75" i="4"/>
  <c r="H75" i="4"/>
  <c r="G75" i="4"/>
  <c r="P74" i="4"/>
  <c r="O74" i="4"/>
  <c r="I74" i="4"/>
  <c r="H74" i="4"/>
  <c r="G74" i="4"/>
  <c r="P73" i="4"/>
  <c r="O73" i="4"/>
  <c r="K73" i="4"/>
  <c r="I73" i="4"/>
  <c r="H73" i="4"/>
  <c r="P72" i="4"/>
  <c r="O72" i="4"/>
  <c r="H72" i="4"/>
  <c r="P71" i="4"/>
  <c r="O71" i="4"/>
  <c r="I71" i="4"/>
  <c r="H71" i="4"/>
  <c r="G71" i="4"/>
  <c r="P70" i="4"/>
  <c r="O70" i="4"/>
  <c r="K70" i="4"/>
  <c r="I70" i="4"/>
  <c r="H70" i="4"/>
  <c r="P69" i="4"/>
  <c r="O69" i="4"/>
  <c r="I69" i="4"/>
  <c r="P68" i="4"/>
  <c r="O68" i="4"/>
  <c r="I68" i="4"/>
  <c r="H68" i="4"/>
  <c r="G68" i="4"/>
  <c r="P67" i="4"/>
  <c r="O67" i="4"/>
  <c r="I67" i="4"/>
  <c r="H67" i="4"/>
  <c r="P66" i="4"/>
  <c r="O66" i="4"/>
  <c r="I66" i="4"/>
  <c r="P65" i="4"/>
  <c r="O65" i="4"/>
  <c r="I65" i="4"/>
  <c r="P64" i="4"/>
  <c r="O64" i="4"/>
  <c r="I64" i="4"/>
  <c r="P63" i="4"/>
  <c r="O63" i="4"/>
  <c r="K63" i="4"/>
  <c r="I63" i="4"/>
  <c r="P62" i="4"/>
  <c r="O62" i="4"/>
  <c r="P61" i="4"/>
  <c r="O61" i="4"/>
  <c r="I61" i="4"/>
  <c r="H61" i="4"/>
  <c r="G61" i="4"/>
  <c r="P60" i="4"/>
  <c r="O60" i="4"/>
  <c r="I60" i="4"/>
  <c r="H60" i="4"/>
  <c r="P59" i="4"/>
  <c r="O59" i="4"/>
  <c r="I59" i="4"/>
  <c r="P58" i="4"/>
  <c r="O58" i="4"/>
  <c r="I58" i="4"/>
  <c r="P57" i="4"/>
  <c r="O57" i="4"/>
  <c r="I57" i="4"/>
  <c r="H57" i="4"/>
  <c r="P56" i="4"/>
  <c r="O56" i="4"/>
  <c r="I56" i="4"/>
  <c r="P55" i="4"/>
  <c r="O55" i="4"/>
  <c r="K55" i="4"/>
  <c r="I55" i="4"/>
  <c r="P54" i="4"/>
  <c r="O54" i="4"/>
  <c r="H54" i="4"/>
  <c r="J51" i="4"/>
  <c r="P50" i="4"/>
  <c r="O50" i="4"/>
  <c r="G50" i="4"/>
  <c r="R49" i="4"/>
  <c r="P49" i="4"/>
  <c r="O49" i="4"/>
  <c r="H49" i="4"/>
  <c r="I49" i="4" s="1"/>
  <c r="R48" i="4"/>
  <c r="P48" i="4"/>
  <c r="O48" i="4"/>
  <c r="H48" i="4"/>
  <c r="I48" i="4" s="1"/>
  <c r="P47" i="4"/>
  <c r="O47" i="4"/>
  <c r="I47" i="4"/>
  <c r="A47" i="4"/>
  <c r="P46" i="4"/>
  <c r="O46" i="4"/>
  <c r="P45" i="4"/>
  <c r="O45" i="4"/>
  <c r="P44" i="4"/>
  <c r="O44" i="4"/>
  <c r="P43" i="4"/>
  <c r="O43" i="4"/>
  <c r="P42" i="4"/>
  <c r="O42" i="4"/>
  <c r="K42" i="4"/>
  <c r="I42" i="4"/>
  <c r="A42" i="4"/>
  <c r="P41" i="4"/>
  <c r="O41" i="4"/>
  <c r="K41" i="4"/>
  <c r="I41" i="4"/>
  <c r="A41" i="4"/>
  <c r="P40" i="4"/>
  <c r="O40" i="4"/>
  <c r="P39" i="4"/>
  <c r="O39" i="4"/>
  <c r="K39" i="4"/>
  <c r="I39" i="4"/>
  <c r="A39" i="4"/>
  <c r="P38" i="4"/>
  <c r="O38" i="4"/>
  <c r="K38" i="4"/>
  <c r="P37" i="4"/>
  <c r="O37" i="4"/>
  <c r="K37" i="4"/>
  <c r="P36" i="4"/>
  <c r="O36" i="4"/>
  <c r="P35" i="4"/>
  <c r="O35" i="4"/>
  <c r="P34" i="4"/>
  <c r="O34" i="4"/>
  <c r="P33" i="4"/>
  <c r="O33" i="4"/>
  <c r="P32" i="4"/>
  <c r="O32" i="4"/>
  <c r="P31" i="4"/>
  <c r="O31" i="4"/>
  <c r="P30" i="4"/>
  <c r="O30" i="4"/>
  <c r="J27" i="4"/>
  <c r="R26" i="4"/>
  <c r="I26" i="4" s="1"/>
  <c r="H26" i="4"/>
  <c r="R25" i="4"/>
  <c r="I25" i="4" s="1"/>
  <c r="P25" i="4"/>
  <c r="O25" i="4"/>
  <c r="H25" i="4"/>
  <c r="P24" i="4"/>
  <c r="O24" i="4"/>
  <c r="I24" i="4"/>
  <c r="H24" i="4"/>
  <c r="G24" i="4"/>
  <c r="P23" i="4"/>
  <c r="O23" i="4"/>
  <c r="K23" i="4"/>
  <c r="H23" i="4"/>
  <c r="P22" i="4"/>
  <c r="O22" i="4"/>
  <c r="H22" i="4"/>
  <c r="E22" i="4"/>
  <c r="P21" i="4"/>
  <c r="O21" i="4"/>
  <c r="K21" i="4"/>
  <c r="P20" i="4"/>
  <c r="O20" i="4"/>
  <c r="P19" i="4"/>
  <c r="O19" i="4"/>
  <c r="P18" i="4"/>
  <c r="O18" i="4"/>
  <c r="P17" i="4"/>
  <c r="O17" i="4"/>
  <c r="P16" i="4"/>
  <c r="O16" i="4"/>
  <c r="I16" i="4"/>
  <c r="H16" i="4"/>
  <c r="G16" i="4"/>
  <c r="P15" i="4"/>
  <c r="O15" i="4"/>
  <c r="H15" i="4"/>
  <c r="P14" i="4"/>
  <c r="O14" i="4"/>
  <c r="K14" i="4"/>
  <c r="P13" i="4"/>
  <c r="O13" i="4"/>
  <c r="K13" i="4"/>
  <c r="P12" i="4"/>
  <c r="O12" i="4"/>
  <c r="K12" i="4"/>
  <c r="P11" i="4"/>
  <c r="O11" i="4"/>
  <c r="K11" i="4"/>
  <c r="P10" i="4"/>
  <c r="O10" i="4"/>
  <c r="P9" i="4"/>
  <c r="O9" i="4"/>
  <c r="G9" i="4"/>
  <c r="J144" i="3"/>
  <c r="K144" i="3" s="1"/>
  <c r="J143" i="3"/>
  <c r="K143" i="3" s="1"/>
  <c r="J142" i="3"/>
  <c r="K142" i="3" s="1"/>
  <c r="J139" i="3"/>
  <c r="K139" i="3" s="1"/>
  <c r="J138" i="3"/>
  <c r="K138" i="3" s="1"/>
  <c r="K137" i="3"/>
  <c r="K129" i="3"/>
  <c r="K118" i="3"/>
  <c r="J118" i="3"/>
  <c r="U117" i="3"/>
  <c r="T117" i="3"/>
  <c r="U116" i="3"/>
  <c r="T116" i="3"/>
  <c r="U115" i="3"/>
  <c r="T115" i="3"/>
  <c r="U114" i="3"/>
  <c r="T114" i="3"/>
  <c r="U113" i="3"/>
  <c r="T113" i="3"/>
  <c r="K110" i="3"/>
  <c r="J110" i="3"/>
  <c r="U109" i="3"/>
  <c r="T109" i="3"/>
  <c r="H109" i="3"/>
  <c r="U108" i="3"/>
  <c r="T108" i="3"/>
  <c r="U107" i="3"/>
  <c r="T107" i="3"/>
  <c r="L107" i="3"/>
  <c r="U106" i="3"/>
  <c r="T106" i="3"/>
  <c r="U105" i="3"/>
  <c r="T105" i="3"/>
  <c r="I105" i="3"/>
  <c r="U104" i="3"/>
  <c r="T104" i="3"/>
  <c r="I104" i="3"/>
  <c r="J103" i="3"/>
  <c r="K101" i="3"/>
  <c r="U100" i="3"/>
  <c r="T100" i="3"/>
  <c r="H100" i="3"/>
  <c r="U99" i="3"/>
  <c r="T99" i="3"/>
  <c r="L99" i="3"/>
  <c r="J99" i="3"/>
  <c r="J101" i="3" s="1"/>
  <c r="B97" i="3"/>
  <c r="J94" i="3" s="1"/>
  <c r="U98" i="3"/>
  <c r="T98" i="3"/>
  <c r="L98" i="3"/>
  <c r="U97" i="3"/>
  <c r="T97" i="3"/>
  <c r="U96" i="3"/>
  <c r="T96" i="3"/>
  <c r="L96" i="3"/>
  <c r="U95" i="3"/>
  <c r="T95" i="3"/>
  <c r="K92" i="3"/>
  <c r="J92" i="3"/>
  <c r="U91" i="3"/>
  <c r="T91" i="3"/>
  <c r="J91" i="3"/>
  <c r="U90" i="3"/>
  <c r="T90" i="3"/>
  <c r="J90" i="3"/>
  <c r="U89" i="3"/>
  <c r="T89" i="3"/>
  <c r="U88" i="3"/>
  <c r="T88" i="3"/>
  <c r="J88" i="3"/>
  <c r="B86" i="3"/>
  <c r="U87" i="3"/>
  <c r="T87" i="3"/>
  <c r="J87" i="3"/>
  <c r="B85" i="3"/>
  <c r="U86" i="3"/>
  <c r="T86" i="3"/>
  <c r="J86" i="3"/>
  <c r="B84" i="3"/>
  <c r="U85" i="3"/>
  <c r="T85" i="3"/>
  <c r="J85" i="3"/>
  <c r="I85" i="3"/>
  <c r="U84" i="3"/>
  <c r="T84" i="3"/>
  <c r="J84" i="3"/>
  <c r="I84" i="3"/>
  <c r="H84" i="3"/>
  <c r="U83" i="3"/>
  <c r="T83" i="3"/>
  <c r="B81" i="3"/>
  <c r="U82" i="3"/>
  <c r="T82" i="3"/>
  <c r="U81" i="3"/>
  <c r="T81" i="3"/>
  <c r="U80" i="3"/>
  <c r="T80" i="3"/>
  <c r="U79" i="3"/>
  <c r="T79" i="3"/>
  <c r="U78" i="3"/>
  <c r="T78" i="3"/>
  <c r="L78" i="3"/>
  <c r="U77" i="3"/>
  <c r="T77" i="3"/>
  <c r="U76" i="3"/>
  <c r="T76" i="3"/>
  <c r="J76" i="3"/>
  <c r="K73" i="3"/>
  <c r="U72" i="3"/>
  <c r="T72" i="3"/>
  <c r="J72" i="3"/>
  <c r="I72" i="3"/>
  <c r="B70" i="3"/>
  <c r="U71" i="3"/>
  <c r="T71" i="3"/>
  <c r="J71" i="3"/>
  <c r="B69" i="3"/>
  <c r="J66" i="3" s="1"/>
  <c r="U70" i="3"/>
  <c r="T70" i="3"/>
  <c r="J70" i="3"/>
  <c r="U69" i="3"/>
  <c r="T69" i="3"/>
  <c r="J69" i="3"/>
  <c r="U68" i="3"/>
  <c r="T68" i="3"/>
  <c r="J68" i="3"/>
  <c r="U67" i="3"/>
  <c r="T67" i="3"/>
  <c r="J67" i="3"/>
  <c r="H67" i="3"/>
  <c r="K64" i="3"/>
  <c r="U63" i="3"/>
  <c r="T63" i="3"/>
  <c r="U62" i="3"/>
  <c r="T62" i="3"/>
  <c r="U61" i="3"/>
  <c r="T61" i="3"/>
  <c r="B59" i="3"/>
  <c r="J57" i="3" s="1"/>
  <c r="U60" i="3"/>
  <c r="T60" i="3"/>
  <c r="U59" i="3"/>
  <c r="T59" i="3"/>
  <c r="U54" i="3"/>
  <c r="T54" i="3"/>
  <c r="J54" i="3"/>
  <c r="U53" i="3"/>
  <c r="T53" i="3"/>
  <c r="J53" i="3"/>
  <c r="J50" i="3"/>
  <c r="K48" i="3"/>
  <c r="U47" i="3"/>
  <c r="T47" i="3"/>
  <c r="J47" i="3"/>
  <c r="B47" i="3"/>
  <c r="U46" i="3"/>
  <c r="T46" i="3"/>
  <c r="J46" i="3"/>
  <c r="B46" i="3"/>
  <c r="U45" i="3"/>
  <c r="T45" i="3"/>
  <c r="J45" i="3"/>
  <c r="B45" i="3"/>
  <c r="U44" i="3"/>
  <c r="T44" i="3"/>
  <c r="J44" i="3"/>
  <c r="B44" i="3"/>
  <c r="U43" i="3"/>
  <c r="T43" i="3"/>
  <c r="L43" i="3"/>
  <c r="J43" i="3"/>
  <c r="B43" i="3"/>
  <c r="U42" i="3"/>
  <c r="T42" i="3"/>
  <c r="L42" i="3"/>
  <c r="J42" i="3"/>
  <c r="B42" i="3"/>
  <c r="U41" i="3"/>
  <c r="T41" i="3"/>
  <c r="U40" i="3"/>
  <c r="T40" i="3"/>
  <c r="L40" i="3"/>
  <c r="J40" i="3"/>
  <c r="B40" i="3"/>
  <c r="U39" i="3"/>
  <c r="T39" i="3"/>
  <c r="L39" i="3"/>
  <c r="J39" i="3"/>
  <c r="B39" i="3"/>
  <c r="U38" i="3"/>
  <c r="T38" i="3"/>
  <c r="L38" i="3"/>
  <c r="J38" i="3"/>
  <c r="B38" i="3"/>
  <c r="U37" i="3"/>
  <c r="T37" i="3"/>
  <c r="U36" i="3"/>
  <c r="T36" i="3"/>
  <c r="J36" i="3"/>
  <c r="B36" i="3"/>
  <c r="U35" i="3"/>
  <c r="T35" i="3"/>
  <c r="J35" i="3"/>
  <c r="B35" i="3"/>
  <c r="U34" i="3"/>
  <c r="T34" i="3"/>
  <c r="J34" i="3"/>
  <c r="B34" i="3"/>
  <c r="U33" i="3"/>
  <c r="T33" i="3"/>
  <c r="J33" i="3"/>
  <c r="B33" i="3"/>
  <c r="U32" i="3"/>
  <c r="T32" i="3"/>
  <c r="J32" i="3"/>
  <c r="B32" i="3"/>
  <c r="U31" i="3"/>
  <c r="T31" i="3"/>
  <c r="J31" i="3"/>
  <c r="B31" i="3"/>
  <c r="K28" i="3"/>
  <c r="U27" i="3"/>
  <c r="T27" i="3"/>
  <c r="L27" i="3"/>
  <c r="J27" i="3"/>
  <c r="U26" i="3"/>
  <c r="T26" i="3"/>
  <c r="L26" i="3"/>
  <c r="J26" i="3"/>
  <c r="U25" i="3"/>
  <c r="T25" i="3"/>
  <c r="U24" i="3"/>
  <c r="T24" i="3"/>
  <c r="L24" i="3"/>
  <c r="I24" i="3"/>
  <c r="U23" i="3"/>
  <c r="T23" i="3"/>
  <c r="U22" i="3"/>
  <c r="T22" i="3"/>
  <c r="L22" i="3"/>
  <c r="U21" i="3"/>
  <c r="T21" i="3"/>
  <c r="U20" i="3"/>
  <c r="T20" i="3"/>
  <c r="L20" i="3"/>
  <c r="U19" i="3"/>
  <c r="T19" i="3"/>
  <c r="L19" i="3"/>
  <c r="U17" i="3"/>
  <c r="T17" i="3"/>
  <c r="L17" i="3"/>
  <c r="U15" i="3"/>
  <c r="T15" i="3"/>
  <c r="L15" i="3"/>
  <c r="U14" i="3"/>
  <c r="T14" i="3"/>
  <c r="L14" i="3"/>
  <c r="U13" i="3"/>
  <c r="T13" i="3"/>
  <c r="L13" i="3"/>
  <c r="U12" i="3"/>
  <c r="T12" i="3"/>
  <c r="L12" i="3"/>
  <c r="U11" i="3"/>
  <c r="T11" i="3"/>
  <c r="L11" i="3"/>
  <c r="U10" i="3"/>
  <c r="T10" i="3"/>
  <c r="U9" i="3"/>
  <c r="T9" i="3"/>
  <c r="H9" i="3"/>
  <c r="J56" i="8" l="1"/>
  <c r="F47" i="9"/>
  <c r="E121" i="12"/>
  <c r="F121" i="12" s="1"/>
  <c r="F56" i="12"/>
  <c r="E19" i="14"/>
  <c r="I51" i="4"/>
  <c r="AD8" i="10"/>
  <c r="H127" i="10"/>
  <c r="F131" i="10" s="1"/>
  <c r="E96" i="10"/>
  <c r="E118" i="10"/>
  <c r="F44" i="15"/>
  <c r="K105" i="5"/>
  <c r="J94" i="5"/>
  <c r="D110" i="7"/>
  <c r="E110" i="7" s="1"/>
  <c r="G3" i="7"/>
  <c r="H121" i="11"/>
  <c r="F125" i="11" s="1"/>
  <c r="F92" i="11"/>
  <c r="F100" i="11"/>
  <c r="F77" i="12"/>
  <c r="F85" i="12"/>
  <c r="J79" i="8"/>
  <c r="I103" i="4"/>
  <c r="N113" i="5"/>
  <c r="K118" i="5" s="1"/>
  <c r="AD9" i="10"/>
  <c r="E134" i="11"/>
  <c r="F134" i="11" s="1"/>
  <c r="E130" i="13"/>
  <c r="F130" i="13" s="1"/>
  <c r="F21" i="11"/>
  <c r="B111" i="6"/>
  <c r="K111" i="6" s="1"/>
  <c r="K3" i="6" s="1"/>
  <c r="I147" i="4"/>
  <c r="J147" i="4" s="1"/>
  <c r="J127" i="4"/>
  <c r="L111" i="6"/>
  <c r="K45" i="6"/>
  <c r="K73" i="6"/>
  <c r="H125" i="9"/>
  <c r="F129" i="9" s="1"/>
  <c r="F95" i="9"/>
  <c r="AD3" i="10"/>
  <c r="AD4" i="10"/>
  <c r="AD5" i="10"/>
  <c r="AD6" i="10"/>
  <c r="F112" i="11"/>
  <c r="F19" i="12"/>
  <c r="F63" i="12"/>
  <c r="F98" i="12"/>
  <c r="F49" i="13"/>
  <c r="F59" i="13"/>
  <c r="F108" i="13"/>
  <c r="F61" i="15"/>
  <c r="F96" i="10"/>
  <c r="F118" i="10"/>
  <c r="L133" i="4"/>
  <c r="J137" i="4" s="1"/>
  <c r="I116" i="4"/>
  <c r="J67" i="5"/>
  <c r="H97" i="7"/>
  <c r="E102" i="7" s="1"/>
  <c r="M122" i="8"/>
  <c r="K126" i="8" s="1"/>
  <c r="K114" i="8"/>
  <c r="B105" i="8"/>
  <c r="J114" i="8" s="1"/>
  <c r="J3" i="8" s="1"/>
  <c r="J134" i="8"/>
  <c r="K134" i="8" s="1"/>
  <c r="AD10" i="10"/>
  <c r="E79" i="10"/>
  <c r="F79" i="10" s="1"/>
  <c r="F43" i="11"/>
  <c r="F55" i="11"/>
  <c r="F64" i="11"/>
  <c r="E120" i="12"/>
  <c r="F120" i="12" s="1"/>
  <c r="E126" i="12" s="1"/>
  <c r="F42" i="12"/>
  <c r="F48" i="12"/>
  <c r="F68" i="13"/>
  <c r="F96" i="13"/>
  <c r="E56" i="14"/>
  <c r="F84" i="15"/>
  <c r="F96" i="15"/>
  <c r="K55" i="6"/>
  <c r="J55" i="3"/>
  <c r="L55" i="3" s="1"/>
  <c r="L110" i="3"/>
  <c r="L118" i="3"/>
  <c r="K121" i="3"/>
  <c r="L92" i="3"/>
  <c r="J75" i="3"/>
  <c r="J64" i="3"/>
  <c r="L64" i="3" s="1"/>
  <c r="J28" i="3"/>
  <c r="L28" i="3" s="1"/>
  <c r="J73" i="3"/>
  <c r="L73" i="3" s="1"/>
  <c r="K123" i="3"/>
  <c r="J129" i="4"/>
  <c r="K124" i="4"/>
  <c r="J140" i="3"/>
  <c r="K140" i="3" s="1"/>
  <c r="I146" i="4"/>
  <c r="J146" i="4" s="1"/>
  <c r="D111" i="7"/>
  <c r="E111" i="7" s="1"/>
  <c r="D116" i="7" s="1"/>
  <c r="N122" i="8"/>
  <c r="K127" i="8" s="1"/>
  <c r="J34" i="8"/>
  <c r="I125" i="9"/>
  <c r="F130" i="9" s="1"/>
  <c r="F131" i="9" s="1"/>
  <c r="F132" i="9" s="1"/>
  <c r="E139" i="9"/>
  <c r="F139" i="9" s="1"/>
  <c r="F57" i="9"/>
  <c r="H3" i="9" s="1"/>
  <c r="AD7" i="10"/>
  <c r="F73" i="11"/>
  <c r="I107" i="12"/>
  <c r="F112" i="12" s="1"/>
  <c r="E131" i="13"/>
  <c r="F131" i="13" s="1"/>
  <c r="E136" i="13" s="1"/>
  <c r="B119" i="3"/>
  <c r="J121" i="3" s="1"/>
  <c r="J3" i="3" s="1"/>
  <c r="J30" i="3"/>
  <c r="I27" i="4"/>
  <c r="A127" i="4"/>
  <c r="I127" i="4" s="1"/>
  <c r="I3" i="4" s="1"/>
  <c r="I84" i="4"/>
  <c r="K129" i="6"/>
  <c r="L129" i="6" s="1"/>
  <c r="E138" i="9"/>
  <c r="F138" i="9" s="1"/>
  <c r="E144" i="9" s="1"/>
  <c r="E140" i="10"/>
  <c r="F140" i="10" s="1"/>
  <c r="D112" i="14"/>
  <c r="E112" i="14" s="1"/>
  <c r="G99" i="14"/>
  <c r="E103" i="14" s="1"/>
  <c r="E118" i="15"/>
  <c r="F118" i="15" s="1"/>
  <c r="H105" i="15"/>
  <c r="F109" i="15" s="1"/>
  <c r="K128" i="8"/>
  <c r="K129" i="8" s="1"/>
  <c r="J141" i="3"/>
  <c r="K141" i="3" s="1"/>
  <c r="R127" i="3"/>
  <c r="K132" i="3" s="1"/>
  <c r="J48" i="3"/>
  <c r="L48" i="3" s="1"/>
  <c r="L101" i="3"/>
  <c r="J126" i="5"/>
  <c r="K126" i="5" s="1"/>
  <c r="B105" i="5"/>
  <c r="J105" i="5" s="1"/>
  <c r="J3" i="5" s="1"/>
  <c r="J127" i="5"/>
  <c r="K127" i="5" s="1"/>
  <c r="K130" i="6"/>
  <c r="L130" i="6" s="1"/>
  <c r="O117" i="6"/>
  <c r="L121" i="6" s="1"/>
  <c r="J135" i="8"/>
  <c r="K135" i="8" s="1"/>
  <c r="J140" i="8" s="1"/>
  <c r="E141" i="10"/>
  <c r="F141" i="10" s="1"/>
  <c r="E19" i="10"/>
  <c r="F19" i="10" s="1"/>
  <c r="E46" i="10"/>
  <c r="F46" i="10" s="1"/>
  <c r="E60" i="10"/>
  <c r="F60" i="10" s="1"/>
  <c r="E105" i="10"/>
  <c r="F105" i="10" s="1"/>
  <c r="E135" i="11"/>
  <c r="F135" i="11" s="1"/>
  <c r="E140" i="11" s="1"/>
  <c r="I121" i="11"/>
  <c r="F126" i="11" s="1"/>
  <c r="D113" i="14"/>
  <c r="E113" i="14" s="1"/>
  <c r="E36" i="14"/>
  <c r="E119" i="15"/>
  <c r="F119" i="15" s="1"/>
  <c r="Q127" i="3"/>
  <c r="K131" i="3" s="1"/>
  <c r="M133" i="4"/>
  <c r="J138" i="4" s="1"/>
  <c r="J139" i="4" s="1"/>
  <c r="J140" i="4" s="1"/>
  <c r="I151" i="4" s="1"/>
  <c r="J151" i="4" s="1"/>
  <c r="N117" i="6"/>
  <c r="L120" i="6" s="1"/>
  <c r="I127" i="10"/>
  <c r="F132" i="10" s="1"/>
  <c r="F133" i="10" s="1"/>
  <c r="F134" i="10" s="1"/>
  <c r="H117" i="13"/>
  <c r="F121" i="13" s="1"/>
  <c r="M113" i="5"/>
  <c r="K117" i="5" s="1"/>
  <c r="G97" i="7"/>
  <c r="E101" i="7" s="1"/>
  <c r="E103" i="7" s="1"/>
  <c r="E104" i="7" s="1"/>
  <c r="H107" i="12"/>
  <c r="F111" i="12" s="1"/>
  <c r="F113" i="12" s="1"/>
  <c r="F114" i="12" s="1"/>
  <c r="I117" i="13"/>
  <c r="F122" i="13" s="1"/>
  <c r="H99" i="14"/>
  <c r="E104" i="14" s="1"/>
  <c r="I105" i="15"/>
  <c r="F110" i="15" s="1"/>
  <c r="L122" i="6" l="1"/>
  <c r="L123" i="6" s="1"/>
  <c r="J132" i="5"/>
  <c r="K119" i="5"/>
  <c r="K120" i="5" s="1"/>
  <c r="K115" i="8"/>
  <c r="K117" i="8" s="1"/>
  <c r="K3" i="8" s="1"/>
  <c r="H3" i="15"/>
  <c r="F127" i="11"/>
  <c r="F128" i="11" s="1"/>
  <c r="L112" i="6"/>
  <c r="L114" i="6" s="1"/>
  <c r="L3" i="6" s="1"/>
  <c r="H3" i="11"/>
  <c r="E146" i="10"/>
  <c r="E124" i="15"/>
  <c r="D118" i="14"/>
  <c r="K134" i="6"/>
  <c r="J147" i="3"/>
  <c r="K133" i="3"/>
  <c r="K134" i="3" s="1"/>
  <c r="J145" i="3" s="1"/>
  <c r="K145" i="3" s="1"/>
  <c r="I153" i="4"/>
  <c r="E105" i="14"/>
  <c r="E106" i="14" s="1"/>
  <c r="K122" i="3"/>
  <c r="K124" i="3" s="1"/>
  <c r="H3" i="10"/>
  <c r="J128" i="4"/>
  <c r="J130" i="4" s="1"/>
  <c r="J3" i="4" s="1"/>
  <c r="F111" i="15"/>
  <c r="F112" i="15" s="1"/>
  <c r="F123" i="13"/>
  <c r="F124" i="13" s="1"/>
  <c r="H3" i="13" s="1"/>
  <c r="K106" i="5"/>
  <c r="K108" i="5" s="1"/>
  <c r="K3" i="5" s="1"/>
  <c r="K3" i="3" l="1"/>
  <c r="P1654" i="16"/>
  <c r="AC1862" i="16"/>
  <c r="W1950" i="16"/>
  <c r="AA2129" i="16"/>
  <c r="W2074" i="16"/>
  <c r="L1880" i="16"/>
  <c r="W1970" i="16"/>
  <c r="U1888" i="16"/>
  <c r="N2104" i="16"/>
  <c r="L2101" i="16"/>
  <c r="U1501" i="16"/>
  <c r="AE1850" i="16"/>
  <c r="L2134" i="16"/>
  <c r="AC2102" i="16"/>
  <c r="N2092" i="16"/>
  <c r="Y1725" i="16"/>
  <c r="L2019" i="16"/>
  <c r="L1815" i="16"/>
  <c r="U2122" i="16"/>
  <c r="AE1792" i="16"/>
  <c r="W2032" i="16"/>
  <c r="W2022" i="16"/>
  <c r="Y2056" i="16"/>
  <c r="AA1637" i="16"/>
  <c r="AA2154" i="16"/>
  <c r="AC2054" i="16"/>
  <c r="P1878" i="16"/>
  <c r="N2073" i="16"/>
  <c r="Y2104" i="16"/>
  <c r="Y2084" i="16"/>
  <c r="AC1780" i="16"/>
  <c r="N1703" i="16"/>
  <c r="AC2141" i="16"/>
  <c r="N1939" i="16"/>
  <c r="P2098" i="16"/>
  <c r="N1841" i="16"/>
  <c r="L1958" i="16"/>
  <c r="N2116" i="16"/>
  <c r="U2041" i="16"/>
  <c r="Y2106" i="16"/>
  <c r="P2126" i="16"/>
  <c r="L1412" i="16"/>
  <c r="AC1618" i="16"/>
  <c r="P1622" i="16"/>
  <c r="L1701" i="16"/>
  <c r="AC1740" i="16"/>
  <c r="W2098" i="16"/>
  <c r="AE1847" i="16"/>
  <c r="AA1668" i="16"/>
  <c r="Y2038" i="16"/>
  <c r="P1545" i="16"/>
  <c r="L1802" i="16"/>
  <c r="N2144" i="16"/>
  <c r="U1918" i="16"/>
  <c r="N2078" i="16"/>
  <c r="AC2060" i="16"/>
  <c r="W2078" i="16"/>
  <c r="P2086" i="16"/>
  <c r="P1859" i="16"/>
  <c r="W2076" i="16"/>
  <c r="AE1895" i="16"/>
  <c r="AA2067" i="16"/>
  <c r="AC2037" i="16"/>
  <c r="N1966" i="16"/>
  <c r="N2086" i="16"/>
  <c r="U2137" i="16"/>
  <c r="N2076" i="16"/>
  <c r="P1903" i="16"/>
  <c r="L2067" i="16"/>
  <c r="W1945" i="16"/>
  <c r="L2065" i="16"/>
  <c r="AC2073" i="16"/>
  <c r="AE1903" i="16"/>
  <c r="L1914" i="16"/>
  <c r="AC2144" i="16"/>
  <c r="P1806" i="16"/>
  <c r="AC1830" i="16"/>
  <c r="P1944" i="16"/>
  <c r="AA2151" i="16"/>
  <c r="AC2107" i="16"/>
  <c r="N2017" i="16"/>
  <c r="P819" i="16"/>
  <c r="AE1844" i="16"/>
  <c r="AA2116" i="16"/>
  <c r="AC2059" i="16"/>
  <c r="AC2119" i="16"/>
  <c r="AC1904" i="16"/>
  <c r="Y2079" i="16"/>
  <c r="N1958" i="16"/>
  <c r="P2048" i="16"/>
  <c r="Y2054" i="16"/>
  <c r="AC2103" i="16"/>
  <c r="L1836" i="16"/>
  <c r="U1864" i="16"/>
  <c r="N1804" i="16"/>
  <c r="AC1434" i="16"/>
  <c r="N1812" i="16"/>
  <c r="Y2154" i="16"/>
  <c r="Y1676" i="16"/>
  <c r="U1851" i="16"/>
  <c r="AC2114" i="16"/>
  <c r="N1962" i="16"/>
  <c r="W2010" i="16"/>
  <c r="N2152" i="16"/>
  <c r="AC1924" i="16"/>
  <c r="Y2062" i="16"/>
  <c r="U2136" i="16"/>
  <c r="P1977" i="16"/>
  <c r="L1796" i="16"/>
  <c r="U1948" i="16"/>
  <c r="Y2035" i="16"/>
  <c r="P2010" i="16"/>
  <c r="Y2142" i="16"/>
  <c r="W2136" i="16"/>
  <c r="L2119" i="16"/>
  <c r="W2130" i="16"/>
  <c r="L2053" i="16"/>
  <c r="L2136" i="16"/>
  <c r="P1869" i="16"/>
  <c r="AC1626" i="16"/>
  <c r="L1816" i="16"/>
  <c r="AC2086" i="16"/>
  <c r="AC2028" i="16"/>
  <c r="AC2069" i="16"/>
  <c r="W1317" i="16"/>
  <c r="N2070" i="16"/>
  <c r="W1691" i="16"/>
  <c r="U2038" i="16"/>
  <c r="AA2074" i="16"/>
  <c r="U2121" i="16"/>
  <c r="P2105" i="16"/>
  <c r="AE1977" i="16"/>
  <c r="N2122" i="16"/>
  <c r="AE1972" i="16"/>
  <c r="N2060" i="16"/>
  <c r="AE1962" i="16"/>
  <c r="L2002" i="16"/>
  <c r="L1591" i="16"/>
  <c r="U1464" i="16"/>
  <c r="AA2027" i="16"/>
  <c r="U1952" i="16"/>
  <c r="Y1723" i="16"/>
  <c r="N2015" i="16"/>
  <c r="AC1978" i="16"/>
  <c r="U1922" i="16"/>
  <c r="W1905" i="16"/>
  <c r="W2116" i="16"/>
  <c r="U1536" i="16"/>
  <c r="AE1878" i="16"/>
  <c r="P2095" i="16"/>
  <c r="W2009" i="16"/>
  <c r="AC2148" i="16"/>
  <c r="P2106" i="16"/>
  <c r="P1698" i="16"/>
  <c r="AC1965" i="16"/>
  <c r="AA1664" i="16"/>
  <c r="N2041" i="16"/>
  <c r="L1969" i="16"/>
  <c r="L1950" i="16"/>
  <c r="N1833" i="16"/>
  <c r="L2068" i="16"/>
  <c r="P1855" i="16"/>
  <c r="L2033" i="16"/>
  <c r="P1857" i="16"/>
  <c r="AC1674" i="16"/>
  <c r="W2006" i="16"/>
  <c r="P1952" i="16"/>
  <c r="AA1677" i="16"/>
  <c r="AA2064" i="16"/>
  <c r="Y2053" i="16"/>
  <c r="AA2058" i="16"/>
  <c r="AA2144" i="16"/>
  <c r="N2124" i="16"/>
  <c r="P2054" i="16"/>
  <c r="L1746" i="16"/>
  <c r="AA1577" i="16"/>
  <c r="N1792" i="16"/>
  <c r="U2104" i="16"/>
  <c r="AA2052" i="16"/>
  <c r="Y2081" i="16"/>
  <c r="AC1843" i="16"/>
  <c r="AC2041" i="16"/>
  <c r="U2052" i="16"/>
  <c r="AA2044" i="16"/>
  <c r="P1712" i="16"/>
  <c r="W2002" i="16"/>
  <c r="W1927" i="16"/>
  <c r="AA1674" i="16"/>
  <c r="L1912" i="16"/>
  <c r="AA1673" i="16"/>
  <c r="P2074" i="16"/>
  <c r="N1740" i="16"/>
  <c r="W2117" i="16"/>
  <c r="AC1918" i="16"/>
  <c r="Y1605" i="16"/>
  <c r="P1332" i="16"/>
  <c r="AA2125" i="16"/>
  <c r="N1933" i="16"/>
  <c r="L1981" i="16"/>
  <c r="W1700" i="16"/>
  <c r="U2040" i="16"/>
  <c r="U2107" i="16"/>
  <c r="N1976" i="16"/>
  <c r="W2007" i="16"/>
  <c r="P1896" i="16"/>
  <c r="AC2004" i="16"/>
  <c r="P2034" i="16"/>
  <c r="L1977" i="16"/>
  <c r="AE1864" i="16"/>
  <c r="P2067" i="16"/>
  <c r="L1978" i="16"/>
  <c r="AC1755" i="16"/>
  <c r="P2062" i="16"/>
  <c r="AE2025" i="16"/>
  <c r="P1809" i="16"/>
  <c r="AC1794" i="16"/>
  <c r="AA1613" i="16"/>
  <c r="P1889" i="16"/>
  <c r="AE1906" i="16"/>
  <c r="Y2051" i="16"/>
  <c r="U1829" i="16"/>
  <c r="N1811" i="16"/>
  <c r="AA1690" i="16"/>
  <c r="W2001" i="16"/>
  <c r="AA1278" i="16"/>
  <c r="W2053" i="16"/>
  <c r="W1985" i="16"/>
  <c r="AA2036" i="16"/>
  <c r="AC1997" i="16"/>
  <c r="U1537" i="16"/>
  <c r="AC1868" i="16"/>
  <c r="P1823" i="16"/>
  <c r="P1852" i="16"/>
  <c r="AE1891" i="16"/>
  <c r="L2012" i="16"/>
  <c r="N2138" i="16"/>
  <c r="Y1715" i="16"/>
  <c r="N1547" i="16"/>
  <c r="AA2099" i="16"/>
  <c r="L1839" i="16"/>
  <c r="U1891" i="16"/>
  <c r="AC1650" i="16"/>
  <c r="L1694" i="16"/>
  <c r="AC1856" i="16"/>
  <c r="P1790" i="16"/>
  <c r="U2008" i="16"/>
  <c r="L1667" i="16"/>
  <c r="N2069" i="16"/>
  <c r="W1986" i="16"/>
  <c r="Y2110" i="16"/>
  <c r="W2114" i="16"/>
  <c r="AE1931" i="16"/>
  <c r="AA2080" i="16"/>
  <c r="L1931" i="16"/>
  <c r="Y2028" i="16"/>
  <c r="L1818" i="16"/>
  <c r="P2040" i="16"/>
  <c r="U2092" i="16"/>
  <c r="U2020" i="16"/>
  <c r="Y2033" i="16"/>
  <c r="P1755" i="16"/>
  <c r="P1898" i="16"/>
  <c r="L1735" i="16"/>
  <c r="N1592" i="16"/>
  <c r="N1930" i="16"/>
  <c r="P1807" i="16"/>
  <c r="L1650" i="16"/>
  <c r="P1885" i="16"/>
  <c r="P1721" i="16"/>
  <c r="U1828" i="16"/>
  <c r="P1880" i="16"/>
  <c r="W2100" i="16"/>
  <c r="P1899" i="16"/>
  <c r="AA1669" i="16"/>
  <c r="P1864" i="16"/>
  <c r="U1950" i="16"/>
  <c r="AC1953" i="16"/>
  <c r="AE1797" i="16"/>
  <c r="N1840" i="16"/>
  <c r="L1821" i="16"/>
  <c r="L1620" i="16"/>
  <c r="AE1735" i="16"/>
  <c r="L1980" i="16"/>
  <c r="P1936" i="16"/>
  <c r="L1709" i="16"/>
  <c r="N1932" i="16"/>
  <c r="P1874" i="16"/>
  <c r="AC1913" i="16"/>
  <c r="W1616" i="16"/>
  <c r="AA1704" i="16"/>
  <c r="Y2080" i="16"/>
  <c r="P2145" i="16"/>
  <c r="W1884" i="16"/>
  <c r="W1899" i="16"/>
  <c r="AE2019" i="16"/>
  <c r="Y1671" i="16"/>
  <c r="L2133" i="16"/>
  <c r="L1975" i="16"/>
  <c r="P2009" i="16"/>
  <c r="N1902" i="16"/>
  <c r="N1736" i="16"/>
  <c r="W1946" i="16"/>
  <c r="P2101" i="16"/>
  <c r="P1456" i="16"/>
  <c r="N2140" i="16"/>
  <c r="N1926" i="16"/>
  <c r="L1846" i="16"/>
  <c r="N1631" i="16"/>
  <c r="L1885" i="16"/>
  <c r="AC2026" i="16"/>
  <c r="Y1732" i="16"/>
  <c r="P1591" i="16"/>
  <c r="P1835" i="16"/>
  <c r="P1810" i="16"/>
  <c r="AA2141" i="16"/>
  <c r="P2150" i="16"/>
  <c r="U2068" i="16"/>
  <c r="AE1865" i="16"/>
  <c r="Y2116" i="16"/>
  <c r="AC1956" i="16"/>
  <c r="N2051" i="16"/>
  <c r="AE2022" i="16"/>
  <c r="AA1652" i="16"/>
  <c r="L2155" i="16"/>
  <c r="Y2107" i="16"/>
  <c r="N1967" i="16"/>
  <c r="Y2043" i="16"/>
  <c r="U2077" i="16"/>
  <c r="U1936" i="16"/>
  <c r="P1831" i="16"/>
  <c r="L1820" i="16"/>
  <c r="AC2014" i="16"/>
  <c r="N2047" i="16"/>
  <c r="W1662" i="16"/>
  <c r="N2117" i="16"/>
  <c r="N2046" i="16"/>
  <c r="P2083" i="16"/>
  <c r="L1714" i="16"/>
  <c r="N2148" i="16"/>
  <c r="AC1855" i="16"/>
  <c r="AA2082" i="16"/>
  <c r="P2072" i="16"/>
  <c r="L1859" i="16"/>
  <c r="W1713" i="16"/>
  <c r="U2153" i="16"/>
  <c r="N1614" i="16"/>
  <c r="U2133" i="16"/>
  <c r="P1933" i="16"/>
  <c r="AC2080" i="16"/>
  <c r="W1909" i="16"/>
  <c r="AC2156" i="16"/>
  <c r="W2096" i="16"/>
  <c r="AA1480" i="16"/>
  <c r="N1929" i="16"/>
  <c r="L1961" i="16"/>
  <c r="N2096" i="16"/>
  <c r="L2087" i="16"/>
  <c r="U1854" i="16"/>
  <c r="AC1533" i="16"/>
  <c r="L1655" i="16"/>
  <c r="P1949" i="16"/>
  <c r="AE1971" i="16"/>
  <c r="U1919" i="16"/>
  <c r="AC2108" i="16"/>
  <c r="AA1419" i="16"/>
  <c r="Y1590" i="16"/>
  <c r="AC1935" i="16"/>
  <c r="P1667" i="16"/>
  <c r="AA2110" i="16"/>
  <c r="U1960" i="16"/>
  <c r="N1510" i="16"/>
  <c r="U1717" i="16"/>
  <c r="AC2145" i="16"/>
  <c r="P1723" i="16"/>
  <c r="W1925" i="16"/>
  <c r="AA1583" i="16"/>
  <c r="U1964" i="16"/>
  <c r="Y1580" i="16"/>
  <c r="Y1713" i="16"/>
  <c r="W1706" i="16"/>
  <c r="P2141" i="16"/>
  <c r="AE1996" i="16"/>
  <c r="L2073" i="16"/>
  <c r="U2009" i="16"/>
  <c r="U2076" i="16"/>
  <c r="L2056" i="16"/>
  <c r="AA2148" i="16"/>
  <c r="P2022" i="16"/>
  <c r="AC1866" i="16"/>
  <c r="U1825" i="16"/>
  <c r="U2099" i="16"/>
  <c r="AA1712" i="16"/>
  <c r="AC1873" i="16"/>
  <c r="Y1545" i="16"/>
  <c r="AC2123" i="16"/>
  <c r="AA2063" i="16"/>
  <c r="W2051" i="16"/>
  <c r="Y2085" i="16"/>
  <c r="U2037" i="16"/>
  <c r="Y2152" i="16"/>
  <c r="N1779" i="16"/>
  <c r="AC2140" i="16"/>
  <c r="U2061" i="16"/>
  <c r="AE1883" i="16"/>
  <c r="L2052" i="16"/>
  <c r="W1937" i="16"/>
  <c r="AE1973" i="16"/>
  <c r="AC1969" i="16"/>
  <c r="Y1451" i="16"/>
  <c r="AA1539" i="16"/>
  <c r="W1953" i="16"/>
  <c r="AA2150" i="16"/>
  <c r="AC2097" i="16"/>
  <c r="AA2083" i="16"/>
  <c r="P1893" i="16"/>
  <c r="AA2124" i="16"/>
  <c r="AC2017" i="16"/>
  <c r="AC2146" i="16"/>
  <c r="N1475" i="16"/>
  <c r="L1951" i="16"/>
  <c r="U2069" i="16"/>
  <c r="P1710" i="16"/>
  <c r="P1940" i="16"/>
  <c r="L1847" i="16"/>
  <c r="L1871" i="16"/>
  <c r="AA1436" i="16"/>
  <c r="AC1951" i="16"/>
  <c r="U2144" i="16"/>
  <c r="W2060" i="16"/>
  <c r="L1837" i="16"/>
  <c r="P2140" i="16"/>
  <c r="N1662" i="16"/>
  <c r="W1944" i="16"/>
  <c r="AC1744" i="16"/>
  <c r="AC1858" i="16"/>
  <c r="AC2051" i="16"/>
  <c r="AA2155" i="16"/>
  <c r="W1919" i="16"/>
  <c r="P2021" i="16"/>
  <c r="P2117" i="16"/>
  <c r="L1685" i="16"/>
  <c r="AC1848" i="16"/>
  <c r="N1991" i="16"/>
  <c r="N2143" i="16"/>
  <c r="L1874" i="16"/>
  <c r="P2091" i="16"/>
  <c r="P2084" i="16"/>
  <c r="W2037" i="16"/>
  <c r="AC2147" i="16"/>
  <c r="L1806" i="16"/>
  <c r="P2100" i="16"/>
  <c r="U2094" i="16"/>
  <c r="P1892" i="16"/>
  <c r="U1222" i="16"/>
  <c r="L1761" i="16"/>
  <c r="U2053" i="16"/>
  <c r="AC2111" i="16"/>
  <c r="W2149" i="16"/>
  <c r="AC1970" i="16"/>
  <c r="N2037" i="16"/>
  <c r="W1847" i="16"/>
  <c r="AC1568" i="16"/>
  <c r="U1258" i="16"/>
  <c r="U1944" i="16"/>
  <c r="W2093" i="16"/>
  <c r="Y1711" i="16"/>
  <c r="AC1783" i="16"/>
  <c r="P1847" i="16"/>
  <c r="L1393" i="16"/>
  <c r="AC1851" i="16"/>
  <c r="AE1949" i="16"/>
  <c r="L2148" i="16"/>
  <c r="AE1877" i="16"/>
  <c r="AC2150" i="16"/>
  <c r="P1597" i="16"/>
  <c r="AA1705" i="16"/>
  <c r="AE1746" i="16"/>
  <c r="W1921" i="16"/>
  <c r="L2075" i="16"/>
  <c r="P1813" i="16"/>
  <c r="AC2071" i="16"/>
  <c r="Y1666" i="16"/>
  <c r="U2007" i="16"/>
  <c r="L1898" i="16"/>
  <c r="AE1784" i="16"/>
  <c r="L2007" i="16"/>
  <c r="AE1981" i="16"/>
  <c r="AE1907" i="16"/>
  <c r="Y1703" i="16"/>
  <c r="AE1983" i="16"/>
  <c r="AC2138" i="16"/>
  <c r="N1805" i="16"/>
  <c r="N1422" i="16"/>
  <c r="U1939" i="16"/>
  <c r="AC1934" i="16"/>
  <c r="AA1540" i="16"/>
  <c r="Y1558" i="16"/>
  <c r="P1702" i="16"/>
  <c r="N1882" i="16"/>
  <c r="N2107" i="16"/>
  <c r="AA1111" i="16"/>
  <c r="L1422" i="16"/>
  <c r="AC1967" i="16"/>
  <c r="L1962" i="16"/>
  <c r="P1922" i="16"/>
  <c r="W2121" i="16"/>
  <c r="W2018" i="16"/>
  <c r="N1733" i="16"/>
  <c r="Y2098" i="16"/>
  <c r="AA2047" i="16"/>
  <c r="W2049" i="16"/>
  <c r="L2110" i="16"/>
  <c r="P1682" i="16"/>
  <c r="AC2000" i="16"/>
  <c r="W1962" i="16"/>
  <c r="AC1984" i="16"/>
  <c r="W2090" i="16"/>
  <c r="Y1506" i="16"/>
  <c r="U1713" i="16"/>
  <c r="P1678" i="16"/>
  <c r="L1972" i="16"/>
  <c r="P1740" i="16"/>
  <c r="L1831" i="16"/>
  <c r="Y1694" i="16"/>
  <c r="AE1799" i="16"/>
  <c r="L2069" i="16"/>
  <c r="AC2085" i="16"/>
  <c r="AC1669" i="16"/>
  <c r="AC2131" i="16"/>
  <c r="AC1808" i="16"/>
  <c r="AE2016" i="16"/>
  <c r="AC2091" i="16"/>
  <c r="W1664" i="16"/>
  <c r="Y1163" i="16"/>
  <c r="W1966" i="16"/>
  <c r="L1922" i="16"/>
  <c r="L1915" i="16"/>
  <c r="AA1659" i="16"/>
  <c r="P1811" i="16"/>
  <c r="P1751" i="16"/>
  <c r="AC1979" i="16"/>
  <c r="AC1785" i="16"/>
  <c r="Y1184" i="16"/>
  <c r="AC2044" i="16"/>
  <c r="L1909" i="16"/>
  <c r="AE2012" i="16"/>
  <c r="AC2077" i="16"/>
  <c r="U1903" i="16"/>
  <c r="U1955" i="16"/>
  <c r="AC1949" i="16"/>
  <c r="Y2153" i="16"/>
  <c r="N1990" i="16"/>
  <c r="U1931" i="16"/>
  <c r="W1688" i="16"/>
  <c r="P1912" i="16"/>
  <c r="N1911" i="16"/>
  <c r="L2039" i="16"/>
  <c r="P1759" i="16"/>
  <c r="AA1509" i="16"/>
  <c r="W2138" i="16"/>
  <c r="N2133" i="16"/>
  <c r="P2032" i="16"/>
  <c r="U2081" i="16"/>
  <c r="U1709" i="16"/>
  <c r="AC1915" i="16"/>
  <c r="U2089" i="16"/>
  <c r="P2002" i="16"/>
  <c r="AE2010" i="16"/>
  <c r="AC1840" i="16"/>
  <c r="P1749" i="16"/>
  <c r="AA1597" i="16"/>
  <c r="U1953" i="16"/>
  <c r="AE1884" i="16"/>
  <c r="P1664" i="16"/>
  <c r="AA2028" i="16"/>
  <c r="AE1904" i="16"/>
  <c r="N1952" i="16"/>
  <c r="Y2094" i="16"/>
  <c r="AC1911" i="16"/>
  <c r="W2044" i="16"/>
  <c r="N1173" i="16"/>
  <c r="AE1766" i="16"/>
  <c r="L1201" i="16"/>
  <c r="L2074" i="16"/>
  <c r="Y2047" i="16"/>
  <c r="N2083" i="16"/>
  <c r="AC2083" i="16"/>
  <c r="N1835" i="16"/>
  <c r="AE1833" i="16"/>
  <c r="L2050" i="16"/>
  <c r="W2023" i="16"/>
  <c r="AC1853" i="16"/>
  <c r="W2112" i="16"/>
  <c r="N2142" i="16"/>
  <c r="W1940" i="16"/>
  <c r="U2148" i="16"/>
  <c r="P1779" i="16"/>
  <c r="L2083" i="16"/>
  <c r="AC1758" i="16"/>
  <c r="AC2078" i="16"/>
  <c r="P1986" i="16"/>
  <c r="AA2147" i="16"/>
  <c r="W2050" i="16"/>
  <c r="L1942" i="16"/>
  <c r="L2113" i="16"/>
  <c r="L2045" i="16"/>
  <c r="AC1797" i="16"/>
  <c r="L2041" i="16"/>
  <c r="N1686" i="16"/>
  <c r="N1837" i="16"/>
  <c r="AA2095" i="16"/>
  <c r="N1866" i="16"/>
  <c r="U1697" i="16"/>
  <c r="N1945" i="16"/>
  <c r="N1588" i="16"/>
  <c r="AE1986" i="16"/>
  <c r="P1638" i="16"/>
  <c r="AA2042" i="16"/>
  <c r="P2029" i="16"/>
  <c r="AA1524" i="16"/>
  <c r="AC1699" i="16"/>
  <c r="AE1842" i="16"/>
  <c r="AC1701" i="16"/>
  <c r="AC1895" i="16"/>
  <c r="AA1653" i="16"/>
  <c r="N1845" i="16"/>
  <c r="AC2015" i="16"/>
  <c r="AC2076" i="16"/>
  <c r="AC2132" i="16"/>
  <c r="P2115" i="16"/>
  <c r="P1974" i="16"/>
  <c r="N2154" i="16"/>
  <c r="AA2092" i="16"/>
  <c r="L2048" i="16"/>
  <c r="AC1775" i="16"/>
  <c r="AA1665" i="16"/>
  <c r="L1994" i="16"/>
  <c r="P1960" i="16"/>
  <c r="AE1855" i="16"/>
  <c r="Y2105" i="16"/>
  <c r="U1532" i="16"/>
  <c r="L1788" i="16"/>
  <c r="W1684" i="16"/>
  <c r="W1995" i="16"/>
  <c r="P1738" i="16"/>
  <c r="Y1575" i="16"/>
  <c r="U1493" i="16"/>
  <c r="P2147" i="16"/>
  <c r="AC1414" i="16"/>
  <c r="N1954" i="16"/>
  <c r="L2040" i="16"/>
  <c r="U1852" i="16"/>
  <c r="L1990" i="16"/>
  <c r="Y2129" i="16"/>
  <c r="AC2137" i="16"/>
  <c r="L1734" i="16"/>
  <c r="P1945" i="16"/>
  <c r="AC2130" i="16"/>
  <c r="W2092" i="16"/>
  <c r="AE1988" i="16"/>
  <c r="AC1802" i="16"/>
  <c r="AC2035" i="16"/>
  <c r="N1428" i="16"/>
  <c r="L1873" i="16"/>
  <c r="W1930" i="16"/>
  <c r="AE1932" i="16"/>
  <c r="L2139" i="16"/>
  <c r="N1629" i="16"/>
  <c r="AE2015" i="16"/>
  <c r="AE1790" i="16"/>
  <c r="W1696" i="16"/>
  <c r="P1827" i="16"/>
  <c r="L2135" i="16"/>
  <c r="P1503" i="16"/>
  <c r="AC2110" i="16"/>
  <c r="Y2144" i="16"/>
  <c r="AE1858" i="16"/>
  <c r="AA1693" i="16"/>
  <c r="Y2037" i="16"/>
  <c r="W1952" i="16"/>
  <c r="P1741" i="16"/>
  <c r="AC2070" i="16"/>
  <c r="Y2156" i="16"/>
  <c r="W2137" i="16"/>
  <c r="P1746" i="16"/>
  <c r="AE2017" i="16"/>
  <c r="AC2101" i="16"/>
  <c r="AC1754" i="16"/>
  <c r="U1890" i="16"/>
  <c r="W2111" i="16"/>
  <c r="U2030" i="16"/>
  <c r="AC2139" i="16"/>
  <c r="L1968" i="16"/>
  <c r="L1795" i="16"/>
  <c r="AE1876" i="16"/>
  <c r="W1456" i="16"/>
  <c r="L2144" i="16"/>
  <c r="U1932" i="16"/>
  <c r="Y1620" i="16"/>
  <c r="L1835" i="16"/>
  <c r="N1974" i="16"/>
  <c r="AC2002" i="16"/>
  <c r="N1773" i="16"/>
  <c r="AA1721" i="16"/>
  <c r="AC1940" i="16"/>
  <c r="AC2043" i="16"/>
  <c r="AA1546" i="16"/>
  <c r="AC2046" i="16"/>
  <c r="AE1922" i="16"/>
  <c r="L2126" i="16"/>
  <c r="L2009" i="16"/>
  <c r="AA2065" i="16"/>
  <c r="W1999" i="16"/>
  <c r="AC1752" i="16"/>
  <c r="P1853" i="16"/>
  <c r="AE1905" i="16"/>
  <c r="P1942" i="16"/>
  <c r="P1683" i="16"/>
  <c r="W2157" i="16"/>
  <c r="N1698" i="16"/>
  <c r="AA2090" i="16"/>
  <c r="AE1836" i="16"/>
  <c r="AC2113" i="16"/>
  <c r="P1836" i="16"/>
  <c r="W1960" i="16"/>
  <c r="P2053" i="16"/>
  <c r="U1956" i="16"/>
  <c r="L1997" i="16"/>
  <c r="U1548" i="16"/>
  <c r="W2104" i="16"/>
  <c r="L1449" i="16"/>
  <c r="AC1871" i="16"/>
  <c r="N2119" i="16"/>
  <c r="L1564" i="16"/>
  <c r="AC1929" i="16"/>
  <c r="AE1770" i="16"/>
  <c r="N1608" i="16"/>
  <c r="L2090" i="16"/>
  <c r="L1738" i="16"/>
  <c r="AC1852" i="16"/>
  <c r="L1781" i="16"/>
  <c r="AE1997" i="16"/>
  <c r="AC2079" i="16"/>
  <c r="AA1687" i="16"/>
  <c r="W2061" i="16"/>
  <c r="N2077" i="16"/>
  <c r="L2151" i="16"/>
  <c r="P1932" i="16"/>
  <c r="U2106" i="16"/>
  <c r="U1906" i="16"/>
  <c r="W1948" i="16"/>
  <c r="L1862" i="16"/>
  <c r="N1101" i="16"/>
  <c r="AC2116" i="16"/>
  <c r="P2044" i="16"/>
  <c r="L1634" i="16"/>
  <c r="L2015" i="16"/>
  <c r="Y2132" i="16"/>
  <c r="W1856" i="16"/>
  <c r="L1861" i="16"/>
  <c r="AA1207" i="16"/>
  <c r="AC1629" i="16"/>
  <c r="AA2133" i="16"/>
  <c r="N1512" i="16"/>
  <c r="AC2134" i="16"/>
  <c r="N1983" i="16"/>
  <c r="AC1573" i="16"/>
  <c r="AA1698" i="16"/>
  <c r="W1607" i="16"/>
  <c r="AE1952" i="16"/>
  <c r="U1673" i="16"/>
  <c r="U1701" i="16"/>
  <c r="AC2056" i="16"/>
  <c r="AE1954" i="16"/>
  <c r="AC1777" i="16"/>
  <c r="P1797" i="16"/>
  <c r="Y2111" i="16"/>
  <c r="L1939" i="16"/>
  <c r="N1875" i="16"/>
  <c r="W2070" i="16"/>
  <c r="AA1573" i="16"/>
  <c r="P1404" i="16"/>
  <c r="N1948" i="16"/>
  <c r="W2016" i="16"/>
  <c r="W2080" i="16"/>
  <c r="Y1633" i="16"/>
  <c r="U1831" i="16"/>
  <c r="AE1880" i="16"/>
  <c r="AA1420" i="16"/>
  <c r="P2152" i="16"/>
  <c r="Y2149" i="16"/>
  <c r="N2067" i="16"/>
  <c r="AC2124" i="16"/>
  <c r="L1447" i="16"/>
  <c r="AA2122" i="16"/>
  <c r="U2140" i="16"/>
  <c r="AA2075" i="16"/>
  <c r="L2011" i="16"/>
  <c r="W1931" i="16"/>
  <c r="L2030" i="16"/>
  <c r="L1518" i="16"/>
  <c r="L2146" i="16"/>
  <c r="W2065" i="16"/>
  <c r="U1908" i="16"/>
  <c r="P2151" i="16"/>
  <c r="N1960" i="16"/>
  <c r="AE1741" i="16"/>
  <c r="AC2032" i="16"/>
  <c r="P1794" i="16"/>
  <c r="AC2001" i="16"/>
  <c r="AE1837" i="16"/>
  <c r="AE1939" i="16"/>
  <c r="AC2136" i="16"/>
  <c r="L2014" i="16"/>
  <c r="L1759" i="16"/>
  <c r="AC2040" i="16"/>
  <c r="AC1768" i="16"/>
  <c r="L1575" i="16"/>
  <c r="N2114" i="16"/>
  <c r="AC2033" i="16"/>
  <c r="N2029" i="16"/>
  <c r="N2023" i="16"/>
  <c r="L1579" i="16"/>
  <c r="U1880" i="16"/>
  <c r="W2046" i="16"/>
  <c r="AC2042" i="16"/>
  <c r="AC1909" i="16"/>
  <c r="AA2068" i="16"/>
  <c r="Y2066" i="16"/>
  <c r="L1635" i="16"/>
  <c r="AE1968" i="16"/>
  <c r="AA2032" i="16"/>
  <c r="L1721" i="16"/>
  <c r="W1871" i="16"/>
  <c r="N1950" i="16"/>
  <c r="P1780" i="16"/>
  <c r="AA2135" i="16"/>
  <c r="AC1697" i="16"/>
  <c r="AC2152" i="16"/>
  <c r="AE1854" i="16"/>
  <c r="L1585" i="16"/>
  <c r="W1832" i="16"/>
  <c r="P1784" i="16"/>
  <c r="N1918" i="16"/>
  <c r="Y1355" i="16"/>
  <c r="N2125" i="16"/>
  <c r="AC1923" i="16"/>
  <c r="U2050" i="16"/>
  <c r="AC2098" i="16"/>
  <c r="U2080" i="16"/>
  <c r="L1921" i="16"/>
  <c r="AE1908" i="16"/>
  <c r="AC1903" i="16"/>
  <c r="AC1900" i="16"/>
  <c r="W2085" i="16"/>
  <c r="L2006" i="16"/>
  <c r="N1764" i="16"/>
  <c r="U1938" i="16"/>
  <c r="AC1892" i="16"/>
  <c r="AE2023" i="16"/>
  <c r="AE1953" i="16"/>
  <c r="L1462" i="16"/>
  <c r="AC1928" i="16"/>
  <c r="N2049" i="16"/>
  <c r="N1913" i="16"/>
  <c r="L2132" i="16"/>
  <c r="AC1991" i="16"/>
  <c r="W1620" i="16"/>
  <c r="AA1439" i="16"/>
  <c r="P1860" i="16"/>
  <c r="L2058" i="16"/>
  <c r="N1561" i="16"/>
  <c r="P1756" i="16"/>
  <c r="L1946" i="16"/>
  <c r="P1148" i="16"/>
  <c r="N2079" i="16"/>
  <c r="U1845" i="16"/>
  <c r="N2088" i="16"/>
  <c r="W1922" i="16"/>
  <c r="AC1973" i="16"/>
  <c r="Y1350" i="16"/>
  <c r="P1582" i="16"/>
  <c r="W2003" i="16"/>
  <c r="P1829" i="16"/>
  <c r="W2106" i="16"/>
  <c r="AE1967" i="16"/>
  <c r="P1588" i="16"/>
  <c r="Y1731" i="16"/>
  <c r="L1450" i="16"/>
  <c r="L1762" i="16"/>
  <c r="Y2089" i="16"/>
  <c r="AA2156" i="16"/>
  <c r="W2081" i="16"/>
  <c r="P2146" i="16"/>
  <c r="N1894" i="16"/>
  <c r="AC1887" i="16"/>
  <c r="L1588" i="16"/>
  <c r="AE1869" i="16"/>
  <c r="W1972" i="16"/>
  <c r="N1503" i="16"/>
  <c r="P1868" i="16"/>
  <c r="N1700" i="16"/>
  <c r="W1457" i="16"/>
  <c r="N1332" i="16"/>
  <c r="AE1915" i="16"/>
  <c r="P1982" i="16"/>
  <c r="W2107" i="16"/>
  <c r="P1631" i="16"/>
  <c r="AC1786" i="16"/>
  <c r="P2018" i="16"/>
  <c r="P1290" i="16"/>
  <c r="N1847" i="16"/>
  <c r="P1971" i="16"/>
  <c r="AC1897" i="16"/>
  <c r="W2145" i="16"/>
  <c r="AC1512" i="16"/>
  <c r="W1879" i="16"/>
  <c r="P1745" i="16"/>
  <c r="L1583" i="16"/>
  <c r="U1568" i="16"/>
  <c r="AE1743" i="16"/>
  <c r="AE1815" i="16"/>
  <c r="N2020" i="16"/>
  <c r="AC1976" i="16"/>
  <c r="P2130" i="16"/>
  <c r="P2068" i="16"/>
  <c r="AC2062" i="16"/>
  <c r="AC2125" i="16"/>
  <c r="U2016" i="16"/>
  <c r="N2134" i="16"/>
  <c r="L1971" i="16"/>
  <c r="P2077" i="16"/>
  <c r="W1720" i="16"/>
  <c r="AC1694" i="16"/>
  <c r="W1850" i="16"/>
  <c r="Y2075" i="16"/>
  <c r="AA2054" i="16"/>
  <c r="L1828" i="16"/>
  <c r="AC2105" i="16"/>
  <c r="W1830" i="16"/>
  <c r="L1970" i="16"/>
  <c r="L2157" i="16"/>
  <c r="U1720" i="16"/>
  <c r="U1538" i="16"/>
  <c r="AA1680" i="16"/>
  <c r="L1938" i="16"/>
  <c r="N2053" i="16"/>
  <c r="N1944" i="16"/>
  <c r="N1970" i="16"/>
  <c r="AA1683" i="16"/>
  <c r="AC1959" i="16"/>
  <c r="N1784" i="16"/>
  <c r="L1473" i="16"/>
  <c r="AE1970" i="16"/>
  <c r="L2082" i="16"/>
  <c r="AE1894" i="16"/>
  <c r="L1875" i="16"/>
  <c r="AA2033" i="16"/>
  <c r="AA2114" i="16"/>
  <c r="N1788" i="16"/>
  <c r="L2021" i="16"/>
  <c r="U1965" i="16"/>
  <c r="AC1827" i="16"/>
  <c r="N1941" i="16"/>
  <c r="AA2031" i="16"/>
  <c r="N2156" i="16"/>
  <c r="L1882" i="16"/>
  <c r="N1437" i="16"/>
  <c r="P1801" i="16"/>
  <c r="AA2140" i="16"/>
  <c r="L1952" i="16"/>
  <c r="AC2120" i="16"/>
  <c r="P1871" i="16"/>
  <c r="P2107" i="16"/>
  <c r="AC1675" i="16"/>
  <c r="P2019" i="16"/>
  <c r="U1909" i="16"/>
  <c r="N2135" i="16"/>
  <c r="AE1892" i="16"/>
  <c r="W1849" i="16"/>
  <c r="AE1998" i="16"/>
  <c r="AC1700" i="16"/>
  <c r="Y1421" i="16"/>
  <c r="L1829" i="16"/>
  <c r="AC1878" i="16"/>
  <c r="P1708" i="16"/>
  <c r="AE1860" i="16"/>
  <c r="N2147" i="16"/>
  <c r="AA2062" i="16"/>
  <c r="AC1519" i="16"/>
  <c r="N2065" i="16"/>
  <c r="AE1751" i="16"/>
  <c r="AC2049" i="16"/>
  <c r="AC1634" i="16"/>
  <c r="N1815" i="16"/>
  <c r="W2148" i="16"/>
  <c r="N1776" i="16"/>
  <c r="P1773" i="16"/>
  <c r="N2145" i="16"/>
  <c r="U2125" i="16"/>
  <c r="Y2150" i="16"/>
  <c r="AC1980" i="16"/>
  <c r="W1974" i="16"/>
  <c r="W1848" i="16"/>
  <c r="Y1267" i="16"/>
  <c r="P1677" i="16"/>
  <c r="Y1573" i="16"/>
  <c r="AC2009" i="16"/>
  <c r="W2004" i="16"/>
  <c r="N1864" i="16"/>
  <c r="W2029" i="16"/>
  <c r="W1673" i="16"/>
  <c r="AC2048" i="16"/>
  <c r="L1984" i="16"/>
  <c r="W2086" i="16"/>
  <c r="AC2006" i="16"/>
  <c r="W1631" i="16"/>
  <c r="P2001" i="16"/>
  <c r="L1637" i="16"/>
  <c r="N1756" i="16"/>
  <c r="AC1482" i="16"/>
  <c r="AE1984" i="16"/>
  <c r="Y1307" i="16"/>
  <c r="Y1557" i="16"/>
  <c r="L1832" i="16"/>
  <c r="AC1625" i="16"/>
  <c r="AC1114" i="16"/>
  <c r="AA2056" i="16"/>
  <c r="Y1480" i="16"/>
  <c r="Y1410" i="16"/>
  <c r="Y1650" i="16"/>
  <c r="P1774" i="16"/>
  <c r="AA1363" i="16"/>
  <c r="W1421" i="16"/>
  <c r="Y1429" i="16"/>
  <c r="W1869" i="16"/>
  <c r="AC1497" i="16"/>
  <c r="P1076" i="16"/>
  <c r="L1743" i="16"/>
  <c r="L1470" i="16"/>
  <c r="P1792" i="16"/>
  <c r="AC1394" i="16"/>
  <c r="U1724" i="16"/>
  <c r="U1338" i="16"/>
  <c r="U1541" i="16"/>
  <c r="Y1400" i="16"/>
  <c r="L1883" i="16"/>
  <c r="N1039" i="16"/>
  <c r="W1240" i="16"/>
  <c r="L1320" i="16"/>
  <c r="P1808" i="16"/>
  <c r="AE1745" i="16"/>
  <c r="AA1505" i="16"/>
  <c r="P1883" i="16"/>
  <c r="AC1811" i="16"/>
  <c r="U1520" i="16"/>
  <c r="L2147" i="16"/>
  <c r="AC2012" i="16"/>
  <c r="N2100" i="16"/>
  <c r="P2155" i="16"/>
  <c r="AC1441" i="16"/>
  <c r="P2157" i="16"/>
  <c r="N352" i="16"/>
  <c r="N1942" i="16"/>
  <c r="AC1137" i="16"/>
  <c r="AA1667" i="16"/>
  <c r="P1947" i="16"/>
  <c r="AE1941" i="16"/>
  <c r="L1767" i="16"/>
  <c r="N2082" i="16"/>
  <c r="P2094" i="16"/>
  <c r="AA2136" i="16"/>
  <c r="L2103" i="16"/>
  <c r="N2151" i="16"/>
  <c r="AA1622" i="16"/>
  <c r="Y2052" i="16"/>
  <c r="Y2146" i="16"/>
  <c r="L1764" i="16"/>
  <c r="AC1971" i="16"/>
  <c r="N1862" i="16"/>
  <c r="U1862" i="16"/>
  <c r="Y2099" i="16"/>
  <c r="U2097" i="16"/>
  <c r="Y1560" i="16"/>
  <c r="L1842" i="16"/>
  <c r="W1708" i="16"/>
  <c r="U1849" i="16"/>
  <c r="U2028" i="16"/>
  <c r="P1884" i="16"/>
  <c r="N1892" i="16"/>
  <c r="AC1546" i="16"/>
  <c r="P1962" i="16"/>
  <c r="U2130" i="16"/>
  <c r="AA1611" i="16"/>
  <c r="W1831" i="16"/>
  <c r="AC1936" i="16"/>
  <c r="P1240" i="16"/>
  <c r="U2011" i="16"/>
  <c r="AC1864" i="16"/>
  <c r="L2120" i="16"/>
  <c r="Y1645" i="16"/>
  <c r="L1840" i="16"/>
  <c r="U1174" i="16"/>
  <c r="N2021" i="16"/>
  <c r="Y2068" i="16"/>
  <c r="P2057" i="16"/>
  <c r="L1963" i="16"/>
  <c r="Y2061" i="16"/>
  <c r="N2001" i="16"/>
  <c r="P1660" i="16"/>
  <c r="N1536" i="16"/>
  <c r="AC1690" i="16"/>
  <c r="P1752" i="16"/>
  <c r="L1867" i="16"/>
  <c r="AC1748" i="16"/>
  <c r="AC1964" i="16"/>
  <c r="AA2115" i="16"/>
  <c r="Y2067" i="16"/>
  <c r="AC1834" i="16"/>
  <c r="AC1835" i="16"/>
  <c r="N1971" i="16"/>
  <c r="AC1975" i="16"/>
  <c r="AA2132" i="16"/>
  <c r="AC1945" i="16"/>
  <c r="Y1717" i="16"/>
  <c r="P1913" i="16"/>
  <c r="W1924" i="16"/>
  <c r="AA2137" i="16"/>
  <c r="AC1882" i="16"/>
  <c r="W1991" i="16"/>
  <c r="L2128" i="16"/>
  <c r="W1929" i="16"/>
  <c r="Y2086" i="16"/>
  <c r="Y1621" i="16"/>
  <c r="AE1937" i="16"/>
  <c r="Y1637" i="16"/>
  <c r="U1954" i="16"/>
  <c r="P2064" i="16"/>
  <c r="N1388" i="16"/>
  <c r="L1992" i="16"/>
  <c r="AC1242" i="16"/>
  <c r="N2064" i="16"/>
  <c r="P2063" i="16"/>
  <c r="U2065" i="16"/>
  <c r="AC1922" i="16"/>
  <c r="W1961" i="16"/>
  <c r="AA2041" i="16"/>
  <c r="U1916" i="16"/>
  <c r="N2010" i="16"/>
  <c r="N1124" i="16"/>
  <c r="L1745" i="16"/>
  <c r="L1911" i="16"/>
  <c r="AC2050" i="16"/>
  <c r="P2047" i="16"/>
  <c r="AC1397" i="16"/>
  <c r="AC1828" i="16"/>
  <c r="U1439" i="16"/>
  <c r="AC1875" i="16"/>
  <c r="L1563" i="16"/>
  <c r="U1887" i="16"/>
  <c r="U1959" i="16"/>
  <c r="U2049" i="16"/>
  <c r="L2152" i="16"/>
  <c r="L2026" i="16"/>
  <c r="Y1701" i="16"/>
  <c r="Y1587" i="16"/>
  <c r="U1822" i="16"/>
  <c r="N1494" i="16"/>
  <c r="AE1830" i="16"/>
  <c r="AE1791" i="16"/>
  <c r="N2153" i="16"/>
  <c r="L1190" i="16"/>
  <c r="N1516" i="16"/>
  <c r="Y2120" i="16"/>
  <c r="Y951" i="16"/>
  <c r="AC1077" i="16"/>
  <c r="N1206" i="16"/>
  <c r="L1587" i="16"/>
  <c r="P1288" i="16"/>
  <c r="N1499" i="16"/>
  <c r="W1566" i="16"/>
  <c r="W1891" i="16"/>
  <c r="U1382" i="16"/>
  <c r="AC2095" i="16"/>
  <c r="P2139" i="16"/>
  <c r="P1886" i="16"/>
  <c r="N1999" i="16"/>
  <c r="L1966" i="16"/>
  <c r="AC1877" i="16"/>
  <c r="Y2069" i="16"/>
  <c r="N1446" i="16"/>
  <c r="AA2102" i="16"/>
  <c r="L1925" i="16"/>
  <c r="AE1945" i="16"/>
  <c r="AC2128" i="16"/>
  <c r="U1962" i="16"/>
  <c r="AA1602" i="16"/>
  <c r="N1687" i="16"/>
  <c r="N1558" i="16"/>
  <c r="P1804" i="16"/>
  <c r="U2088" i="16"/>
  <c r="N1632" i="16"/>
  <c r="P1731" i="16"/>
  <c r="N1908" i="16"/>
  <c r="Y2124" i="16"/>
  <c r="AA2046" i="16"/>
  <c r="N2099" i="16"/>
  <c r="L1713" i="16"/>
  <c r="N1927" i="16"/>
  <c r="L2096" i="16"/>
  <c r="W1915" i="16"/>
  <c r="W2015" i="16"/>
  <c r="AC1821" i="16"/>
  <c r="AC1562" i="16"/>
  <c r="L1845" i="16"/>
  <c r="AE1870" i="16"/>
  <c r="AC2087" i="16"/>
  <c r="W1938" i="16"/>
  <c r="AA1719" i="16"/>
  <c r="AC1565" i="16"/>
  <c r="Y1432" i="16"/>
  <c r="W1935" i="16"/>
  <c r="Y1309" i="16"/>
  <c r="U1900" i="16"/>
  <c r="AC1908" i="16"/>
  <c r="AC1702" i="16"/>
  <c r="L2029" i="16"/>
  <c r="Y1595" i="16"/>
  <c r="AC2055" i="16"/>
  <c r="AC1475" i="16"/>
  <c r="P2007" i="16"/>
  <c r="N1984" i="16"/>
  <c r="AC1773" i="16"/>
  <c r="L2112" i="16"/>
  <c r="N1714" i="16"/>
  <c r="W1837" i="16"/>
  <c r="W1989" i="16"/>
  <c r="AE1955" i="16"/>
  <c r="N2087" i="16"/>
  <c r="Y2087" i="16"/>
  <c r="P1529" i="16"/>
  <c r="N2026" i="16"/>
  <c r="AA2149" i="16"/>
  <c r="L1601" i="16"/>
  <c r="U2084" i="16"/>
  <c r="L1936" i="16"/>
  <c r="W1570" i="16"/>
  <c r="L2060" i="16"/>
  <c r="P1833" i="16"/>
  <c r="AA1575" i="16"/>
  <c r="W2019" i="16"/>
  <c r="L2086" i="16"/>
  <c r="AA1670" i="16"/>
  <c r="AC1889" i="16"/>
  <c r="AC1466" i="16"/>
  <c r="AE1913" i="16"/>
  <c r="P1272" i="16"/>
  <c r="W1693" i="16"/>
  <c r="L2115" i="16"/>
  <c r="AA2085" i="16"/>
  <c r="AC1861" i="16"/>
  <c r="AC1453" i="16"/>
  <c r="Y2071" i="16"/>
  <c r="W1874" i="16"/>
  <c r="AC1718" i="16"/>
  <c r="AE1861" i="16"/>
  <c r="L1145" i="16"/>
  <c r="W2154" i="16"/>
  <c r="AC1649" i="16"/>
  <c r="P1679" i="16"/>
  <c r="AA2069" i="16"/>
  <c r="P2120" i="16"/>
  <c r="AE1764" i="16"/>
  <c r="P1928" i="16"/>
  <c r="AC1560" i="16"/>
  <c r="W1632" i="16"/>
  <c r="L1431" i="16"/>
  <c r="L1770" i="16"/>
  <c r="AC2118" i="16"/>
  <c r="AE1947" i="16"/>
  <c r="AE1889" i="16"/>
  <c r="L1766" i="16"/>
  <c r="U1350" i="16"/>
  <c r="P1647" i="16"/>
  <c r="AA2060" i="16"/>
  <c r="L1675" i="16"/>
  <c r="Y2064" i="16"/>
  <c r="AC1713" i="16"/>
  <c r="P1754" i="16"/>
  <c r="U1721" i="16"/>
  <c r="AA1717" i="16"/>
  <c r="P2037" i="16"/>
  <c r="AC2023" i="16"/>
  <c r="P1938" i="16"/>
  <c r="P1757" i="16"/>
  <c r="AC1736" i="16"/>
  <c r="N1982" i="16"/>
  <c r="P1772" i="16"/>
  <c r="L1730" i="16"/>
  <c r="AC1817" i="16"/>
  <c r="P1882" i="16"/>
  <c r="AA1235" i="16"/>
  <c r="N1899" i="16"/>
  <c r="AA1474" i="16"/>
  <c r="P1598" i="16"/>
  <c r="L1235" i="16"/>
  <c r="AA1725" i="16"/>
  <c r="AC1693" i="16"/>
  <c r="Y2088" i="16"/>
  <c r="P2031" i="16"/>
  <c r="N1641" i="16"/>
  <c r="AE1946" i="16"/>
  <c r="AE1771" i="16"/>
  <c r="P1987" i="16"/>
  <c r="AC1874" i="16"/>
  <c r="AC2068" i="16"/>
  <c r="P2011" i="16"/>
  <c r="L2156" i="16"/>
  <c r="AE1933" i="16"/>
  <c r="AA1588" i="16"/>
  <c r="U2029" i="16"/>
  <c r="L1838" i="16"/>
  <c r="U1833" i="16"/>
  <c r="U1972" i="16"/>
  <c r="L1382" i="16"/>
  <c r="Y2070" i="16"/>
  <c r="P1422" i="16"/>
  <c r="Y2049" i="16"/>
  <c r="W2099" i="16"/>
  <c r="U2015" i="16"/>
  <c r="W1640" i="16"/>
  <c r="P1727" i="16"/>
  <c r="AA1543" i="16"/>
  <c r="AA2051" i="16"/>
  <c r="U1920" i="16"/>
  <c r="AA2093" i="16"/>
  <c r="W1556" i="16"/>
  <c r="L1811" i="16"/>
  <c r="Y2039" i="16"/>
  <c r="N1694" i="16"/>
  <c r="P1897" i="16"/>
  <c r="AC1998" i="16"/>
  <c r="U1957" i="16"/>
  <c r="P2104" i="16"/>
  <c r="W2068" i="16"/>
  <c r="P1907" i="16"/>
  <c r="P1993" i="16"/>
  <c r="L1826" i="16"/>
  <c r="U2152" i="16"/>
  <c r="P1849" i="16"/>
  <c r="AC1515" i="16"/>
  <c r="AA1688" i="16"/>
  <c r="W1917" i="16"/>
  <c r="AC1746" i="16"/>
  <c r="W2110" i="16"/>
  <c r="P1736" i="16"/>
  <c r="Y2078" i="16"/>
  <c r="L2022" i="16"/>
  <c r="AA1421" i="16"/>
  <c r="AC1266" i="16"/>
  <c r="N2123" i="16"/>
  <c r="N1716" i="16"/>
  <c r="P1818" i="16"/>
  <c r="L1858" i="16"/>
  <c r="N2044" i="16"/>
  <c r="P1750" i="16"/>
  <c r="U2033" i="16"/>
  <c r="L1465" i="16"/>
  <c r="AC2135" i="16"/>
  <c r="AA2127" i="16"/>
  <c r="L2079" i="16"/>
  <c r="L1998" i="16"/>
  <c r="AA2111" i="16"/>
  <c r="AA1681" i="16"/>
  <c r="L1866" i="16"/>
  <c r="P1480" i="16"/>
  <c r="W1624" i="16"/>
  <c r="AC1602" i="16"/>
  <c r="W1956" i="16"/>
  <c r="P2030" i="16"/>
  <c r="AC1681" i="16"/>
  <c r="U1423" i="16"/>
  <c r="AC1648" i="16"/>
  <c r="W1658" i="16"/>
  <c r="N1759" i="16"/>
  <c r="L2100" i="16"/>
  <c r="W1975" i="16"/>
  <c r="N2035" i="16"/>
  <c r="W1880" i="16"/>
  <c r="Y1653" i="16"/>
  <c r="N1748" i="16"/>
  <c r="P1474" i="16"/>
  <c r="N2126" i="16"/>
  <c r="L1669" i="16"/>
  <c r="N1659" i="16"/>
  <c r="L2013" i="16"/>
  <c r="N1859" i="16"/>
  <c r="Y2045" i="16"/>
  <c r="P1782" i="16"/>
  <c r="P2099" i="16"/>
  <c r="W1060" i="16"/>
  <c r="P2128" i="16"/>
  <c r="N2018" i="16"/>
  <c r="L1948" i="16"/>
  <c r="W2045" i="16"/>
  <c r="AE1834" i="16"/>
  <c r="AC1358" i="16"/>
  <c r="AA1427" i="16"/>
  <c r="AA1075" i="16"/>
  <c r="W1648" i="16"/>
  <c r="U1521" i="16"/>
  <c r="N595" i="16"/>
  <c r="AE1868" i="16"/>
  <c r="W2059" i="16"/>
  <c r="AC1001" i="16"/>
  <c r="L1551" i="16"/>
  <c r="U1394" i="16"/>
  <c r="L1623" i="16"/>
  <c r="AC477" i="16"/>
  <c r="P1965" i="16"/>
  <c r="Y2118" i="16"/>
  <c r="L2042" i="16"/>
  <c r="AA2123" i="16"/>
  <c r="AE1849" i="16"/>
  <c r="W2012" i="16"/>
  <c r="P1414" i="16"/>
  <c r="P2108" i="16"/>
  <c r="N1726" i="16"/>
  <c r="AE1948" i="16"/>
  <c r="N1531" i="16"/>
  <c r="P1227" i="16"/>
  <c r="N1704" i="16"/>
  <c r="P1287" i="16"/>
  <c r="N1744" i="16"/>
  <c r="P1542" i="16"/>
  <c r="L2098" i="16"/>
  <c r="P1465" i="16"/>
  <c r="P1890" i="16"/>
  <c r="L2095" i="16"/>
  <c r="AC1823" i="16"/>
  <c r="Y1235" i="16"/>
  <c r="U1542" i="16"/>
  <c r="AC2005" i="16"/>
  <c r="AC2151" i="16"/>
  <c r="L1853" i="16"/>
  <c r="P2135" i="16"/>
  <c r="L1705" i="16"/>
  <c r="AC1804" i="16"/>
  <c r="N2155" i="16"/>
  <c r="P1724" i="16"/>
  <c r="L1976" i="16"/>
  <c r="Y2032" i="16"/>
  <c r="L1596" i="16"/>
  <c r="U1473" i="16"/>
  <c r="P2138" i="16"/>
  <c r="P1834" i="16"/>
  <c r="W2152" i="16"/>
  <c r="N2050" i="16"/>
  <c r="L1619" i="16"/>
  <c r="AC1977" i="16"/>
  <c r="N1896" i="16"/>
  <c r="AA1175" i="16"/>
  <c r="AC1721" i="16"/>
  <c r="AE1755" i="16"/>
  <c r="P1547" i="16"/>
  <c r="P1571" i="16"/>
  <c r="AC1831" i="16"/>
  <c r="L1528" i="16"/>
  <c r="P1284" i="16"/>
  <c r="AE1852" i="16"/>
  <c r="AC1854" i="16"/>
  <c r="N1452" i="16"/>
  <c r="P2081" i="16"/>
  <c r="P2005" i="16"/>
  <c r="Y1613" i="16"/>
  <c r="N1767" i="16"/>
  <c r="W1249" i="16"/>
  <c r="AA1692" i="16"/>
  <c r="AC1141" i="16"/>
  <c r="W2150" i="16"/>
  <c r="AC1763" i="16"/>
  <c r="L1547" i="16"/>
  <c r="AA1262" i="16"/>
  <c r="W1681" i="16"/>
  <c r="W1138" i="16"/>
  <c r="N1627" i="16"/>
  <c r="AE1942" i="16"/>
  <c r="AC2082" i="16"/>
  <c r="P2118" i="16"/>
  <c r="L1747" i="16"/>
  <c r="U2005" i="16"/>
  <c r="L1877" i="16"/>
  <c r="N1587" i="16"/>
  <c r="W2142" i="16"/>
  <c r="N2045" i="16"/>
  <c r="W1665" i="16"/>
  <c r="P1666" i="16"/>
  <c r="N959" i="16"/>
  <c r="L1617" i="16"/>
  <c r="N1879" i="16"/>
  <c r="AC2090" i="16"/>
  <c r="P1787" i="16"/>
  <c r="P1688" i="16"/>
  <c r="P2060" i="16"/>
  <c r="AC1616" i="16"/>
  <c r="U1126" i="16"/>
  <c r="U1899" i="16"/>
  <c r="P1918" i="16"/>
  <c r="Y1094" i="16"/>
  <c r="AC1662" i="16"/>
  <c r="L1934" i="16"/>
  <c r="P1817" i="16"/>
  <c r="W1057" i="16"/>
  <c r="L1568" i="16"/>
  <c r="P1642" i="16"/>
  <c r="W1908" i="16"/>
  <c r="Y835" i="16"/>
  <c r="P2041" i="16"/>
  <c r="P1946" i="16"/>
  <c r="Y2050" i="16"/>
  <c r="L1652" i="16"/>
  <c r="P1994" i="16"/>
  <c r="N2036" i="16"/>
  <c r="AC1762" i="16"/>
  <c r="N1886" i="16"/>
  <c r="N2054" i="16"/>
  <c r="N1884" i="16"/>
  <c r="L2129" i="16"/>
  <c r="P1236" i="16"/>
  <c r="N2052" i="16"/>
  <c r="N1164" i="16"/>
  <c r="W1941" i="16"/>
  <c r="L1954" i="16"/>
  <c r="N2127" i="16"/>
  <c r="AC1281" i="16"/>
  <c r="W1916" i="16"/>
  <c r="AA1620" i="16"/>
  <c r="AA1608" i="16"/>
  <c r="AA1437" i="16"/>
  <c r="U1871" i="16"/>
  <c r="P523" i="16"/>
  <c r="AC1369" i="16"/>
  <c r="AC1292" i="16"/>
  <c r="U1904" i="16"/>
  <c r="N1925" i="16"/>
  <c r="U1859" i="16"/>
  <c r="P1254" i="16"/>
  <c r="P1312" i="16"/>
  <c r="U1945" i="16"/>
  <c r="N1656" i="16"/>
  <c r="P1877" i="16"/>
  <c r="N1880" i="16"/>
  <c r="AE1783" i="16"/>
  <c r="L2111" i="16"/>
  <c r="AA2089" i="16"/>
  <c r="AC1901" i="16"/>
  <c r="AC1990" i="16"/>
  <c r="L1782" i="16"/>
  <c r="AC2066" i="16"/>
  <c r="AA1455" i="16"/>
  <c r="Y2136" i="16"/>
  <c r="P2133" i="16"/>
  <c r="N1959" i="16"/>
  <c r="P1924" i="16"/>
  <c r="AA1570" i="16"/>
  <c r="W1643" i="16"/>
  <c r="N1405" i="16"/>
  <c r="P2090" i="16"/>
  <c r="U1894" i="16"/>
  <c r="N2013" i="16"/>
  <c r="N1195" i="16"/>
  <c r="N1755" i="16"/>
  <c r="P351" i="16"/>
  <c r="AC823" i="16"/>
  <c r="W1094" i="16"/>
  <c r="AA1533" i="16"/>
  <c r="N1782" i="16"/>
  <c r="N1682" i="16"/>
  <c r="P1575" i="16"/>
  <c r="AA1661" i="16"/>
  <c r="W490" i="16"/>
  <c r="P1948" i="16"/>
  <c r="W2133" i="16"/>
  <c r="N1881" i="16"/>
  <c r="W1484" i="16"/>
  <c r="P1764" i="16"/>
  <c r="L1889" i="16"/>
  <c r="AA2039" i="16"/>
  <c r="Y1484" i="16"/>
  <c r="N1720" i="16"/>
  <c r="W1701" i="16"/>
  <c r="AC2143" i="16"/>
  <c r="L1195" i="16"/>
  <c r="AC1910" i="16"/>
  <c r="N1576" i="16"/>
  <c r="L1876" i="16"/>
  <c r="Y1431" i="16"/>
  <c r="Y1624" i="16"/>
  <c r="P509" i="16"/>
  <c r="P1544" i="16"/>
  <c r="AE1788" i="16"/>
  <c r="Y1473" i="16"/>
  <c r="N1144" i="16"/>
  <c r="AC1728" i="16"/>
  <c r="N1602" i="16"/>
  <c r="AC504" i="16"/>
  <c r="AC1807" i="16"/>
  <c r="AC969" i="16"/>
  <c r="Y1551" i="16"/>
  <c r="Y1122" i="16"/>
  <c r="Y2138" i="16"/>
  <c r="P1147" i="16"/>
  <c r="W1199" i="16"/>
  <c r="N1090" i="16"/>
  <c r="Y933" i="16"/>
  <c r="N1810" i="16"/>
  <c r="AA961" i="16"/>
  <c r="AC1677" i="16"/>
  <c r="N1946" i="16"/>
  <c r="N1814" i="16"/>
  <c r="U836" i="16"/>
  <c r="U1925" i="16"/>
  <c r="N1895" i="16"/>
  <c r="AC1890" i="16"/>
  <c r="Y1716" i="16"/>
  <c r="U1509" i="16"/>
  <c r="W1895" i="16"/>
  <c r="N2113" i="16"/>
  <c r="L1784" i="16"/>
  <c r="L1982" i="16"/>
  <c r="N1953" i="16"/>
  <c r="L1799" i="16"/>
  <c r="W2131" i="16"/>
  <c r="L1647" i="16"/>
  <c r="P1999" i="16"/>
  <c r="P1958" i="16"/>
  <c r="P1205" i="16"/>
  <c r="P663" i="16"/>
  <c r="AC1577" i="16"/>
  <c r="P653" i="16"/>
  <c r="N1590" i="16"/>
  <c r="L665" i="16"/>
  <c r="AA1593" i="16"/>
  <c r="AC1120" i="16"/>
  <c r="AA1555" i="16"/>
  <c r="L1254" i="16"/>
  <c r="AC1719" i="16"/>
  <c r="W940" i="16"/>
  <c r="U2124" i="16"/>
  <c r="N1642" i="16"/>
  <c r="Y1312" i="16"/>
  <c r="AC1068" i="16"/>
  <c r="AA1714" i="16"/>
  <c r="AC1695" i="16"/>
  <c r="U1937" i="16"/>
  <c r="L1388" i="16"/>
  <c r="P1228" i="16"/>
  <c r="P1639" i="16"/>
  <c r="W1498" i="16"/>
  <c r="AA690" i="16"/>
  <c r="Y1564" i="16"/>
  <c r="N1797" i="16"/>
  <c r="AA1609" i="16"/>
  <c r="P1543" i="16"/>
  <c r="AC813" i="16"/>
  <c r="N1478" i="16"/>
  <c r="L1065" i="16"/>
  <c r="L1716" i="16"/>
  <c r="AC2074" i="16"/>
  <c r="Y2026" i="16"/>
  <c r="AC1919" i="16"/>
  <c r="P2087" i="16"/>
  <c r="AE1843" i="16"/>
  <c r="AC1162" i="16"/>
  <c r="AC2133" i="16"/>
  <c r="AA2131" i="16"/>
  <c r="AE1748" i="16"/>
  <c r="AC1477" i="16"/>
  <c r="P1972" i="16"/>
  <c r="P2149" i="16"/>
  <c r="AA1214" i="16"/>
  <c r="W2014" i="16"/>
  <c r="U2032" i="16"/>
  <c r="N1485" i="16"/>
  <c r="AA2096" i="16"/>
  <c r="L1330" i="16"/>
  <c r="AA1183" i="16"/>
  <c r="AC1623" i="16"/>
  <c r="AA1699" i="16"/>
  <c r="W2108" i="16"/>
  <c r="N1448" i="16"/>
  <c r="L2127" i="16"/>
  <c r="U1971" i="16"/>
  <c r="P1939" i="16"/>
  <c r="AC1787" i="16"/>
  <c r="W1656" i="16"/>
  <c r="L1979" i="16"/>
  <c r="P2097" i="16"/>
  <c r="U1841" i="16"/>
  <c r="W1538" i="16"/>
  <c r="N1853" i="16"/>
  <c r="Y1476" i="16"/>
  <c r="W1721" i="16"/>
  <c r="P2096" i="16"/>
  <c r="L1453" i="16"/>
  <c r="AC1469" i="16"/>
  <c r="N1540" i="16"/>
  <c r="N1737" i="16"/>
  <c r="P1539" i="16"/>
  <c r="W2141" i="16"/>
  <c r="P1856" i="16"/>
  <c r="P1966" i="16"/>
  <c r="U2156" i="16"/>
  <c r="P1567" i="16"/>
  <c r="N1963" i="16"/>
  <c r="AC1594" i="16"/>
  <c r="P1866" i="16"/>
  <c r="L1616" i="16"/>
  <c r="L1353" i="16"/>
  <c r="L2001" i="16"/>
  <c r="N1735" i="16"/>
  <c r="W2101" i="16"/>
  <c r="W2153" i="16"/>
  <c r="P1970" i="16"/>
  <c r="U1946" i="16"/>
  <c r="N2068" i="16"/>
  <c r="P1824" i="16"/>
  <c r="AC1657" i="16"/>
  <c r="W2069" i="16"/>
  <c r="Y1561" i="16"/>
  <c r="AC2008" i="16"/>
  <c r="AC1590" i="16"/>
  <c r="N1739" i="16"/>
  <c r="U2042" i="16"/>
  <c r="L2059" i="16"/>
  <c r="W1943" i="16"/>
  <c r="AC1931" i="16"/>
  <c r="U1963" i="16"/>
  <c r="P1826" i="16"/>
  <c r="L2104" i="16"/>
  <c r="P1969" i="16"/>
  <c r="AA1594" i="16"/>
  <c r="AA2050" i="16"/>
  <c r="AC1593" i="16"/>
  <c r="P2136" i="16"/>
  <c r="AE1935" i="16"/>
  <c r="P2085" i="16"/>
  <c r="L1902" i="16"/>
  <c r="W1951" i="16"/>
  <c r="W2124" i="16"/>
  <c r="AE1995" i="16"/>
  <c r="L1090" i="16"/>
  <c r="W2073" i="16"/>
  <c r="AC1734" i="16"/>
  <c r="N2137" i="16"/>
  <c r="P2079" i="16"/>
  <c r="N1181" i="16"/>
  <c r="U1107" i="16"/>
  <c r="Y2055" i="16"/>
  <c r="AC1792" i="16"/>
  <c r="N1673" i="16"/>
  <c r="AC2053" i="16"/>
  <c r="AC1958" i="16"/>
  <c r="P1904" i="16"/>
  <c r="N2146" i="16"/>
  <c r="N1909" i="16"/>
  <c r="P1599" i="16"/>
  <c r="P1900" i="16"/>
  <c r="N1724" i="16"/>
  <c r="AC1534" i="16"/>
  <c r="AC1826" i="16"/>
  <c r="W1302" i="16"/>
  <c r="AA1326" i="16"/>
  <c r="U1873" i="16"/>
  <c r="L1830" i="16"/>
  <c r="AA1639" i="16"/>
  <c r="P734" i="16"/>
  <c r="AE1875" i="16"/>
  <c r="N2081" i="16"/>
  <c r="N1585" i="16"/>
  <c r="N1483" i="16"/>
  <c r="AA1618" i="16"/>
  <c r="Y967" i="16"/>
  <c r="AC1832" i="16"/>
  <c r="P2052" i="16"/>
  <c r="L1671" i="16"/>
  <c r="AC1086" i="16"/>
  <c r="Y2151" i="16"/>
  <c r="AE1885" i="16"/>
  <c r="W1638" i="16"/>
  <c r="P2027" i="16"/>
  <c r="AA2086" i="16"/>
  <c r="U1546" i="16"/>
  <c r="AC1739" i="16"/>
  <c r="AA595" i="16"/>
  <c r="L2004" i="16"/>
  <c r="N1689" i="16"/>
  <c r="L1851" i="16"/>
  <c r="N1073" i="16"/>
  <c r="W1660" i="16"/>
  <c r="Y2108" i="16"/>
  <c r="AA1627" i="16"/>
  <c r="P1082" i="16"/>
  <c r="P1981" i="16"/>
  <c r="AA1548" i="16"/>
  <c r="P1351" i="16"/>
  <c r="AA2078" i="16"/>
  <c r="AC1656" i="16"/>
  <c r="AC2045" i="16"/>
  <c r="P1953" i="16"/>
  <c r="AC1867" i="16"/>
  <c r="U1554" i="16"/>
  <c r="U1966" i="16"/>
  <c r="AC1765" i="16"/>
  <c r="W2129" i="16"/>
  <c r="AC1815" i="16"/>
  <c r="L1744" i="16"/>
  <c r="P1112" i="16"/>
  <c r="N1710" i="16"/>
  <c r="P2056" i="16"/>
  <c r="AC2038" i="16"/>
  <c r="P1707" i="16"/>
  <c r="W2084" i="16"/>
  <c r="Y1695" i="16"/>
  <c r="W1180" i="16"/>
  <c r="W1594" i="16"/>
  <c r="Y827" i="16"/>
  <c r="AA1512" i="16"/>
  <c r="P1377" i="16"/>
  <c r="L1181" i="16"/>
  <c r="U1078" i="16"/>
  <c r="AA1322" i="16"/>
  <c r="P1451" i="16"/>
  <c r="L1024" i="16"/>
  <c r="P1358" i="16"/>
  <c r="AA1556" i="16"/>
  <c r="W1172" i="16"/>
  <c r="AC2096" i="16"/>
  <c r="N1987" i="16"/>
  <c r="N1583" i="16"/>
  <c r="AE1943" i="16"/>
  <c r="N2074" i="16"/>
  <c r="L1790" i="16"/>
  <c r="L1833" i="16"/>
  <c r="N1502" i="16"/>
  <c r="AA2098" i="16"/>
  <c r="AC1813" i="16"/>
  <c r="AA2100" i="16"/>
  <c r="AA1694" i="16"/>
  <c r="Y2141" i="16"/>
  <c r="P1143" i="16"/>
  <c r="L2018" i="16"/>
  <c r="P1989" i="16"/>
  <c r="AC1937" i="16"/>
  <c r="AA2084" i="16"/>
  <c r="AE1886" i="16"/>
  <c r="N2063" i="16"/>
  <c r="AC1217" i="16"/>
  <c r="N2034" i="16"/>
  <c r="P1448" i="16"/>
  <c r="AC797" i="16"/>
  <c r="W1151" i="16"/>
  <c r="L1454" i="16"/>
  <c r="N1470" i="16"/>
  <c r="P1689" i="16"/>
  <c r="AC1337" i="16"/>
  <c r="Y1291" i="16"/>
  <c r="AC922" i="16"/>
  <c r="N1442" i="16"/>
  <c r="P1743" i="16"/>
  <c r="N1809" i="16"/>
  <c r="N1451" i="16"/>
  <c r="N1813" i="16"/>
  <c r="W1958" i="16"/>
  <c r="P1789" i="16"/>
  <c r="AC1846" i="16"/>
  <c r="L1682" i="16"/>
  <c r="AC1624" i="16"/>
  <c r="U1263" i="16"/>
  <c r="N825" i="16"/>
  <c r="N1680" i="16"/>
  <c r="N1138" i="16"/>
  <c r="L1457" i="16"/>
  <c r="P147" i="16"/>
  <c r="P990" i="16"/>
  <c r="AA892" i="16"/>
  <c r="AA1626" i="16"/>
  <c r="N1197" i="16"/>
  <c r="L1095" i="16"/>
  <c r="U1342" i="16"/>
  <c r="P1729" i="16"/>
  <c r="AC1294" i="16"/>
  <c r="AC1198" i="16"/>
  <c r="U465" i="16"/>
  <c r="Y942" i="16"/>
  <c r="W1722" i="16"/>
  <c r="U2045" i="16"/>
  <c r="AA776" i="16"/>
  <c r="Y1391" i="16"/>
  <c r="AC1581" i="16"/>
  <c r="AA1623" i="16"/>
  <c r="U768" i="16"/>
  <c r="Y1326" i="16"/>
  <c r="N1766" i="16"/>
  <c r="N844" i="16"/>
  <c r="N1036" i="16"/>
  <c r="W1375" i="16"/>
  <c r="P1434" i="16"/>
  <c r="N1358" i="16"/>
  <c r="L1974" i="16"/>
  <c r="L2109" i="16"/>
  <c r="P1973" i="16"/>
  <c r="AE2024" i="16"/>
  <c r="AA1471" i="16"/>
  <c r="P1839" i="16"/>
  <c r="N1865" i="16"/>
  <c r="Y1532" i="16"/>
  <c r="P2080" i="16"/>
  <c r="U2112" i="16"/>
  <c r="W2066" i="16"/>
  <c r="N1732" i="16"/>
  <c r="AA1446" i="16"/>
  <c r="L1856" i="16"/>
  <c r="P1753" i="16"/>
  <c r="P863" i="16"/>
  <c r="Y1606" i="16"/>
  <c r="Y2123" i="16"/>
  <c r="AC1342" i="16"/>
  <c r="AC856" i="16"/>
  <c r="P2012" i="16"/>
  <c r="W2140" i="16"/>
  <c r="N1757" i="16"/>
  <c r="AC1265" i="16"/>
  <c r="AE1853" i="16"/>
  <c r="P1586" i="16"/>
  <c r="AC1883" i="16"/>
  <c r="W1854" i="16"/>
  <c r="U1879" i="16"/>
  <c r="N1566" i="16"/>
  <c r="L1202" i="16"/>
  <c r="AA1537" i="16"/>
  <c r="Y1528" i="16"/>
  <c r="L1584" i="16"/>
  <c r="P1125" i="16"/>
  <c r="N1233" i="16"/>
  <c r="L1421" i="16"/>
  <c r="AE1851" i="16"/>
  <c r="AA1320" i="16"/>
  <c r="P1472" i="16"/>
  <c r="AC1360" i="16"/>
  <c r="U1310" i="16"/>
  <c r="P1027" i="16"/>
  <c r="N1204" i="16"/>
  <c r="W1144" i="16"/>
  <c r="N1528" i="16"/>
  <c r="AC1665" i="16"/>
  <c r="L1953" i="16"/>
  <c r="P1553" i="16"/>
  <c r="P2114" i="16"/>
  <c r="AA2146" i="16"/>
  <c r="U1866" i="16"/>
  <c r="AE2011" i="16"/>
  <c r="P1523" i="16"/>
  <c r="P1765" i="16"/>
  <c r="L1676" i="16"/>
  <c r="U1665" i="16"/>
  <c r="L1432" i="16"/>
  <c r="Y1548" i="16"/>
  <c r="AA557" i="16"/>
  <c r="P1851" i="16"/>
  <c r="AC1456" i="16"/>
  <c r="AA1071" i="16"/>
  <c r="AC1968" i="16"/>
  <c r="U1616" i="16"/>
  <c r="Y1718" i="16"/>
  <c r="Y1389" i="16"/>
  <c r="AC1985" i="16"/>
  <c r="N1049" i="16"/>
  <c r="L1468" i="16"/>
  <c r="AA1331" i="16"/>
  <c r="AA1702" i="16"/>
  <c r="AA1720" i="16"/>
  <c r="P2026" i="16"/>
  <c r="W2144" i="16"/>
  <c r="P1733" i="16"/>
  <c r="L1822" i="16"/>
  <c r="N2032" i="16"/>
  <c r="N583" i="16"/>
  <c r="N1747" i="16"/>
  <c r="P1858" i="16"/>
  <c r="P2016" i="16"/>
  <c r="L1896" i="16"/>
  <c r="P1956" i="16"/>
  <c r="AA2037" i="16"/>
  <c r="L1884" i="16"/>
  <c r="P2112" i="16"/>
  <c r="W2156" i="16"/>
  <c r="Y2147" i="16"/>
  <c r="AC1415" i="16"/>
  <c r="P1725" i="16"/>
  <c r="P1748" i="16"/>
  <c r="L1989" i="16"/>
  <c r="P2111" i="16"/>
  <c r="N1796" i="16"/>
  <c r="Y1475" i="16"/>
  <c r="L2085" i="16"/>
  <c r="W1634" i="16"/>
  <c r="P2142" i="16"/>
  <c r="L1529" i="16"/>
  <c r="AA2077" i="16"/>
  <c r="W1862" i="16"/>
  <c r="N1802" i="16"/>
  <c r="AA1514" i="16"/>
  <c r="N1795" i="16"/>
  <c r="W1541" i="16"/>
  <c r="W1971" i="16"/>
  <c r="U1557" i="16"/>
  <c r="U1827" i="16"/>
  <c r="P1838" i="16"/>
  <c r="N2059" i="16"/>
  <c r="P1703" i="16"/>
  <c r="AE2004" i="16"/>
  <c r="L1756" i="16"/>
  <c r="N1513" i="16"/>
  <c r="U1130" i="16"/>
  <c r="Y1060" i="16"/>
  <c r="U672" i="16"/>
  <c r="Y1527" i="16"/>
  <c r="AA1536" i="16"/>
  <c r="Y1505" i="16"/>
  <c r="AC437" i="16"/>
  <c r="Y1710" i="16"/>
  <c r="AE1888" i="16"/>
  <c r="W1903" i="16"/>
  <c r="Y1644" i="16"/>
  <c r="U1211" i="16"/>
  <c r="P1367" i="16"/>
  <c r="N1753" i="16"/>
  <c r="P1111" i="16"/>
  <c r="Y2048" i="16"/>
  <c r="L1177" i="16"/>
  <c r="AC2022" i="16"/>
  <c r="AA2103" i="16"/>
  <c r="AC1280" i="16"/>
  <c r="AC2093" i="16"/>
  <c r="L1900" i="16"/>
  <c r="Y2074" i="16"/>
  <c r="U1943" i="16"/>
  <c r="AC1833" i="16"/>
  <c r="AC1338" i="16"/>
  <c r="W1542" i="16"/>
  <c r="P1343" i="16"/>
  <c r="L981" i="16"/>
  <c r="W1351" i="16"/>
  <c r="Y1600" i="16"/>
  <c r="AA1051" i="16"/>
  <c r="L1406" i="16"/>
  <c r="U952" i="16"/>
  <c r="P1788" i="16"/>
  <c r="W1100" i="16"/>
  <c r="AA2104" i="16"/>
  <c r="Y2027" i="16"/>
  <c r="L1718" i="16"/>
  <c r="W1932" i="16"/>
  <c r="AC1571" i="16"/>
  <c r="U1669" i="16"/>
  <c r="U2101" i="16"/>
  <c r="N1910" i="16"/>
  <c r="W1677" i="16"/>
  <c r="L1825" i="16"/>
  <c r="W1855" i="16"/>
  <c r="Y1609" i="16"/>
  <c r="AC1454" i="16"/>
  <c r="P1104" i="16"/>
  <c r="AC1723" i="16"/>
  <c r="N1125" i="16"/>
  <c r="U1923" i="16"/>
  <c r="U1882" i="16"/>
  <c r="W2000" i="16"/>
  <c r="N1155" i="16"/>
  <c r="AC1541" i="16"/>
  <c r="AC2007" i="16"/>
  <c r="N1552" i="16"/>
  <c r="P2058" i="16"/>
  <c r="Y1598" i="16"/>
  <c r="Y1537" i="16"/>
  <c r="AE2013" i="16"/>
  <c r="AE1990" i="16"/>
  <c r="N1890" i="16"/>
  <c r="AA2059" i="16"/>
  <c r="AC1963" i="16"/>
  <c r="AC1812" i="16"/>
  <c r="P2092" i="16"/>
  <c r="AC1863" i="16"/>
  <c r="N1209" i="16"/>
  <c r="W2048" i="16"/>
  <c r="P1758" i="16"/>
  <c r="Y1195" i="16"/>
  <c r="AE1789" i="16"/>
  <c r="AA2157" i="16"/>
  <c r="P1917" i="16"/>
  <c r="U1412" i="16"/>
  <c r="N1968" i="16"/>
  <c r="AE1958" i="16"/>
  <c r="AA2079" i="16"/>
  <c r="P1570" i="16"/>
  <c r="AC1154" i="16"/>
  <c r="W1710" i="16"/>
  <c r="N1208" i="16"/>
  <c r="AA1303" i="16"/>
  <c r="P1613" i="16"/>
  <c r="N2121" i="16"/>
  <c r="P2093" i="16"/>
  <c r="N1711" i="16"/>
  <c r="Y2030" i="16"/>
  <c r="P1633" i="16"/>
  <c r="Y2133" i="16"/>
  <c r="L2084" i="16"/>
  <c r="P1821" i="16"/>
  <c r="P1223" i="16"/>
  <c r="P2113" i="16"/>
  <c r="N2025" i="16"/>
  <c r="L1265" i="16"/>
  <c r="P1335" i="16"/>
  <c r="AC1716" i="16"/>
  <c r="AA777" i="16"/>
  <c r="W1154" i="16"/>
  <c r="P1670" i="16"/>
  <c r="W2072" i="16"/>
  <c r="N2012" i="16"/>
  <c r="W2125" i="16"/>
  <c r="AC1809" i="16"/>
  <c r="AA1282" i="16"/>
  <c r="Y2065" i="16"/>
  <c r="AA2109" i="16"/>
  <c r="U1853" i="16"/>
  <c r="U1975" i="16"/>
  <c r="AA1715" i="16"/>
  <c r="AC1672" i="16"/>
  <c r="P1762" i="16"/>
  <c r="AA1367" i="16"/>
  <c r="U1958" i="16"/>
  <c r="L1864" i="16"/>
  <c r="W1155" i="16"/>
  <c r="AC2011" i="16"/>
  <c r="N2048" i="16"/>
  <c r="P2066" i="16"/>
  <c r="N1846" i="16"/>
  <c r="P2038" i="16"/>
  <c r="U1823" i="16"/>
  <c r="Y2155" i="16"/>
  <c r="AC1842" i="16"/>
  <c r="W1689" i="16"/>
  <c r="AE2003" i="16"/>
  <c r="L1780" i="16"/>
  <c r="U2036" i="16"/>
  <c r="L2080" i="16"/>
  <c r="AC1829" i="16"/>
  <c r="AE1925" i="16"/>
  <c r="P1906" i="16"/>
  <c r="L1933" i="16"/>
  <c r="P1684" i="16"/>
  <c r="U2006" i="16"/>
  <c r="P1862" i="16"/>
  <c r="AC2039" i="16"/>
  <c r="U1578" i="16"/>
  <c r="P1295" i="16"/>
  <c r="U970" i="16"/>
  <c r="AC1113" i="16"/>
  <c r="AC1952" i="16"/>
  <c r="P1460" i="16"/>
  <c r="AA1082" i="16"/>
  <c r="W1663" i="16"/>
  <c r="AA1206" i="16"/>
  <c r="N1955" i="16"/>
  <c r="AA2138" i="16"/>
  <c r="AE1994" i="16"/>
  <c r="L1754" i="16"/>
  <c r="N2132" i="16"/>
  <c r="AC1793" i="16"/>
  <c r="AE1795" i="16"/>
  <c r="N1432" i="16"/>
  <c r="U1622" i="16"/>
  <c r="L1686" i="16"/>
  <c r="P1263" i="16"/>
  <c r="N1160" i="16"/>
  <c r="Y1284" i="16"/>
  <c r="Y2059" i="16"/>
  <c r="AC1182" i="16"/>
  <c r="Y1340" i="16"/>
  <c r="L1899" i="16"/>
  <c r="AC844" i="16"/>
  <c r="Y1447" i="16"/>
  <c r="N550" i="16"/>
  <c r="U1940" i="16"/>
  <c r="U1390" i="16"/>
  <c r="N1292" i="16"/>
  <c r="Y1146" i="16"/>
  <c r="Y863" i="16"/>
  <c r="P953" i="16"/>
  <c r="Y1160" i="16"/>
  <c r="P844" i="16"/>
  <c r="N1914" i="16"/>
  <c r="L1514" i="16"/>
  <c r="N1772" i="16"/>
  <c r="AE1828" i="16"/>
  <c r="U1878" i="16"/>
  <c r="N1519" i="16"/>
  <c r="AA2142" i="16"/>
  <c r="L2024" i="16"/>
  <c r="AC1365" i="16"/>
  <c r="AE1969" i="16"/>
  <c r="U1198" i="16"/>
  <c r="P1614" i="16"/>
  <c r="AE1918" i="16"/>
  <c r="W846" i="16"/>
  <c r="L1732" i="16"/>
  <c r="U1604" i="16"/>
  <c r="N1384" i="16"/>
  <c r="AA1171" i="16"/>
  <c r="Y1728" i="16"/>
  <c r="AE1950" i="16"/>
  <c r="N1849" i="16"/>
  <c r="Y980" i="16"/>
  <c r="P1988" i="16"/>
  <c r="L882" i="16"/>
  <c r="Y1096" i="16"/>
  <c r="U1898" i="16"/>
  <c r="AA843" i="16"/>
  <c r="P1426" i="16"/>
  <c r="AC1722" i="16"/>
  <c r="L440" i="16"/>
  <c r="W1718" i="16"/>
  <c r="P2144" i="16"/>
  <c r="L511" i="16"/>
  <c r="AC1205" i="16"/>
  <c r="U194" i="16"/>
  <c r="W1965" i="16"/>
  <c r="AC1670" i="16"/>
  <c r="AC2084" i="16"/>
  <c r="P1711" i="16"/>
  <c r="L1794" i="16"/>
  <c r="N2084" i="16"/>
  <c r="AA1662" i="16"/>
  <c r="Y1574" i="16"/>
  <c r="AC2094" i="16"/>
  <c r="AC1947" i="16"/>
  <c r="W1936" i="16"/>
  <c r="AC1926" i="16"/>
  <c r="N1281" i="16"/>
  <c r="L1993" i="16"/>
  <c r="P2004" i="16"/>
  <c r="AC1880" i="16"/>
  <c r="AA1642" i="16"/>
  <c r="AC1551" i="16"/>
  <c r="W1866" i="16"/>
  <c r="W1692" i="16"/>
  <c r="U1974" i="16"/>
  <c r="L1027" i="16"/>
  <c r="AC559" i="16"/>
  <c r="P1052" i="16"/>
  <c r="N829" i="16"/>
  <c r="U1612" i="16"/>
  <c r="AA1441" i="16"/>
  <c r="P1629" i="16"/>
  <c r="AC1508" i="16"/>
  <c r="W1082" i="16"/>
  <c r="AA430" i="16"/>
  <c r="Y1426" i="16"/>
  <c r="AC1071" i="16"/>
  <c r="N1806" i="16"/>
  <c r="Y1689" i="16"/>
  <c r="P1927" i="16"/>
  <c r="AC1986" i="16"/>
  <c r="W2024" i="16"/>
  <c r="L881" i="16"/>
  <c r="AC1708" i="16"/>
  <c r="N1616" i="16"/>
  <c r="N1249" i="16"/>
  <c r="L1768" i="16"/>
  <c r="AE1930" i="16"/>
  <c r="N1198" i="16"/>
  <c r="P1768" i="16"/>
  <c r="AC1538" i="16"/>
  <c r="N1985" i="16"/>
  <c r="L1807" i="16"/>
  <c r="L1435" i="16"/>
  <c r="AA1158" i="16"/>
  <c r="U1889" i="16"/>
  <c r="AA2152" i="16"/>
  <c r="W1522" i="16"/>
  <c r="N1609" i="16"/>
  <c r="W1514" i="16"/>
  <c r="L2023" i="16"/>
  <c r="AC1490" i="16"/>
  <c r="W1843" i="16"/>
  <c r="U1684" i="16"/>
  <c r="AC1630" i="16"/>
  <c r="L1281" i="16"/>
  <c r="Y2128" i="16"/>
  <c r="Y2100" i="16"/>
  <c r="N849" i="16"/>
  <c r="L579" i="16"/>
  <c r="Y886" i="16"/>
  <c r="Y1368" i="16"/>
  <c r="P1449" i="16"/>
  <c r="U1480" i="16"/>
  <c r="AA718" i="16"/>
  <c r="AA1298" i="16"/>
  <c r="P683" i="16"/>
  <c r="Y1464" i="16"/>
  <c r="P1549" i="16"/>
  <c r="L2046" i="16"/>
  <c r="P1355" i="16"/>
  <c r="U2114" i="16"/>
  <c r="L2149" i="16"/>
  <c r="AA2119" i="16"/>
  <c r="Y2122" i="16"/>
  <c r="AC2057" i="16"/>
  <c r="P1983" i="16"/>
  <c r="Y2091" i="16"/>
  <c r="P2024" i="16"/>
  <c r="Y1547" i="16"/>
  <c r="AA1557" i="16"/>
  <c r="N1635" i="16"/>
  <c r="W1041" i="16"/>
  <c r="AC1401" i="16"/>
  <c r="U2022" i="16"/>
  <c r="L1491" i="16"/>
  <c r="U1472" i="16"/>
  <c r="L1233" i="16"/>
  <c r="L1524" i="16"/>
  <c r="AC1214" i="16"/>
  <c r="U585" i="16"/>
  <c r="AC1290" i="16"/>
  <c r="U823" i="16"/>
  <c r="AA1407" i="16"/>
  <c r="AC745" i="16"/>
  <c r="Y1376" i="16"/>
  <c r="L1678" i="16"/>
  <c r="L1185" i="16"/>
  <c r="P610" i="16"/>
  <c r="N1652" i="16"/>
  <c r="U1636" i="16"/>
  <c r="W1008" i="16"/>
  <c r="Y1596" i="16"/>
  <c r="AC741" i="16"/>
  <c r="P1070" i="16"/>
  <c r="AC1299" i="16"/>
  <c r="AC1276" i="16"/>
  <c r="L688" i="16"/>
  <c r="Y1353" i="16"/>
  <c r="Y1339" i="16"/>
  <c r="P855" i="16"/>
  <c r="AC717" i="16"/>
  <c r="N886" i="16"/>
  <c r="P1536" i="16"/>
  <c r="P961" i="16"/>
  <c r="AA1299" i="16"/>
  <c r="AA844" i="16"/>
  <c r="Y1407" i="16"/>
  <c r="N1539" i="16"/>
  <c r="U1182" i="16"/>
  <c r="AC1872" i="16"/>
  <c r="AA1119" i="16"/>
  <c r="AC1550" i="16"/>
  <c r="Y1405" i="16"/>
  <c r="N1817" i="16"/>
  <c r="P1464" i="16"/>
  <c r="N1606" i="16"/>
  <c r="U1154" i="16"/>
  <c r="P1528" i="16"/>
  <c r="W2094" i="16"/>
  <c r="L1639" i="16"/>
  <c r="L1673" i="16"/>
  <c r="Y1658" i="16"/>
  <c r="L679" i="16"/>
  <c r="N1574" i="16"/>
  <c r="AC701" i="16"/>
  <c r="Y2101" i="16"/>
  <c r="AA1374" i="16"/>
  <c r="L1729" i="16"/>
  <c r="W1485" i="16"/>
  <c r="N1541" i="16"/>
  <c r="P1262" i="16"/>
  <c r="AC1200" i="16"/>
  <c r="Y2077" i="16"/>
  <c r="L1283" i="16"/>
  <c r="L1214" i="16"/>
  <c r="W1218" i="16"/>
  <c r="P1068" i="16"/>
  <c r="L1372" i="16"/>
  <c r="L1474" i="16"/>
  <c r="AC2067" i="16"/>
  <c r="U2073" i="16"/>
  <c r="Y1691" i="16"/>
  <c r="Y1320" i="16"/>
  <c r="AC2024" i="16"/>
  <c r="AA2061" i="16"/>
  <c r="AA1649" i="16"/>
  <c r="Y1124" i="16"/>
  <c r="AE1817" i="16"/>
  <c r="L1804" i="16"/>
  <c r="L1605" i="16"/>
  <c r="N1936" i="16"/>
  <c r="W1947" i="16"/>
  <c r="AA1571" i="16"/>
  <c r="N2030" i="16"/>
  <c r="U772" i="16"/>
  <c r="P1532" i="16"/>
  <c r="AC1715" i="16"/>
  <c r="P2143" i="16"/>
  <c r="L969" i="16"/>
  <c r="N1462" i="16"/>
  <c r="AC629" i="16"/>
  <c r="N850" i="16"/>
  <c r="W1277" i="16"/>
  <c r="N1210" i="16"/>
  <c r="L1356" i="16"/>
  <c r="L1928" i="16"/>
  <c r="P2073" i="16"/>
  <c r="N1165" i="16"/>
  <c r="N1674" i="16"/>
  <c r="AE1898" i="16"/>
  <c r="U1881" i="16"/>
  <c r="U2103" i="16"/>
  <c r="W1967" i="16"/>
  <c r="N1741" i="16"/>
  <c r="AA2139" i="16"/>
  <c r="AA2088" i="16"/>
  <c r="N2106" i="16"/>
  <c r="U1681" i="16"/>
  <c r="N1888" i="16"/>
  <c r="N2033" i="16"/>
  <c r="P1777" i="16"/>
  <c r="P2129" i="16"/>
  <c r="N1872" i="16"/>
  <c r="L2099" i="16"/>
  <c r="Y2126" i="16"/>
  <c r="AE1959" i="16"/>
  <c r="W2028" i="16"/>
  <c r="L1415" i="16"/>
  <c r="AC1781" i="16"/>
  <c r="AE1781" i="16"/>
  <c r="N1979" i="16"/>
  <c r="L1666" i="16"/>
  <c r="W2055" i="16"/>
  <c r="AC872" i="16"/>
  <c r="N1597" i="16"/>
  <c r="Y1329" i="16"/>
  <c r="P1937" i="16"/>
  <c r="AC1698" i="16"/>
  <c r="N776" i="16"/>
  <c r="L2140" i="16"/>
  <c r="AE1991" i="16"/>
  <c r="AE1975" i="16"/>
  <c r="P2122" i="16"/>
  <c r="AC1685" i="16"/>
  <c r="Y2109" i="16"/>
  <c r="N1628" i="16"/>
  <c r="AC1646" i="16"/>
  <c r="N2056" i="16"/>
  <c r="AA1411" i="16"/>
  <c r="AC1411" i="16"/>
  <c r="W2026" i="16"/>
  <c r="Y1499" i="16"/>
  <c r="P1957" i="16"/>
  <c r="N1931" i="16"/>
  <c r="P1914" i="16"/>
  <c r="W2089" i="16"/>
  <c r="Y1603" i="16"/>
  <c r="L2051" i="16"/>
  <c r="L1949" i="16"/>
  <c r="N1937" i="16"/>
  <c r="AE1927" i="16"/>
  <c r="P2049" i="16"/>
  <c r="AE1936" i="16"/>
  <c r="N1855" i="16"/>
  <c r="Y1661" i="16"/>
  <c r="N1964" i="16"/>
  <c r="AC2027" i="16"/>
  <c r="AE1992" i="16"/>
  <c r="AC1344" i="16"/>
  <c r="N1800" i="16"/>
  <c r="Y1699" i="16"/>
  <c r="W1942" i="16"/>
  <c r="U1708" i="16"/>
  <c r="U1178" i="16"/>
  <c r="AC1081" i="16"/>
  <c r="U1930" i="16"/>
  <c r="P1714" i="16"/>
  <c r="U1668" i="16"/>
  <c r="U1358" i="16"/>
  <c r="U1580" i="16"/>
  <c r="AC1999" i="16"/>
  <c r="AE1921" i="16"/>
  <c r="N1542" i="16"/>
  <c r="Y1651" i="16"/>
  <c r="AC2030" i="16"/>
  <c r="AC1556" i="16"/>
  <c r="AC1837" i="16"/>
  <c r="W2102" i="16"/>
  <c r="AC2117" i="16"/>
  <c r="AC1169" i="16"/>
  <c r="Y974" i="16"/>
  <c r="P2045" i="16"/>
  <c r="W1164" i="16"/>
  <c r="P1863" i="16"/>
  <c r="AC1305" i="16"/>
  <c r="AC573" i="16"/>
  <c r="N1412" i="16"/>
  <c r="P2050" i="16"/>
  <c r="W1982" i="16"/>
  <c r="U1870" i="16"/>
  <c r="L1926" i="16"/>
  <c r="AC1925" i="16"/>
  <c r="AC1972" i="16"/>
  <c r="AC2088" i="16"/>
  <c r="AE1896" i="16"/>
  <c r="P1255" i="16"/>
  <c r="L1631" i="16"/>
  <c r="L1681" i="16"/>
  <c r="N1981" i="16"/>
  <c r="AA1535" i="16"/>
  <c r="L477" i="16"/>
  <c r="P1651" i="16"/>
  <c r="P1330" i="16"/>
  <c r="P1402" i="16"/>
  <c r="AC2081" i="16"/>
  <c r="AC1238" i="16"/>
  <c r="AC917" i="16"/>
  <c r="P1628" i="16"/>
  <c r="AA1488" i="16"/>
  <c r="W1990" i="16"/>
  <c r="AC1927" i="16"/>
  <c r="P2023" i="16"/>
  <c r="AC1957" i="16"/>
  <c r="L2005" i="16"/>
  <c r="L1917" i="16"/>
  <c r="L1973" i="16"/>
  <c r="N2000" i="16"/>
  <c r="U1354" i="16"/>
  <c r="AC1138" i="16"/>
  <c r="N2058" i="16"/>
  <c r="AA1246" i="16"/>
  <c r="AA1676" i="16"/>
  <c r="P1159" i="16"/>
  <c r="AA1572" i="16"/>
  <c r="AC591" i="16"/>
  <c r="L1257" i="16"/>
  <c r="W1253" i="16"/>
  <c r="AC1189" i="16"/>
  <c r="N1622" i="16"/>
  <c r="Y1643" i="16"/>
  <c r="Y1136" i="16"/>
  <c r="L1277" i="16"/>
  <c r="AE1923" i="16"/>
  <c r="L1725" i="16"/>
  <c r="L2032" i="16"/>
  <c r="Y2092" i="16"/>
  <c r="N1678" i="16"/>
  <c r="AE2009" i="16"/>
  <c r="Y1719" i="16"/>
  <c r="N1217" i="16"/>
  <c r="AE1820" i="16"/>
  <c r="U1585" i="16"/>
  <c r="U1435" i="16"/>
  <c r="Y1632" i="16"/>
  <c r="P2110" i="16"/>
  <c r="N1019" i="16"/>
  <c r="U1250" i="16"/>
  <c r="N1397" i="16"/>
  <c r="W1508" i="16"/>
  <c r="P1022" i="16"/>
  <c r="W1892" i="16"/>
  <c r="AC1578" i="16"/>
  <c r="Y844" i="16"/>
  <c r="Y1183" i="16"/>
  <c r="AA880" i="16"/>
  <c r="P1596" i="16"/>
  <c r="AC1539" i="16"/>
  <c r="U1054" i="16"/>
  <c r="AC1703" i="16"/>
  <c r="W1194" i="16"/>
  <c r="AC1164" i="16"/>
  <c r="W1228" i="16"/>
  <c r="P2039" i="16"/>
  <c r="N1675" i="16"/>
  <c r="U1970" i="16"/>
  <c r="L1887" i="16"/>
  <c r="P1943" i="16"/>
  <c r="W1893" i="16"/>
  <c r="N1515" i="16"/>
  <c r="P2075" i="16"/>
  <c r="AC1816" i="16"/>
  <c r="AA1634" i="16"/>
  <c r="N1825" i="16"/>
  <c r="N1770" i="16"/>
  <c r="N1085" i="16"/>
  <c r="N1949" i="16"/>
  <c r="N1507" i="16"/>
  <c r="L1097" i="16"/>
  <c r="Y1450" i="16"/>
  <c r="AA1549" i="16"/>
  <c r="N2027" i="16"/>
  <c r="AE1738" i="16"/>
  <c r="Y1083" i="16"/>
  <c r="W1829" i="16"/>
  <c r="AA1317" i="16"/>
  <c r="P651" i="16"/>
  <c r="AA1243" i="16"/>
  <c r="L1726" i="16"/>
  <c r="N671" i="16"/>
  <c r="L1778" i="16"/>
  <c r="U1432" i="16"/>
  <c r="AA1395" i="16"/>
  <c r="W1374" i="16"/>
  <c r="AA1528" i="16"/>
  <c r="N873" i="16"/>
  <c r="U2013" i="16"/>
  <c r="AE1956" i="16"/>
  <c r="AC2034" i="16"/>
  <c r="AA1599" i="16"/>
  <c r="L1924" i="16"/>
  <c r="U1905" i="16"/>
  <c r="Y1172" i="16"/>
  <c r="AE1989" i="16"/>
  <c r="N1335" i="16"/>
  <c r="P1407" i="16"/>
  <c r="N1068" i="16"/>
  <c r="N1691" i="16"/>
  <c r="P1176" i="16"/>
  <c r="N1293" i="16"/>
  <c r="L1227" i="16"/>
  <c r="Y2134" i="16"/>
  <c r="AC873" i="16"/>
  <c r="W1120" i="16"/>
  <c r="AE1940" i="16"/>
  <c r="AA1163" i="16"/>
  <c r="AC1484" i="16"/>
  <c r="AA1617" i="16"/>
  <c r="L1149" i="16"/>
  <c r="N1829" i="16"/>
  <c r="AC755" i="16"/>
  <c r="N1421" i="16"/>
  <c r="W1274" i="16"/>
  <c r="N372" i="16"/>
  <c r="Y1069" i="16"/>
  <c r="AA691" i="16"/>
  <c r="U1366" i="16"/>
  <c r="N1393" i="16"/>
  <c r="P1366" i="16"/>
  <c r="AA438" i="16"/>
  <c r="W1083" i="16"/>
  <c r="Y2057" i="16"/>
  <c r="N1468" i="16"/>
  <c r="U1569" i="16"/>
  <c r="AE1916" i="16"/>
  <c r="P1208" i="16"/>
  <c r="L1891" i="16"/>
  <c r="U1947" i="16"/>
  <c r="Y1679" i="16"/>
  <c r="AC1995" i="16"/>
  <c r="Y1467" i="16"/>
  <c r="U914" i="16"/>
  <c r="AC2019" i="16"/>
  <c r="AA1022" i="16"/>
  <c r="W1592" i="16"/>
  <c r="W1685" i="16"/>
  <c r="AC1473" i="16"/>
  <c r="Y1477" i="16"/>
  <c r="Y1614" i="16"/>
  <c r="P1805" i="16"/>
  <c r="AA1580" i="16"/>
  <c r="N1647" i="16"/>
  <c r="P1739" i="16"/>
  <c r="U2044" i="16"/>
  <c r="W1464" i="16"/>
  <c r="Y855" i="16"/>
  <c r="P1796" i="16"/>
  <c r="P1803" i="16"/>
  <c r="Y948" i="16"/>
  <c r="P1375" i="16"/>
  <c r="AC540" i="16"/>
  <c r="N1600" i="16"/>
  <c r="Y1075" i="16"/>
  <c r="W1704" i="16"/>
  <c r="N1734" i="16"/>
  <c r="W1478" i="16"/>
  <c r="L1695" i="16"/>
  <c r="U1634" i="16"/>
  <c r="AC1635" i="16"/>
  <c r="L780" i="16"/>
  <c r="P1292" i="16"/>
  <c r="U2019" i="16"/>
  <c r="N1660" i="16"/>
  <c r="L1903" i="16"/>
  <c r="AC1766" i="16"/>
  <c r="Y2103" i="16"/>
  <c r="U2085" i="16"/>
  <c r="AC1818" i="16"/>
  <c r="Y1674" i="16"/>
  <c r="AC1784" i="16"/>
  <c r="L1834" i="16"/>
  <c r="L1423" i="16"/>
  <c r="AA2097" i="16"/>
  <c r="W1204" i="16"/>
  <c r="AC1709" i="16"/>
  <c r="N1237" i="16"/>
  <c r="W1468" i="16"/>
  <c r="AA2049" i="16"/>
  <c r="U1238" i="16"/>
  <c r="N1789" i="16"/>
  <c r="N1083" i="16"/>
  <c r="L2034" i="16"/>
  <c r="AC1134" i="16"/>
  <c r="L1930" i="16"/>
  <c r="U1018" i="16"/>
  <c r="AC1633" i="16"/>
  <c r="N1550" i="16"/>
  <c r="AC1326" i="16"/>
  <c r="N1986" i="16"/>
  <c r="AA1456" i="16"/>
  <c r="AA763" i="16"/>
  <c r="U879" i="16"/>
  <c r="AE1780" i="16"/>
  <c r="AA1012" i="16"/>
  <c r="L1164" i="16"/>
  <c r="L1773" i="16"/>
  <c r="P542" i="16"/>
  <c r="AA1467" i="16"/>
  <c r="U85" i="16"/>
  <c r="U1572" i="16"/>
  <c r="AA997" i="16"/>
  <c r="P501" i="16"/>
  <c r="L787" i="16"/>
  <c r="U1584" i="16"/>
  <c r="AA1173" i="16"/>
  <c r="W506" i="16"/>
  <c r="L1166" i="16"/>
  <c r="L1765" i="16"/>
  <c r="N517" i="16"/>
  <c r="Y98" i="16"/>
  <c r="L737" i="16"/>
  <c r="P1573" i="16"/>
  <c r="U1648" i="16"/>
  <c r="N2024" i="16"/>
  <c r="L1553" i="16"/>
  <c r="U1094" i="16"/>
  <c r="Y1396" i="16"/>
  <c r="N2038" i="16"/>
  <c r="N1791" i="16"/>
  <c r="L927" i="16"/>
  <c r="L1727" i="16"/>
  <c r="L1850" i="16"/>
  <c r="AA1633" i="16"/>
  <c r="P2061" i="16"/>
  <c r="Y1415" i="16"/>
  <c r="W1504" i="16"/>
  <c r="L1494" i="16"/>
  <c r="Y1667" i="16"/>
  <c r="P1173" i="16"/>
  <c r="Y1150" i="16"/>
  <c r="P1611" i="16"/>
  <c r="W1639" i="16"/>
  <c r="U1303" i="16"/>
  <c r="N1216" i="16"/>
  <c r="L842" i="16"/>
  <c r="AC967" i="16"/>
  <c r="AA1362" i="16"/>
  <c r="AA1473" i="16"/>
  <c r="L943" i="16"/>
  <c r="L1505" i="16"/>
  <c r="L463" i="16"/>
  <c r="L1595" i="16"/>
  <c r="W1187" i="16"/>
  <c r="Y872" i="16"/>
  <c r="L1879" i="16"/>
  <c r="N1818" i="16"/>
  <c r="N1099" i="16"/>
  <c r="Y913" i="16"/>
  <c r="W1901" i="16"/>
  <c r="AA661" i="16"/>
  <c r="U1155" i="16"/>
  <c r="AC1094" i="16"/>
  <c r="AE2002" i="16"/>
  <c r="U2129" i="16"/>
  <c r="AA1603" i="16"/>
  <c r="N2105" i="16"/>
  <c r="N1324" i="16"/>
  <c r="P530" i="16"/>
  <c r="AA1518" i="16"/>
  <c r="AC120" i="16"/>
  <c r="AC1426" i="16"/>
  <c r="N1128" i="16"/>
  <c r="P1518" i="16"/>
  <c r="P1828" i="16"/>
  <c r="Y1040" i="16"/>
  <c r="N1663" i="16"/>
  <c r="U1351" i="16"/>
  <c r="AC1121" i="16"/>
  <c r="AC1529" i="16"/>
  <c r="N1212" i="16"/>
  <c r="P1815" i="16"/>
  <c r="AC825" i="16"/>
  <c r="AC1505" i="16"/>
  <c r="U1484" i="16"/>
  <c r="N1315" i="16"/>
  <c r="AA993" i="16"/>
  <c r="N1850" i="16"/>
  <c r="AA670" i="16"/>
  <c r="Y1016" i="16"/>
  <c r="AA1494" i="16"/>
  <c r="AC1742" i="16"/>
  <c r="Y199" i="16"/>
  <c r="P1345" i="16"/>
  <c r="W1091" i="16"/>
  <c r="AA1601" i="16"/>
  <c r="L2143" i="16"/>
  <c r="W1432" i="16"/>
  <c r="L1901" i="16"/>
  <c r="AC1688" i="16"/>
  <c r="L1191" i="16"/>
  <c r="P1441" i="16"/>
  <c r="AC292" i="16"/>
  <c r="AA824" i="16"/>
  <c r="W1420" i="16"/>
  <c r="AA1342" i="16"/>
  <c r="L1801" i="16"/>
  <c r="U839" i="16"/>
  <c r="Y1522" i="16"/>
  <c r="L1567" i="16"/>
  <c r="N1912" i="16"/>
  <c r="AC2089" i="16"/>
  <c r="U2023" i="16"/>
  <c r="N1598" i="16"/>
  <c r="P1231" i="16"/>
  <c r="AE1938" i="16"/>
  <c r="AC1449" i="16"/>
  <c r="AC1678" i="16"/>
  <c r="AC1891" i="16"/>
  <c r="N1765" i="16"/>
  <c r="L1810" i="16"/>
  <c r="L1644" i="16"/>
  <c r="AE1761" i="16"/>
  <c r="P1992" i="16"/>
  <c r="W1655" i="16"/>
  <c r="AC1888" i="16"/>
  <c r="P1996" i="16"/>
  <c r="AC1805" i="16"/>
  <c r="AA2107" i="16"/>
  <c r="N2091" i="16"/>
  <c r="AC1917" i="16"/>
  <c r="W1596" i="16"/>
  <c r="U1846" i="16"/>
  <c r="P1814" i="16"/>
  <c r="P1424" i="16"/>
  <c r="AC1351" i="16"/>
  <c r="AC1509" i="16"/>
  <c r="P1300" i="16"/>
  <c r="Y1387" i="16"/>
  <c r="U905" i="16"/>
  <c r="P1429" i="16"/>
  <c r="P1321" i="16"/>
  <c r="L1881" i="16"/>
  <c r="Y1485" i="16"/>
  <c r="AC2126" i="16"/>
  <c r="W1979" i="16"/>
  <c r="AC1720" i="16"/>
  <c r="Y1515" i="16"/>
  <c r="P1778" i="16"/>
  <c r="N1721" i="16"/>
  <c r="AA1716" i="16"/>
  <c r="N576" i="16"/>
  <c r="P718" i="16"/>
  <c r="Y1657" i="16"/>
  <c r="AC1881" i="16"/>
  <c r="U1885" i="16"/>
  <c r="N1028" i="16"/>
  <c r="AC1431" i="16"/>
  <c r="P1921" i="16"/>
  <c r="N2042" i="16"/>
  <c r="W1954" i="16"/>
  <c r="L1848" i="16"/>
  <c r="AE1957" i="16"/>
  <c r="W1716" i="16"/>
  <c r="W1591" i="16"/>
  <c r="AE1775" i="16"/>
  <c r="L2077" i="16"/>
  <c r="P1872" i="16"/>
  <c r="P2154" i="16"/>
  <c r="Y1440" i="16"/>
  <c r="AC1584" i="16"/>
  <c r="W1162" i="16"/>
  <c r="U1861" i="16"/>
  <c r="W1412" i="16"/>
  <c r="L984" i="16"/>
  <c r="AC1329" i="16"/>
  <c r="U1610" i="16"/>
  <c r="Y2072" i="16"/>
  <c r="W1480" i="16"/>
  <c r="P2020" i="16"/>
  <c r="N2080" i="16"/>
  <c r="N1196" i="16"/>
  <c r="U1611" i="16"/>
  <c r="N1783" i="16"/>
  <c r="AC1274" i="16"/>
  <c r="N2022" i="16"/>
  <c r="L1888" i="16"/>
  <c r="Y1513" i="16"/>
  <c r="AC2155" i="16"/>
  <c r="W1964" i="16"/>
  <c r="L2047" i="16"/>
  <c r="AE1881" i="16"/>
  <c r="P2119" i="16"/>
  <c r="AA2081" i="16"/>
  <c r="L1599" i="16"/>
  <c r="AC1402" i="16"/>
  <c r="AA1302" i="16"/>
  <c r="U2102" i="16"/>
  <c r="P1183" i="16"/>
  <c r="AA2134" i="16"/>
  <c r="N1869" i="16"/>
  <c r="N2039" i="16"/>
  <c r="Y1254" i="16"/>
  <c r="W2030" i="16"/>
  <c r="AA1526" i="16"/>
  <c r="U1306" i="16"/>
  <c r="AE1867" i="16"/>
  <c r="L1797" i="16"/>
  <c r="P1950" i="16"/>
  <c r="N1801" i="16"/>
  <c r="AA1196" i="16"/>
  <c r="AA1731" i="16"/>
  <c r="L1417" i="16"/>
  <c r="AC1824" i="16"/>
  <c r="AC1592" i="16"/>
  <c r="L1869" i="16"/>
  <c r="Y2125" i="16"/>
  <c r="P1090" i="16"/>
  <c r="P1775" i="16"/>
  <c r="AC1825" i="16"/>
  <c r="L1069" i="16"/>
  <c r="U1647" i="16"/>
  <c r="L1985" i="16"/>
  <c r="Y367" i="16"/>
  <c r="N1701" i="16"/>
  <c r="Y71" i="16"/>
  <c r="Y1374" i="16"/>
  <c r="N1236" i="16"/>
  <c r="N1681" i="16"/>
  <c r="L233" i="16"/>
  <c r="N1722" i="16"/>
  <c r="AC648" i="16"/>
  <c r="N1618" i="16"/>
  <c r="AC2092" i="16"/>
  <c r="N2102" i="16"/>
  <c r="Y1577" i="16"/>
  <c r="U1644" i="16"/>
  <c r="N1827" i="16"/>
  <c r="W1904" i="16"/>
  <c r="Y2058" i="16"/>
  <c r="L1475" i="16"/>
  <c r="L1868" i="16"/>
  <c r="AE1890" i="16"/>
  <c r="N1997" i="16"/>
  <c r="AE1753" i="16"/>
  <c r="P1556" i="16"/>
  <c r="AA2026" i="16"/>
  <c r="P1533" i="16"/>
  <c r="P1360" i="16"/>
  <c r="W1001" i="16"/>
  <c r="W1128" i="16"/>
  <c r="N1998" i="16"/>
  <c r="AA1529" i="16"/>
  <c r="AC894" i="16"/>
  <c r="U1867" i="16"/>
  <c r="AC849" i="16"/>
  <c r="U872" i="16"/>
  <c r="U1857" i="16"/>
  <c r="P1235" i="16"/>
  <c r="N1373" i="16"/>
  <c r="AC1761" i="16"/>
  <c r="U1934" i="16"/>
  <c r="W1168" i="16"/>
  <c r="AE1827" i="16"/>
  <c r="P667" i="16"/>
  <c r="P2088" i="16"/>
  <c r="Y2040" i="16"/>
  <c r="N2003" i="16"/>
  <c r="N2062" i="16"/>
  <c r="L2017" i="16"/>
  <c r="Y1472" i="16"/>
  <c r="N1857" i="16"/>
  <c r="U1592" i="16"/>
  <c r="Y1726" i="16"/>
  <c r="L949" i="16"/>
  <c r="L841" i="16"/>
  <c r="W988" i="16"/>
  <c r="AA1496" i="16"/>
  <c r="AC1097" i="16"/>
  <c r="L1161" i="16"/>
  <c r="U917" i="16"/>
  <c r="W1870" i="16"/>
  <c r="AC1680" i="16"/>
  <c r="P1478" i="16"/>
  <c r="P1191" i="16"/>
  <c r="N1648" i="16"/>
  <c r="U2108" i="16"/>
  <c r="Y1039" i="16"/>
  <c r="AE1765" i="16"/>
  <c r="AC1318" i="16"/>
  <c r="AA1234" i="16"/>
  <c r="L1919" i="16"/>
  <c r="N1471" i="16"/>
  <c r="AC2020" i="16"/>
  <c r="AA998" i="16"/>
  <c r="AA1248" i="16"/>
  <c r="P1691" i="16"/>
  <c r="U1626" i="16"/>
  <c r="AC984" i="16"/>
  <c r="U1911" i="16"/>
  <c r="Y1550" i="16"/>
  <c r="AE1963" i="16"/>
  <c r="N1996" i="16"/>
  <c r="L1720" i="16"/>
  <c r="N2093" i="16"/>
  <c r="L1663" i="16"/>
  <c r="P2051" i="16"/>
  <c r="P1558" i="16"/>
  <c r="U1929" i="16"/>
  <c r="P1793" i="16"/>
  <c r="N1706" i="16"/>
  <c r="AC1440" i="16"/>
  <c r="W1853" i="16"/>
  <c r="W2041" i="16"/>
  <c r="AA1498" i="16"/>
  <c r="L1110" i="16"/>
  <c r="AA1406" i="16"/>
  <c r="L1712" i="16"/>
  <c r="AA2070" i="16"/>
  <c r="U1875" i="16"/>
  <c r="N1312" i="16"/>
  <c r="Y1063" i="16"/>
  <c r="AC2122" i="16"/>
  <c r="N1977" i="16"/>
  <c r="U1728" i="16"/>
  <c r="AC1504" i="16"/>
  <c r="W1836" i="16"/>
  <c r="AC1157" i="16"/>
  <c r="P761" i="16"/>
  <c r="AC1393" i="16"/>
  <c r="AC689" i="16"/>
  <c r="AC1865" i="16"/>
  <c r="N1453" i="16"/>
  <c r="P1929" i="16"/>
  <c r="L1565" i="16"/>
  <c r="P1832" i="16"/>
  <c r="AC1256" i="16"/>
  <c r="L1086" i="16"/>
  <c r="W734" i="16"/>
  <c r="L1576" i="16"/>
  <c r="P1997" i="16"/>
  <c r="AE2020" i="16"/>
  <c r="P1980" i="16"/>
  <c r="AE1911" i="16"/>
  <c r="P1659" i="16"/>
  <c r="P1845" i="16"/>
  <c r="AA2112" i="16"/>
  <c r="U1700" i="16"/>
  <c r="AA2072" i="16"/>
  <c r="L1318" i="16"/>
  <c r="AC2025" i="16"/>
  <c r="AC1488" i="16"/>
  <c r="AC1810" i="16"/>
  <c r="AC1950" i="16"/>
  <c r="AA1679" i="16"/>
  <c r="L1218" i="16"/>
  <c r="Y1597" i="16"/>
  <c r="W1957" i="16"/>
  <c r="P1719" i="16"/>
  <c r="AA1416" i="16"/>
  <c r="Y2076" i="16"/>
  <c r="P1706" i="16"/>
  <c r="W1440" i="16"/>
  <c r="Y2139" i="16"/>
  <c r="AC1478" i="16"/>
  <c r="AA1552" i="16"/>
  <c r="Y1730" i="16"/>
  <c r="N1904" i="16"/>
  <c r="AE1856" i="16"/>
  <c r="N2090" i="16"/>
  <c r="U1915" i="16"/>
  <c r="AC1782" i="16"/>
  <c r="U1924" i="16"/>
  <c r="Y2130" i="16"/>
  <c r="AC1941" i="16"/>
  <c r="AC2129" i="16"/>
  <c r="N1940" i="16"/>
  <c r="Y1437" i="16"/>
  <c r="U2145" i="16"/>
  <c r="Y1619" i="16"/>
  <c r="W2134" i="16"/>
  <c r="N1752" i="16"/>
  <c r="N1655" i="16"/>
  <c r="L885" i="16"/>
  <c r="AC2029" i="16"/>
  <c r="P1791" i="16"/>
  <c r="L1534" i="16"/>
  <c r="N1760" i="16"/>
  <c r="Y1236" i="16"/>
  <c r="AA1685" i="16"/>
  <c r="L1854" i="16"/>
  <c r="N2101" i="16"/>
  <c r="W2011" i="16"/>
  <c r="P1998" i="16"/>
  <c r="U1895" i="16"/>
  <c r="Y1445" i="16"/>
  <c r="L2016" i="16"/>
  <c r="AC1717" i="16"/>
  <c r="AA1567" i="16"/>
  <c r="L2066" i="16"/>
  <c r="W961" i="16"/>
  <c r="AA1190" i="16"/>
  <c r="AC1643" i="16"/>
  <c r="N1938" i="16"/>
  <c r="P1920" i="16"/>
  <c r="AC1464" i="16"/>
  <c r="Y1337" i="16"/>
  <c r="AC1710" i="16"/>
  <c r="P1692" i="16"/>
  <c r="N1563" i="16"/>
  <c r="AC1654" i="16"/>
  <c r="AC1386" i="16"/>
  <c r="AC1753" i="16"/>
  <c r="AC2016" i="16"/>
  <c r="W2064" i="16"/>
  <c r="P1620" i="16"/>
  <c r="W1834" i="16"/>
  <c r="L1719" i="16"/>
  <c r="N1488" i="16"/>
  <c r="L2116" i="16"/>
  <c r="P2006" i="16"/>
  <c r="AE1871" i="16"/>
  <c r="P1700" i="16"/>
  <c r="U1159" i="16"/>
  <c r="AE1874" i="16"/>
  <c r="AC1751" i="16"/>
  <c r="U1202" i="16"/>
  <c r="N1447" i="16"/>
  <c r="Y1618" i="16"/>
  <c r="L1566" i="16"/>
  <c r="P2033" i="16"/>
  <c r="AC1438" i="16"/>
  <c r="P950" i="16"/>
  <c r="L796" i="16"/>
  <c r="AC1136" i="16"/>
  <c r="N761" i="16"/>
  <c r="P1417" i="16"/>
  <c r="Y1131" i="16"/>
  <c r="P1915" i="16"/>
  <c r="P1902" i="16"/>
  <c r="U1874" i="16"/>
  <c r="P1455" i="16"/>
  <c r="W1528" i="16"/>
  <c r="AA2053" i="16"/>
  <c r="AE1838" i="16"/>
  <c r="N2120" i="16"/>
  <c r="P1299" i="16"/>
  <c r="W2040" i="16"/>
  <c r="AA1210" i="16"/>
  <c r="AC1966" i="16"/>
  <c r="N1934" i="16"/>
  <c r="W1587" i="16"/>
  <c r="P1709" i="16"/>
  <c r="P1747" i="16"/>
  <c r="P1840" i="16"/>
  <c r="U1110" i="16"/>
  <c r="AC1416" i="16"/>
  <c r="U1570" i="16"/>
  <c r="P1037" i="16"/>
  <c r="AC1707" i="16"/>
  <c r="P1841" i="16"/>
  <c r="P1606" i="16"/>
  <c r="AA1222" i="16"/>
  <c r="AE1756" i="16"/>
  <c r="P749" i="16"/>
  <c r="L1593" i="16"/>
  <c r="AC1838" i="16"/>
  <c r="AE1804" i="16"/>
  <c r="N1820" i="16"/>
  <c r="L2122" i="16"/>
  <c r="L1572" i="16"/>
  <c r="P1734" i="16"/>
  <c r="L747" i="16"/>
  <c r="L1374" i="16"/>
  <c r="AC1170" i="16"/>
  <c r="L1479" i="16"/>
  <c r="AC1767" i="16"/>
  <c r="AC721" i="16"/>
  <c r="L1084" i="16"/>
  <c r="AC1345" i="16"/>
  <c r="AA2101" i="16"/>
  <c r="P2082" i="16"/>
  <c r="P2042" i="16"/>
  <c r="N1808" i="16"/>
  <c r="W1998" i="16"/>
  <c r="L1503" i="16"/>
  <c r="P1501" i="16"/>
  <c r="L1539" i="16"/>
  <c r="AA1451" i="16"/>
  <c r="AC1676" i="16"/>
  <c r="N977" i="16"/>
  <c r="L1239" i="16"/>
  <c r="L1438" i="16"/>
  <c r="W790" i="16"/>
  <c r="U1103" i="16"/>
  <c r="P1137" i="16"/>
  <c r="L1378" i="16"/>
  <c r="AC1683" i="16"/>
  <c r="AC1559" i="16"/>
  <c r="W1405" i="16"/>
  <c r="N1456" i="16"/>
  <c r="AA1550" i="16"/>
  <c r="U2098" i="16"/>
  <c r="AC1962" i="16"/>
  <c r="U2095" i="16"/>
  <c r="L1892" i="16"/>
  <c r="P1984" i="16"/>
  <c r="W1980" i="16"/>
  <c r="U2100" i="16"/>
  <c r="N2071" i="16"/>
  <c r="Y1347" i="16"/>
  <c r="L2142" i="16"/>
  <c r="L1783" i="16"/>
  <c r="AA2108" i="16"/>
  <c r="L1944" i="16"/>
  <c r="U1302" i="16"/>
  <c r="AE1866" i="16"/>
  <c r="U1847" i="16"/>
  <c r="L1594" i="16"/>
  <c r="Y2082" i="16"/>
  <c r="N1413" i="16"/>
  <c r="Y1120" i="16"/>
  <c r="AA1379" i="16"/>
  <c r="L1943" i="16"/>
  <c r="L1693" i="16"/>
  <c r="L1749" i="16"/>
  <c r="AC1725" i="16"/>
  <c r="L2020" i="16"/>
  <c r="U2157" i="16"/>
  <c r="AA1722" i="16"/>
  <c r="P1800" i="16"/>
  <c r="U1913" i="16"/>
  <c r="Y988" i="16"/>
  <c r="AA706" i="16"/>
  <c r="AA1315" i="16"/>
  <c r="W1590" i="16"/>
  <c r="N1544" i="16"/>
  <c r="L1814" i="16"/>
  <c r="W1911" i="16"/>
  <c r="W2057" i="16"/>
  <c r="AA2029" i="16"/>
  <c r="AC1896" i="16"/>
  <c r="AC1899" i="16"/>
  <c r="L1779" i="16"/>
  <c r="L1401" i="16"/>
  <c r="U1883" i="16"/>
  <c r="AE2001" i="16"/>
  <c r="W1890" i="16"/>
  <c r="P976" i="16"/>
  <c r="U1114" i="16"/>
  <c r="W1842" i="16"/>
  <c r="AC2064" i="16"/>
  <c r="AC1044" i="16"/>
  <c r="N2115" i="16"/>
  <c r="N1921" i="16"/>
  <c r="N1666" i="16"/>
  <c r="W1906" i="16"/>
  <c r="L1408" i="16"/>
  <c r="AC309" i="16"/>
  <c r="AE1773" i="16"/>
  <c r="N2139" i="16"/>
  <c r="AC2112" i="16"/>
  <c r="U1032" i="16"/>
  <c r="AA1164" i="16"/>
  <c r="AA1127" i="16"/>
  <c r="AA1527" i="16"/>
  <c r="Y1004" i="16"/>
  <c r="U1402" i="16"/>
  <c r="Y262" i="16"/>
  <c r="L1550" i="16"/>
  <c r="AC1061" i="16"/>
  <c r="Y2083" i="16"/>
  <c r="AC1563" i="16"/>
  <c r="AC1764" i="16"/>
  <c r="P2065" i="16"/>
  <c r="AC1946" i="16"/>
  <c r="AC1814" i="16"/>
  <c r="U1910" i="16"/>
  <c r="N1420" i="16"/>
  <c r="N2111" i="16"/>
  <c r="Y1360" i="16"/>
  <c r="N1844" i="16"/>
  <c r="N1630" i="16"/>
  <c r="P1795" i="16"/>
  <c r="N1120" i="16"/>
  <c r="P1369" i="16"/>
  <c r="P1391" i="16"/>
  <c r="AA1590" i="16"/>
  <c r="L449" i="16"/>
  <c r="L1369" i="16"/>
  <c r="N490" i="16"/>
  <c r="U1598" i="16"/>
  <c r="P1447" i="16"/>
  <c r="W1652" i="16"/>
  <c r="AA1682" i="16"/>
  <c r="U1294" i="16"/>
  <c r="AA1123" i="16"/>
  <c r="N1100" i="16"/>
  <c r="AC1442" i="16"/>
  <c r="U1022" i="16"/>
  <c r="AC1445" i="16"/>
  <c r="AE1974" i="16"/>
  <c r="U1230" i="16"/>
  <c r="AC1432" i="16"/>
  <c r="U756" i="16"/>
  <c r="AA1453" i="16"/>
  <c r="P1881" i="16"/>
  <c r="L1492" i="16"/>
  <c r="AA1187" i="16"/>
  <c r="W1705" i="16"/>
  <c r="AE1966" i="16"/>
  <c r="W325" i="16"/>
  <c r="AA1619" i="16"/>
  <c r="P959" i="16"/>
  <c r="Y2131" i="16"/>
  <c r="L1841" i="16"/>
  <c r="N1951" i="16"/>
  <c r="L1791" i="16"/>
  <c r="Y2140" i="16"/>
  <c r="L2057" i="16"/>
  <c r="N1870" i="16"/>
  <c r="AA2057" i="16"/>
  <c r="P1830" i="16"/>
  <c r="L1808" i="16"/>
  <c r="L1537" i="16"/>
  <c r="W1679" i="16"/>
  <c r="L1451" i="16"/>
  <c r="W2008" i="16"/>
  <c r="U1118" i="16"/>
  <c r="U1685" i="16"/>
  <c r="AC1943" i="16"/>
  <c r="U1928" i="16"/>
  <c r="AE1982" i="16"/>
  <c r="P1894" i="16"/>
  <c r="AE1859" i="16"/>
  <c r="L1827" i="16"/>
  <c r="L2062" i="16"/>
  <c r="W1894" i="16"/>
  <c r="P1842" i="16"/>
  <c r="W1489" i="16"/>
  <c r="W1978" i="16"/>
  <c r="L1771" i="16"/>
  <c r="P1282" i="16"/>
  <c r="P1527" i="16"/>
  <c r="AC2127" i="16"/>
  <c r="N1575" i="16"/>
  <c r="AC1153" i="16"/>
  <c r="L1929" i="16"/>
  <c r="U1533" i="16"/>
  <c r="W1872" i="16"/>
  <c r="P1910" i="16"/>
  <c r="AE1848" i="16"/>
  <c r="AC1730" i="16"/>
  <c r="W2103" i="16"/>
  <c r="U1858" i="16"/>
  <c r="N1657" i="16"/>
  <c r="Y2119" i="16"/>
  <c r="W1959" i="16"/>
  <c r="AA1565" i="16"/>
  <c r="Y1051" i="16"/>
  <c r="N505" i="16"/>
  <c r="P1600" i="16"/>
  <c r="AC1166" i="16"/>
  <c r="N1152" i="16"/>
  <c r="P903" i="16"/>
  <c r="AC1906" i="16"/>
  <c r="L1786" i="16"/>
  <c r="P1861" i="16"/>
  <c r="W2021" i="16"/>
  <c r="Y1512" i="16"/>
  <c r="L1967" i="16"/>
  <c r="N2150" i="16"/>
  <c r="P1865" i="16"/>
  <c r="U1973" i="16"/>
  <c r="U1830" i="16"/>
  <c r="W1838" i="16"/>
  <c r="Y1627" i="16"/>
  <c r="Y1576" i="16"/>
  <c r="Y1616" i="16"/>
  <c r="W1841" i="16"/>
  <c r="L1717" i="16"/>
  <c r="AC1628" i="16"/>
  <c r="N1906" i="16"/>
  <c r="Y1351" i="16"/>
  <c r="AA1043" i="16"/>
  <c r="P1331" i="16"/>
  <c r="P1930" i="16"/>
  <c r="Y1108" i="16"/>
  <c r="N1903" i="16"/>
  <c r="AE1811" i="16"/>
  <c r="AC1462" i="16"/>
  <c r="N1677" i="16"/>
  <c r="AC1052" i="16"/>
  <c r="AC1666" i="16"/>
  <c r="P1496" i="16"/>
  <c r="N1218" i="16"/>
  <c r="AC735" i="16"/>
  <c r="Y332" i="16"/>
  <c r="L2130" i="16"/>
  <c r="AA1718" i="16"/>
  <c r="N1969" i="16"/>
  <c r="N1730" i="16"/>
  <c r="AC1738" i="16"/>
  <c r="L925" i="16"/>
  <c r="P1867" i="16"/>
  <c r="AA1643" i="16"/>
  <c r="W2123" i="16"/>
  <c r="U1638" i="16"/>
  <c r="W1423" i="16"/>
  <c r="AA1460" i="16"/>
  <c r="U1002" i="16"/>
  <c r="P1975" i="16"/>
  <c r="N1856" i="16"/>
  <c r="L1629" i="16"/>
  <c r="L748" i="16"/>
  <c r="U1179" i="16"/>
  <c r="AA1648" i="16"/>
  <c r="P1695" i="16"/>
  <c r="Y1104" i="16"/>
  <c r="U1102" i="16"/>
  <c r="Y1566" i="16"/>
  <c r="L1535" i="16"/>
  <c r="AE1835" i="16"/>
  <c r="L1427" i="16"/>
  <c r="W1079" i="16"/>
  <c r="W1568" i="16"/>
  <c r="AE1760" i="16"/>
  <c r="AC1585" i="16"/>
  <c r="N1613" i="16"/>
  <c r="N1371" i="16"/>
  <c r="Y869" i="16"/>
  <c r="AC881" i="16"/>
  <c r="P1469" i="16"/>
  <c r="AC1317" i="16"/>
  <c r="W1845" i="16"/>
  <c r="W1212" i="16"/>
  <c r="W1928" i="16"/>
  <c r="W1598" i="16"/>
  <c r="AC1543" i="16"/>
  <c r="AE1779" i="16"/>
  <c r="W1393" i="16"/>
  <c r="N1915" i="16"/>
  <c r="P1504" i="16"/>
  <c r="Y1702" i="16"/>
  <c r="AC2142" i="16"/>
  <c r="P1978" i="16"/>
  <c r="N1078" i="16"/>
  <c r="AC1731" i="16"/>
  <c r="L1543" i="16"/>
  <c r="AA941" i="16"/>
  <c r="L1697" i="16"/>
  <c r="W1358" i="16"/>
  <c r="L1628" i="16"/>
  <c r="W1888" i="16"/>
  <c r="W1558" i="16"/>
  <c r="AC1377" i="16"/>
  <c r="AA1239" i="16"/>
  <c r="L519" i="16"/>
  <c r="N1472" i="16"/>
  <c r="W1496" i="16"/>
  <c r="P1163" i="16"/>
  <c r="N1014" i="16"/>
  <c r="N944" i="16"/>
  <c r="AC1893" i="16"/>
  <c r="AC1605" i="16"/>
  <c r="U2056" i="16"/>
  <c r="N2131" i="16"/>
  <c r="P1931" i="16"/>
  <c r="AC2104" i="16"/>
  <c r="L2043" i="16"/>
  <c r="L1703" i="16"/>
  <c r="P1909" i="16"/>
  <c r="AC1521" i="16"/>
  <c r="N1972" i="16"/>
  <c r="W1955" i="16"/>
  <c r="W1585" i="16"/>
  <c r="AC1932" i="16"/>
  <c r="N1409" i="16"/>
  <c r="N1546" i="16"/>
  <c r="U1732" i="16"/>
  <c r="AA1587" i="16"/>
  <c r="AC1542" i="16"/>
  <c r="AA1697" i="16"/>
  <c r="AA2130" i="16"/>
  <c r="N1245" i="16"/>
  <c r="L1940" i="16"/>
  <c r="L1923" i="16"/>
  <c r="Y1071" i="16"/>
  <c r="AC1788" i="16"/>
  <c r="AE2021" i="16"/>
  <c r="U1865" i="16"/>
  <c r="U1901" i="16"/>
  <c r="W1907" i="16"/>
  <c r="N1340" i="16"/>
  <c r="L2064" i="16"/>
  <c r="P2127" i="16"/>
  <c r="Y1148" i="16"/>
  <c r="AC1869" i="16"/>
  <c r="AC1472" i="16"/>
  <c r="L1733" i="16"/>
  <c r="Y1211" i="16"/>
  <c r="P2043" i="16"/>
  <c r="P1990" i="16"/>
  <c r="AC2115" i="16"/>
  <c r="N1244" i="16"/>
  <c r="AC1933" i="16"/>
  <c r="AE1882" i="16"/>
  <c r="P1676" i="16"/>
  <c r="Y1293" i="16"/>
  <c r="N1905" i="16"/>
  <c r="AA1658" i="16"/>
  <c r="W2034" i="16"/>
  <c r="AE1813" i="16"/>
  <c r="U915" i="16"/>
  <c r="AA2035" i="16"/>
  <c r="N2085" i="16"/>
  <c r="AE1901" i="16"/>
  <c r="L2123" i="16"/>
  <c r="N2072" i="16"/>
  <c r="W1969" i="16"/>
  <c r="P2109" i="16"/>
  <c r="W1875" i="16"/>
  <c r="P1959" i="16"/>
  <c r="Y2036" i="16"/>
  <c r="L1338" i="16"/>
  <c r="U1615" i="16"/>
  <c r="W1889" i="16"/>
  <c r="U1194" i="16"/>
  <c r="N979" i="16"/>
  <c r="P1383" i="16"/>
  <c r="Y2031" i="16"/>
  <c r="N1745" i="16"/>
  <c r="P1964" i="16"/>
  <c r="P2156" i="16"/>
  <c r="Y823" i="16"/>
  <c r="AC1331" i="16"/>
  <c r="N1858" i="16"/>
  <c r="N1228" i="16"/>
  <c r="L1918" i="16"/>
  <c r="AA2040" i="16"/>
  <c r="N1785" i="16"/>
  <c r="N1435" i="16"/>
  <c r="P1204" i="16"/>
  <c r="N1316" i="16"/>
  <c r="AA1559" i="16"/>
  <c r="U2014" i="16"/>
  <c r="Y1668" i="16"/>
  <c r="AA1606" i="16"/>
  <c r="L1138" i="16"/>
  <c r="N1646" i="16"/>
  <c r="U978" i="16"/>
  <c r="N735" i="16"/>
  <c r="L1515" i="16"/>
  <c r="Y1599" i="16"/>
  <c r="N525" i="16"/>
  <c r="W2038" i="16"/>
  <c r="N1403" i="16"/>
  <c r="AA1610" i="16"/>
  <c r="P1919" i="16"/>
  <c r="L1763" i="16"/>
  <c r="N1947" i="16"/>
  <c r="AE1976" i="16"/>
  <c r="P1477" i="16"/>
  <c r="Y1012" i="16"/>
  <c r="U1941" i="16"/>
  <c r="W1064" i="16"/>
  <c r="Y2042" i="16"/>
  <c r="AC1800" i="16"/>
  <c r="L1270" i="16"/>
  <c r="U981" i="16"/>
  <c r="U1868" i="16"/>
  <c r="AC1609" i="16"/>
  <c r="AA1005" i="16"/>
  <c r="P1218" i="16"/>
  <c r="L1461" i="16"/>
  <c r="W1553" i="16"/>
  <c r="Y1468" i="16"/>
  <c r="Y14" i="16"/>
  <c r="U1587" i="16"/>
  <c r="AA1710" i="16"/>
  <c r="AC1905" i="16"/>
  <c r="AC1898" i="16"/>
  <c r="P2071" i="16"/>
  <c r="L2145" i="16"/>
  <c r="Y2097" i="16"/>
  <c r="N244" i="16"/>
  <c r="P837" i="16"/>
  <c r="N1313" i="16"/>
  <c r="AA828" i="16"/>
  <c r="Y1646" i="16"/>
  <c r="Y1543" i="16"/>
  <c r="N1780" i="16"/>
  <c r="N1430" i="16"/>
  <c r="W1595" i="16"/>
  <c r="L1752" i="16"/>
  <c r="Y1509" i="16"/>
  <c r="W1846" i="16"/>
  <c r="L1755" i="16"/>
  <c r="AA1564" i="16"/>
  <c r="AC1459" i="16"/>
  <c r="Y1151" i="16"/>
  <c r="L1549" i="16"/>
  <c r="U1619" i="16"/>
  <c r="AE1831" i="16"/>
  <c r="L2037" i="16"/>
  <c r="P1901" i="16"/>
  <c r="P1623" i="16"/>
  <c r="P2028" i="16"/>
  <c r="P1617" i="16"/>
  <c r="AA1625" i="16"/>
  <c r="P1870" i="16"/>
  <c r="AC1954" i="16"/>
  <c r="AE1980" i="16"/>
  <c r="W1497" i="16"/>
  <c r="N1816" i="16"/>
  <c r="P753" i="16"/>
  <c r="AC1627" i="16"/>
  <c r="AE1914" i="16"/>
  <c r="N2089" i="16"/>
  <c r="L2008" i="16"/>
  <c r="N1920" i="16"/>
  <c r="N2031" i="16"/>
  <c r="AC2063" i="16"/>
  <c r="AA1723" i="16"/>
  <c r="L2106" i="16"/>
  <c r="N1719" i="16"/>
  <c r="L1434" i="16"/>
  <c r="N1897" i="16"/>
  <c r="W1474" i="16"/>
  <c r="AC1053" i="16"/>
  <c r="L1489" i="16"/>
  <c r="Y2135" i="16"/>
  <c r="P1819" i="16"/>
  <c r="AE1840" i="16"/>
  <c r="Y1442" i="16"/>
  <c r="L2114" i="16"/>
  <c r="P2148" i="16"/>
  <c r="N1213" i="16"/>
  <c r="AC1749" i="16"/>
  <c r="AA834" i="16"/>
  <c r="W936" i="16"/>
  <c r="AE1767" i="16"/>
  <c r="N1595" i="16"/>
  <c r="P2134" i="16"/>
  <c r="P1587" i="16"/>
  <c r="L1098" i="16"/>
  <c r="Y955" i="16"/>
  <c r="AC1260" i="16"/>
  <c r="P647" i="16"/>
  <c r="AE1900" i="16"/>
  <c r="AE1960" i="16"/>
  <c r="U1837" i="16"/>
  <c r="AA2055" i="16"/>
  <c r="W1668" i="16"/>
  <c r="L1282" i="16"/>
  <c r="U1860" i="16"/>
  <c r="L2076" i="16"/>
  <c r="AE1965" i="16"/>
  <c r="AC1015" i="16"/>
  <c r="AA1166" i="16"/>
  <c r="AC1177" i="16"/>
  <c r="P987" i="16"/>
  <c r="N1557" i="16"/>
  <c r="N2040" i="16"/>
  <c r="N1957" i="16"/>
  <c r="W2042" i="16"/>
  <c r="P1289" i="16"/>
  <c r="U2110" i="16"/>
  <c r="P1644" i="16"/>
  <c r="AA890" i="16"/>
  <c r="W1473" i="16"/>
  <c r="U1266" i="16"/>
  <c r="W864" i="16"/>
  <c r="N1526" i="16"/>
  <c r="P1322" i="16"/>
  <c r="L1071" i="16"/>
  <c r="N1273" i="16"/>
  <c r="N1900" i="16"/>
  <c r="AA2113" i="16"/>
  <c r="P1690" i="16"/>
  <c r="L1987" i="16"/>
  <c r="P1854" i="16"/>
  <c r="Y1324" i="16"/>
  <c r="Y1648" i="16"/>
  <c r="N1455" i="16"/>
  <c r="Y1704" i="16"/>
  <c r="AC1407" i="16"/>
  <c r="AA2073" i="16"/>
  <c r="AC1580" i="16"/>
  <c r="AC1588" i="16"/>
  <c r="N1399" i="16"/>
  <c r="P1609" i="16"/>
  <c r="AA1355" i="16"/>
  <c r="P1546" i="16"/>
  <c r="N1251" i="16"/>
  <c r="P627" i="16"/>
  <c r="Y1187" i="16"/>
  <c r="P649" i="16"/>
  <c r="L592" i="16"/>
  <c r="N870" i="16"/>
  <c r="N1569" i="16"/>
  <c r="Y1054" i="16"/>
  <c r="N1464" i="16"/>
  <c r="AC860" i="16"/>
  <c r="AA1070" i="16"/>
  <c r="U512" i="16"/>
  <c r="AA726" i="16"/>
  <c r="Y867" i="16"/>
  <c r="W1084" i="16"/>
  <c r="W1897" i="16"/>
  <c r="L1654" i="16"/>
  <c r="AA1684" i="16"/>
  <c r="N1956" i="16"/>
  <c r="L620" i="16"/>
  <c r="W1981" i="16"/>
  <c r="U1729" i="16"/>
  <c r="P801" i="16"/>
  <c r="U608" i="16"/>
  <c r="P1088" i="16"/>
  <c r="P1822" i="16"/>
  <c r="W1997" i="16"/>
  <c r="N1348" i="16"/>
  <c r="N1011" i="16"/>
  <c r="AA1545" i="16"/>
  <c r="N934" i="16"/>
  <c r="W1619" i="16"/>
  <c r="P1488" i="16"/>
  <c r="L1240" i="16"/>
  <c r="AC1250" i="16"/>
  <c r="Y1569" i="16"/>
  <c r="Y1103" i="16"/>
  <c r="W1116" i="16"/>
  <c r="AA488" i="16"/>
  <c r="N970" i="16"/>
  <c r="AC465" i="16"/>
  <c r="U516" i="16"/>
  <c r="L1249" i="16"/>
  <c r="L905" i="16"/>
  <c r="Y1202" i="16"/>
  <c r="L495" i="16"/>
  <c r="Y219" i="16"/>
  <c r="N915" i="16"/>
  <c r="Y380" i="16"/>
  <c r="Y1571" i="16"/>
  <c r="N1459" i="16"/>
  <c r="AA1030" i="16"/>
  <c r="AA1288" i="16"/>
  <c r="N1861" i="16"/>
  <c r="N1878" i="16"/>
  <c r="P1519" i="16"/>
  <c r="L1193" i="16"/>
  <c r="L1442" i="16"/>
  <c r="AC1420" i="16"/>
  <c r="Y1535" i="16"/>
  <c r="AE1839" i="16"/>
  <c r="AA850" i="16"/>
  <c r="L1290" i="16"/>
  <c r="L1081" i="16"/>
  <c r="AC1273" i="16"/>
  <c r="U1836" i="16"/>
  <c r="U1146" i="16"/>
  <c r="P1812" i="16"/>
  <c r="AA2066" i="16"/>
  <c r="Y2114" i="16"/>
  <c r="Y2113" i="16"/>
  <c r="Y1708" i="16"/>
  <c r="N1822" i="16"/>
  <c r="N1619" i="16"/>
  <c r="P1641" i="16"/>
  <c r="Y2115" i="16"/>
  <c r="U1599" i="16"/>
  <c r="P1174" i="16"/>
  <c r="U1662" i="16"/>
  <c r="AC516" i="16"/>
  <c r="L1824" i="16"/>
  <c r="L1497" i="16"/>
  <c r="Y1672" i="16"/>
  <c r="AE1964" i="16"/>
  <c r="W1886" i="16"/>
  <c r="L1548" i="16"/>
  <c r="L1197" i="16"/>
  <c r="Y1659" i="16"/>
  <c r="U2117" i="16"/>
  <c r="AA1484" i="16"/>
  <c r="AC2072" i="16"/>
  <c r="W1923" i="16"/>
  <c r="L1458" i="16"/>
  <c r="N946" i="16"/>
  <c r="U1677" i="16"/>
  <c r="N1803" i="16"/>
  <c r="W1635" i="16"/>
  <c r="AC1589" i="16"/>
  <c r="N1777" i="16"/>
  <c r="AC1778" i="16"/>
  <c r="L571" i="16"/>
  <c r="P678" i="16"/>
  <c r="AE1832" i="16"/>
  <c r="Y1493" i="16"/>
  <c r="AC1791" i="16"/>
  <c r="N1995" i="16"/>
  <c r="AC1428" i="16"/>
  <c r="AA1506" i="16"/>
  <c r="U1445" i="16"/>
  <c r="U1692" i="16"/>
  <c r="W1183" i="16"/>
  <c r="Y1248" i="16"/>
  <c r="L788" i="16"/>
  <c r="N2007" i="16"/>
  <c r="AC1692" i="16"/>
  <c r="L2025" i="16"/>
  <c r="N1414" i="16"/>
  <c r="AC864" i="16"/>
  <c r="L1009" i="16"/>
  <c r="AC1622" i="16"/>
  <c r="AA1636" i="16"/>
  <c r="P876" i="16"/>
  <c r="AA1651" i="16"/>
  <c r="N1076" i="16"/>
  <c r="L1688" i="16"/>
  <c r="L1336" i="16"/>
  <c r="AA1519" i="16"/>
  <c r="AC1992" i="16"/>
  <c r="AC2047" i="16"/>
  <c r="AC1447" i="16"/>
  <c r="P1737" i="16"/>
  <c r="AE1744" i="16"/>
  <c r="AC1055" i="16"/>
  <c r="L1653" i="16"/>
  <c r="P1579" i="16"/>
  <c r="N717" i="16"/>
  <c r="Y1664" i="16"/>
  <c r="Y1084" i="16"/>
  <c r="N1117" i="16"/>
  <c r="N922" i="16"/>
  <c r="Y2095" i="16"/>
  <c r="Y1559" i="16"/>
  <c r="AA2143" i="16"/>
  <c r="AC2157" i="16"/>
  <c r="Y2143" i="16"/>
  <c r="L1158" i="16"/>
  <c r="P1487" i="16"/>
  <c r="L1677" i="16"/>
  <c r="N1645" i="16"/>
  <c r="U1553" i="16"/>
  <c r="P1445" i="16"/>
  <c r="AC632" i="16"/>
  <c r="L1707" i="16"/>
  <c r="AC1994" i="16"/>
  <c r="W1933" i="16"/>
  <c r="L1531" i="16"/>
  <c r="Y1315" i="16"/>
  <c r="AC1192" i="16"/>
  <c r="Y1686" i="16"/>
  <c r="AA1586" i="16"/>
  <c r="U1558" i="16"/>
  <c r="L1297" i="16"/>
  <c r="AC1430" i="16"/>
  <c r="L1072" i="16"/>
  <c r="AC858" i="16"/>
  <c r="P1637" i="16"/>
  <c r="AA146" i="16"/>
  <c r="L500" i="16"/>
  <c r="Y968" i="16"/>
  <c r="AC692" i="16"/>
  <c r="U1896" i="16"/>
  <c r="AC1996" i="16"/>
  <c r="N2055" i="16"/>
  <c r="AC1455" i="16"/>
  <c r="Y1196" i="16"/>
  <c r="W1885" i="16"/>
  <c r="AA1334" i="16"/>
  <c r="AC1586" i="16"/>
  <c r="U1912" i="16"/>
  <c r="L1872" i="16"/>
  <c r="Y1082" i="16"/>
  <c r="N1863" i="16"/>
  <c r="AE1873" i="16"/>
  <c r="N1975" i="16"/>
  <c r="L1945" i="16"/>
  <c r="AA1323" i="16"/>
  <c r="Y1278" i="16"/>
  <c r="L1259" i="16"/>
  <c r="AC1516" i="16"/>
  <c r="L1860" i="16"/>
  <c r="AE1759" i="16"/>
  <c r="L1258" i="16"/>
  <c r="AA1709" i="16"/>
  <c r="L1751" i="16"/>
  <c r="L2049" i="16"/>
  <c r="L1612" i="16"/>
  <c r="Y2060" i="16"/>
  <c r="L1698" i="16"/>
  <c r="AA1452" i="16"/>
  <c r="W1167" i="16"/>
  <c r="AC1554" i="16"/>
  <c r="P1007" i="16"/>
  <c r="AC660" i="16"/>
  <c r="P435" i="16"/>
  <c r="AA1094" i="16"/>
  <c r="P1766" i="16"/>
  <c r="AA2145" i="16"/>
  <c r="AC1661" i="16"/>
  <c r="N2016" i="16"/>
  <c r="N1842" i="16"/>
  <c r="Y1272" i="16"/>
  <c r="N1553" i="16"/>
  <c r="AC657" i="16"/>
  <c r="Y1552" i="16"/>
  <c r="W1486" i="16"/>
  <c r="L699" i="16"/>
  <c r="U1977" i="16"/>
  <c r="AA1700" i="16"/>
  <c r="Y1584" i="16"/>
  <c r="P1879" i="16"/>
  <c r="AA1365" i="16"/>
  <c r="P1534" i="16"/>
  <c r="W1115" i="16"/>
  <c r="U1933" i="16"/>
  <c r="U890" i="16"/>
  <c r="U1606" i="16"/>
  <c r="N1874" i="16"/>
  <c r="W1427" i="16"/>
  <c r="AC1955" i="16"/>
  <c r="AE1893" i="16"/>
  <c r="N1661" i="16"/>
  <c r="W894" i="16"/>
  <c r="W1107" i="16"/>
  <c r="P166" i="16"/>
  <c r="N2005" i="16"/>
  <c r="AC611" i="16"/>
  <c r="P802" i="16"/>
  <c r="AC780" i="16"/>
  <c r="W852" i="16"/>
  <c r="N1889" i="16"/>
  <c r="U2012" i="16"/>
  <c r="W1976" i="16"/>
  <c r="AC1939" i="16"/>
  <c r="Y2148" i="16"/>
  <c r="P1730" i="16"/>
  <c r="L1988" i="16"/>
  <c r="W2005" i="16"/>
  <c r="W1488" i="16"/>
  <c r="W1627" i="16"/>
  <c r="N1848" i="16"/>
  <c r="Y1158" i="16"/>
  <c r="Y1542" i="16"/>
  <c r="P2059" i="16"/>
  <c r="N2129" i="16"/>
  <c r="U1840" i="16"/>
  <c r="Y2145" i="16"/>
  <c r="AC1574" i="16"/>
  <c r="AC1530" i="16"/>
  <c r="P1452" i="16"/>
  <c r="N856" i="16"/>
  <c r="Y1721" i="16"/>
  <c r="W1136" i="16"/>
  <c r="W1574" i="16"/>
  <c r="P984" i="16"/>
  <c r="P1578" i="16"/>
  <c r="AC1564" i="16"/>
  <c r="L701" i="16"/>
  <c r="W1683" i="16"/>
  <c r="Y1525" i="16"/>
  <c r="AC433" i="16"/>
  <c r="AA723" i="16"/>
  <c r="L834" i="16"/>
  <c r="U1147" i="16"/>
  <c r="W1327" i="16"/>
  <c r="AC759" i="16"/>
  <c r="L1907" i="16"/>
  <c r="W1939" i="16"/>
  <c r="AC1770" i="16"/>
  <c r="L898" i="16"/>
  <c r="P1055" i="16"/>
  <c r="AC1667" i="16"/>
  <c r="U1131" i="16"/>
  <c r="P1548" i="16"/>
  <c r="AE1749" i="16"/>
  <c r="AC1458" i="16"/>
  <c r="AE1863" i="16"/>
  <c r="U1907" i="16"/>
  <c r="U732" i="16"/>
  <c r="Y1397" i="16"/>
  <c r="L2089" i="16"/>
  <c r="Y1521" i="16"/>
  <c r="P1296" i="16"/>
  <c r="P1245" i="16"/>
  <c r="AA2071" i="16"/>
  <c r="W1045" i="16"/>
  <c r="AA648" i="16"/>
  <c r="L1147" i="16"/>
  <c r="W1074" i="16"/>
  <c r="P1446" i="16"/>
  <c r="L1063" i="16"/>
  <c r="Y1246" i="16"/>
  <c r="W835" i="16"/>
  <c r="AC886" i="16"/>
  <c r="L1279" i="16"/>
  <c r="N1214" i="16"/>
  <c r="P391" i="16"/>
  <c r="W1671" i="16"/>
  <c r="P1409" i="16"/>
  <c r="P1275" i="16"/>
  <c r="AC1836" i="16"/>
  <c r="L1920" i="16"/>
  <c r="U496" i="16"/>
  <c r="Y927" i="16"/>
  <c r="AA1672" i="16"/>
  <c r="P1843" i="16"/>
  <c r="P1257" i="16"/>
  <c r="L348" i="16"/>
  <c r="AE1819" i="16"/>
  <c r="L2063" i="16"/>
  <c r="AC2153" i="16"/>
  <c r="L1484" i="16"/>
  <c r="AA2034" i="16"/>
  <c r="L1955" i="16"/>
  <c r="W1858" i="16"/>
  <c r="L1857" i="16"/>
  <c r="P1802" i="16"/>
  <c r="L1927" i="16"/>
  <c r="N1775" i="16"/>
  <c r="Y1420" i="16"/>
  <c r="Y2102" i="16"/>
  <c r="N1580" i="16"/>
  <c r="N2066" i="16"/>
  <c r="N2019" i="16"/>
  <c r="L877" i="16"/>
  <c r="L1823" i="16"/>
  <c r="L941" i="16"/>
  <c r="N2112" i="16"/>
  <c r="N2097" i="16"/>
  <c r="Y1722" i="16"/>
  <c r="P1934" i="16"/>
  <c r="U1835" i="16"/>
  <c r="L1314" i="16"/>
  <c r="N1826" i="16"/>
  <c r="U2057" i="16"/>
  <c r="L1863" i="16"/>
  <c r="L1983" i="16"/>
  <c r="W2013" i="16"/>
  <c r="AA1547" i="16"/>
  <c r="U2111" i="16"/>
  <c r="P918" i="16"/>
  <c r="P1612" i="16"/>
  <c r="N986" i="16"/>
  <c r="L1396" i="16"/>
  <c r="AC1850" i="16"/>
  <c r="P1618" i="16"/>
  <c r="L1774" i="16"/>
  <c r="P1463" i="16"/>
  <c r="W1910" i="16"/>
  <c r="U1254" i="16"/>
  <c r="AC1202" i="16"/>
  <c r="P1850" i="16"/>
  <c r="L1073" i="16"/>
  <c r="L1121" i="16"/>
  <c r="P1661" i="16"/>
  <c r="AA1448" i="16"/>
  <c r="Y2063" i="16"/>
  <c r="P1786" i="16"/>
  <c r="Y1681" i="16"/>
  <c r="P1110" i="16"/>
  <c r="P1489" i="16"/>
  <c r="W1363" i="16"/>
  <c r="AC1961" i="16"/>
  <c r="Y1390" i="16"/>
  <c r="AC1796" i="16"/>
  <c r="AA1319" i="16"/>
  <c r="W2062" i="16"/>
  <c r="P1497" i="16"/>
  <c r="AC945" i="16"/>
  <c r="U738" i="16"/>
  <c r="P1172" i="16"/>
  <c r="L1522" i="16"/>
  <c r="AA2043" i="16"/>
  <c r="P1379" i="16"/>
  <c r="AA1345" i="16"/>
  <c r="W678" i="16"/>
  <c r="AA1707" i="16"/>
  <c r="U1921" i="16"/>
  <c r="U1286" i="16"/>
  <c r="N1669" i="16"/>
  <c r="Y2157" i="16"/>
  <c r="AC1870" i="16"/>
  <c r="L1603" i="16"/>
  <c r="AC1930" i="16"/>
  <c r="U1848" i="16"/>
  <c r="N2014" i="16"/>
  <c r="AA1612" i="16"/>
  <c r="W1108" i="16"/>
  <c r="L2027" i="16"/>
  <c r="N1410" i="16"/>
  <c r="AA1574" i="16"/>
  <c r="AE2008" i="16"/>
  <c r="P1058" i="16"/>
  <c r="L2081" i="16"/>
  <c r="L1916" i="16"/>
  <c r="L2094" i="16"/>
  <c r="AC1621" i="16"/>
  <c r="L1361" i="16"/>
  <c r="L1169" i="16"/>
  <c r="W1160" i="16"/>
  <c r="N1140" i="16"/>
  <c r="AC1750" i="16"/>
  <c r="P1165" i="16"/>
  <c r="W1408" i="16"/>
  <c r="AC548" i="16"/>
  <c r="L164" i="16"/>
  <c r="N1534" i="16"/>
  <c r="AC1054" i="16"/>
  <c r="AA432" i="16"/>
  <c r="W1230" i="16"/>
  <c r="N1644" i="16"/>
  <c r="AA214" i="16"/>
  <c r="AC527" i="16"/>
  <c r="W1549" i="16"/>
  <c r="P1911" i="16"/>
  <c r="W2017" i="16"/>
  <c r="P1925" i="16"/>
  <c r="AA2120" i="16"/>
  <c r="Y1483" i="16"/>
  <c r="U1623" i="16"/>
  <c r="W1859" i="16"/>
  <c r="N1133" i="16"/>
  <c r="P1776" i="16"/>
  <c r="L2121" i="16"/>
  <c r="AC1743" i="16"/>
  <c r="Y984" i="16"/>
  <c r="N1831" i="16"/>
  <c r="L1060" i="16"/>
  <c r="L1895" i="16"/>
  <c r="Y1626" i="16"/>
  <c r="AA1230" i="16"/>
  <c r="L2124" i="16"/>
  <c r="AA1591" i="16"/>
  <c r="N1988" i="16"/>
  <c r="N1676" i="16"/>
  <c r="P487" i="16"/>
  <c r="U1826" i="16"/>
  <c r="N1604" i="16"/>
  <c r="AA1089" i="16"/>
  <c r="AA1050" i="16"/>
  <c r="W1724" i="16"/>
  <c r="Y347" i="16"/>
  <c r="AA1469" i="16"/>
  <c r="Y1076" i="16"/>
  <c r="L867" i="16"/>
  <c r="AC1357" i="16"/>
  <c r="L1439" i="16"/>
  <c r="W1366" i="16"/>
  <c r="AC1277" i="16"/>
  <c r="N1790" i="16"/>
  <c r="AC581" i="16"/>
  <c r="L950" i="16"/>
  <c r="N1454" i="16"/>
  <c r="U855" i="16"/>
  <c r="P1716" i="16"/>
  <c r="L2031" i="16"/>
  <c r="P1557" i="16"/>
  <c r="AC1532" i="16"/>
  <c r="AC1566" i="16"/>
  <c r="N1702" i="16"/>
  <c r="N2108" i="16"/>
  <c r="N1961" i="16"/>
  <c r="AC1711" i="16"/>
  <c r="AC1544" i="16"/>
  <c r="W1902" i="16"/>
  <c r="W1554" i="16"/>
  <c r="Y1416" i="16"/>
  <c r="Y1539" i="16"/>
  <c r="AC963" i="16"/>
  <c r="L2108" i="16"/>
  <c r="L2137" i="16"/>
  <c r="P1668" i="16"/>
  <c r="AA1562" i="16"/>
  <c r="L1633" i="16"/>
  <c r="W2132" i="16"/>
  <c r="P2132" i="16"/>
  <c r="U2149" i="16"/>
  <c r="AC1448" i="16"/>
  <c r="N2109" i="16"/>
  <c r="AC1354" i="16"/>
  <c r="L1787" i="16"/>
  <c r="AA1701" i="16"/>
  <c r="N1043" i="16"/>
  <c r="AE2006" i="16"/>
  <c r="N2002" i="16"/>
  <c r="P1636" i="16"/>
  <c r="L1606" i="16"/>
  <c r="P1771" i="16"/>
  <c r="L1798" i="16"/>
  <c r="AE1879" i="16"/>
  <c r="U1027" i="16"/>
  <c r="L2070" i="16"/>
  <c r="AC1051" i="16"/>
  <c r="N1832" i="16"/>
  <c r="P2000" i="16"/>
  <c r="Y1534" i="16"/>
  <c r="W1505" i="16"/>
  <c r="P1140" i="16"/>
  <c r="L1246" i="16"/>
  <c r="W797" i="16"/>
  <c r="N1665" i="16"/>
  <c r="AC1150" i="16"/>
  <c r="W1544" i="16"/>
  <c r="N2141" i="16"/>
  <c r="P1713" i="16"/>
  <c r="L1159" i="16"/>
  <c r="N676" i="16"/>
  <c r="AE1763" i="16"/>
  <c r="Y895" i="16"/>
  <c r="Y1228" i="16"/>
  <c r="Y1200" i="16"/>
  <c r="Y1044" i="16"/>
  <c r="N1626" i="16"/>
  <c r="AE1737" i="16"/>
  <c r="U1927" i="16"/>
  <c r="L2078" i="16"/>
  <c r="Y1488" i="16"/>
  <c r="N2130" i="16"/>
  <c r="N1533" i="16"/>
  <c r="L1111" i="16"/>
  <c r="P948" i="16"/>
  <c r="P1433" i="16"/>
  <c r="L1957" i="16"/>
  <c r="N1492" i="16"/>
  <c r="L973" i="16"/>
  <c r="N1605" i="16"/>
  <c r="AC541" i="16"/>
  <c r="W1223" i="16"/>
  <c r="AC979" i="16"/>
  <c r="N1836" i="16"/>
  <c r="AE1928" i="16"/>
  <c r="P1905" i="16"/>
  <c r="W1852" i="16"/>
  <c r="L1557" i="16"/>
  <c r="L2000" i="16"/>
  <c r="AA1394" i="16"/>
  <c r="U1596" i="16"/>
  <c r="N1625" i="16"/>
  <c r="P1324" i="16"/>
  <c r="W1675" i="16"/>
  <c r="AE1917" i="16"/>
  <c r="AC1513" i="16"/>
  <c r="P1583" i="16"/>
  <c r="L1426" i="16"/>
  <c r="N1284" i="16"/>
  <c r="Y1570" i="16"/>
  <c r="AC999" i="16"/>
  <c r="L853" i="16"/>
  <c r="N1885" i="16"/>
  <c r="Y1687" i="16"/>
  <c r="P1697" i="16"/>
  <c r="U1655" i="16"/>
  <c r="W1065" i="16"/>
  <c r="N1342" i="16"/>
  <c r="AA1657" i="16"/>
  <c r="P1314" i="16"/>
  <c r="L1395" i="16"/>
  <c r="AC1222" i="16"/>
  <c r="AC549" i="16"/>
  <c r="L733" i="16"/>
  <c r="W1582" i="16"/>
  <c r="AC836" i="16"/>
  <c r="U1099" i="16"/>
  <c r="N1761" i="16"/>
  <c r="AC1885" i="16"/>
  <c r="AC1474" i="16"/>
  <c r="L1043" i="16"/>
  <c r="N712" i="16"/>
  <c r="AA1501" i="16"/>
  <c r="L901" i="16"/>
  <c r="L2093" i="16"/>
  <c r="Y1463" i="16"/>
  <c r="P1888" i="16"/>
  <c r="L2141" i="16"/>
  <c r="P2121" i="16"/>
  <c r="AC1801" i="16"/>
  <c r="L1618" i="16"/>
  <c r="AC1844" i="16"/>
  <c r="N1089" i="16"/>
  <c r="N1928" i="16"/>
  <c r="AC1168" i="16"/>
  <c r="Y1240" i="16"/>
  <c r="AA41" i="16"/>
  <c r="N1268" i="16"/>
  <c r="AA1596" i="16"/>
  <c r="AC2010" i="16"/>
  <c r="AC1859" i="16"/>
  <c r="AC2154" i="16"/>
  <c r="L2131" i="16"/>
  <c r="AC1468" i="16"/>
  <c r="AA1142" i="16"/>
  <c r="P1323" i="16"/>
  <c r="AA2118" i="16"/>
  <c r="AA1727" i="16"/>
  <c r="AA1730" i="16"/>
  <c r="Y2044" i="16"/>
  <c r="U1696" i="16"/>
  <c r="AA1398" i="16"/>
  <c r="Y1255" i="16"/>
  <c r="N1690" i="16"/>
  <c r="L1776" i="16"/>
  <c r="AC1021" i="16"/>
  <c r="P1303" i="16"/>
  <c r="U1886" i="16"/>
  <c r="N1799" i="16"/>
  <c r="W1712" i="16"/>
  <c r="AE1862" i="16"/>
  <c r="N1989" i="16"/>
  <c r="AA1500" i="16"/>
  <c r="N1134" i="16"/>
  <c r="L1044" i="16"/>
  <c r="N1364" i="16"/>
  <c r="P1798" i="16"/>
  <c r="AA1079" i="16"/>
  <c r="N1493" i="16"/>
  <c r="U1590" i="16"/>
  <c r="P1680" i="16"/>
  <c r="AC1356" i="16"/>
  <c r="Y1693" i="16"/>
  <c r="N1786" i="16"/>
  <c r="AA1151" i="16"/>
  <c r="N745" i="16"/>
  <c r="W820" i="16"/>
  <c r="AC1206" i="16"/>
  <c r="Y1147" i="16"/>
  <c r="N1871" i="16"/>
  <c r="L1947" i="16"/>
  <c r="N1308" i="16"/>
  <c r="U1158" i="16"/>
  <c r="U1839" i="16"/>
  <c r="W1054" i="16"/>
  <c r="N2061" i="16"/>
  <c r="N1749" i="16"/>
  <c r="U2018" i="16"/>
  <c r="N1202" i="16"/>
  <c r="AC2065" i="16"/>
  <c r="N1261" i="16"/>
  <c r="L1440" i="16"/>
  <c r="P1281" i="16"/>
  <c r="AA182" i="16"/>
  <c r="U1295" i="16"/>
  <c r="Y1662" i="16"/>
  <c r="AA1361" i="16"/>
  <c r="L1250" i="16"/>
  <c r="L1430" i="16"/>
  <c r="W1882" i="16"/>
  <c r="AE2005" i="16"/>
  <c r="Y1007" i="16"/>
  <c r="P453" i="16"/>
  <c r="AC1938" i="16"/>
  <c r="P1923" i="16"/>
  <c r="AE1769" i="16"/>
  <c r="Y197" i="16"/>
  <c r="AC537" i="16"/>
  <c r="AA318" i="16"/>
  <c r="AA122" i="16"/>
  <c r="AC376" i="16"/>
  <c r="AC1244" i="16"/>
  <c r="U1219" i="16"/>
  <c r="AA914" i="16"/>
  <c r="L1690" i="16"/>
  <c r="AA818" i="16"/>
  <c r="Y845" i="16"/>
  <c r="L1991" i="16"/>
  <c r="L1613" i="16"/>
  <c r="N1288" i="16"/>
  <c r="P1316" i="16"/>
  <c r="AA1358" i="16"/>
  <c r="AA1569" i="16"/>
  <c r="N1653" i="16"/>
  <c r="U2064" i="16"/>
  <c r="L1906" i="16"/>
  <c r="L930" i="16"/>
  <c r="W1112" i="16"/>
  <c r="L2118" i="16"/>
  <c r="Y1143" i="16"/>
  <c r="AC1704" i="16"/>
  <c r="N1504" i="16"/>
  <c r="AC1419" i="16"/>
  <c r="P1735" i="16"/>
  <c r="L1908" i="16"/>
  <c r="N1819" i="16"/>
  <c r="N1369" i="16"/>
  <c r="U600" i="16"/>
  <c r="AA1408" i="16"/>
  <c r="AC810" i="16"/>
  <c r="P1403" i="16"/>
  <c r="AA549" i="16"/>
  <c r="N846" i="16"/>
  <c r="AA1309" i="16"/>
  <c r="L1624" i="16"/>
  <c r="W796" i="16"/>
  <c r="AA1304" i="16"/>
  <c r="N1005" i="16"/>
  <c r="N830" i="16"/>
  <c r="Y894" i="16"/>
  <c r="U1142" i="16"/>
  <c r="L1670" i="16"/>
  <c r="AC1313" i="16"/>
  <c r="P890" i="16"/>
  <c r="N1965" i="16"/>
  <c r="AE1924" i="16"/>
  <c r="AC1774" i="16"/>
  <c r="AC1653" i="16"/>
  <c r="P1336" i="16"/>
  <c r="L966" i="16"/>
  <c r="N2009" i="16"/>
  <c r="N1088" i="16"/>
  <c r="N1671" i="16"/>
  <c r="AC1346" i="16"/>
  <c r="U1469" i="16"/>
  <c r="N1469" i="16"/>
  <c r="N1032" i="16"/>
  <c r="AC2109" i="16"/>
  <c r="N1919" i="16"/>
  <c r="L329" i="16"/>
  <c r="Y1263" i="16"/>
  <c r="AA1159" i="16"/>
  <c r="AA952" i="16"/>
  <c r="W1019" i="16"/>
  <c r="AA750" i="16"/>
  <c r="L1142" i="16"/>
  <c r="W1345" i="16"/>
  <c r="AA26" i="16"/>
  <c r="W842" i="16"/>
  <c r="AC1617" i="16"/>
  <c r="N1460" i="16"/>
  <c r="U1712" i="16"/>
  <c r="N1385" i="16"/>
  <c r="AC1211" i="16"/>
  <c r="AE1944" i="16"/>
  <c r="Y1435" i="16"/>
  <c r="AA1449" i="16"/>
  <c r="Y1418" i="16"/>
  <c r="AA2038" i="16"/>
  <c r="L1533" i="16"/>
  <c r="AC1367" i="16"/>
  <c r="N314" i="16"/>
  <c r="Y1615" i="16"/>
  <c r="Y1639" i="16"/>
  <c r="L471" i="16"/>
  <c r="L937" i="16"/>
  <c r="P1286" i="16"/>
  <c r="N2157" i="16"/>
  <c r="N2006" i="16"/>
  <c r="U1290" i="16"/>
  <c r="AC1378" i="16"/>
  <c r="P2116" i="16"/>
  <c r="AA1412" i="16"/>
  <c r="P1825" i="16"/>
  <c r="AC1085" i="16"/>
  <c r="L1648" i="16"/>
  <c r="L1405" i="16"/>
  <c r="L1748" i="16"/>
  <c r="N786" i="16"/>
  <c r="L1352" i="16"/>
  <c r="W1586" i="16"/>
  <c r="P1384" i="16"/>
  <c r="AC737" i="16"/>
  <c r="AA1247" i="16"/>
  <c r="P2046" i="16"/>
  <c r="AC1390" i="16"/>
  <c r="U1545" i="16"/>
  <c r="Y1563" i="16"/>
  <c r="AC992" i="16"/>
  <c r="W1416" i="16"/>
  <c r="AA825" i="16"/>
  <c r="P967" i="16"/>
  <c r="L965" i="16"/>
  <c r="AC1335" i="16"/>
  <c r="L459" i="16"/>
  <c r="Y1210" i="16"/>
  <c r="AC1048" i="16"/>
  <c r="AC639" i="16"/>
  <c r="AC577" i="16"/>
  <c r="L1416" i="16"/>
  <c r="P1195" i="16"/>
  <c r="W1833" i="16"/>
  <c r="N1363" i="16"/>
  <c r="AA651" i="16"/>
  <c r="AA616" i="16"/>
  <c r="L1844" i="16"/>
  <c r="AC1328" i="16"/>
  <c r="U660" i="16"/>
  <c r="AA1531" i="16"/>
  <c r="P1337" i="16"/>
  <c r="N1087" i="16"/>
  <c r="Y922" i="16"/>
  <c r="W1725" i="16"/>
  <c r="N1350" i="16"/>
  <c r="U903" i="16"/>
  <c r="P1498" i="16"/>
  <c r="Y1022" i="16"/>
  <c r="AA729" i="16"/>
  <c r="AC1525" i="16"/>
  <c r="AA1286" i="16"/>
  <c r="P1212" i="16"/>
  <c r="W890" i="16"/>
  <c r="AC1960" i="16"/>
  <c r="N1051" i="16"/>
  <c r="W1973" i="16"/>
  <c r="AA305" i="16"/>
  <c r="AA748" i="16"/>
  <c r="AC1306" i="16"/>
  <c r="P367" i="16"/>
  <c r="AC1375" i="16"/>
  <c r="AC373" i="16"/>
  <c r="AA1671" i="16"/>
  <c r="AC1567" i="16"/>
  <c r="AC1252" i="16"/>
  <c r="AA564" i="16"/>
  <c r="AE1897" i="16"/>
  <c r="L81" i="16"/>
  <c r="L1508" i="16"/>
  <c r="AA454" i="16"/>
  <c r="N1852" i="16"/>
  <c r="U1186" i="16"/>
  <c r="P511" i="16"/>
  <c r="L1199" i="16"/>
  <c r="AC1197" i="16"/>
  <c r="AC1425" i="16"/>
  <c r="Y1092" i="16"/>
  <c r="Y1375" i="16"/>
  <c r="U204" i="16"/>
  <c r="U1397" i="16"/>
  <c r="U883" i="16"/>
  <c r="Y1427" i="16"/>
  <c r="U1996" i="16"/>
  <c r="P927" i="16"/>
  <c r="Y1095" i="16"/>
  <c r="U244" i="16"/>
  <c r="P441" i="16"/>
  <c r="U359" i="16"/>
  <c r="W450" i="16"/>
  <c r="P1340" i="16"/>
  <c r="U1139" i="16"/>
  <c r="N306" i="16"/>
  <c r="AA1409" i="16"/>
  <c r="U26" i="16"/>
  <c r="AC183" i="16"/>
  <c r="W253" i="16"/>
  <c r="U2096" i="16"/>
  <c r="L1299" i="16"/>
  <c r="AA1486" i="16"/>
  <c r="W1042" i="16"/>
  <c r="Y2090" i="16"/>
  <c r="AC1714" i="16"/>
  <c r="W1014" i="16"/>
  <c r="P1099" i="16"/>
  <c r="AC1779" i="16"/>
  <c r="AC1297" i="16"/>
  <c r="N1727" i="16"/>
  <c r="L1607" i="16"/>
  <c r="W1465" i="16"/>
  <c r="N2095" i="16"/>
  <c r="AC2003" i="16"/>
  <c r="N1567" i="16"/>
  <c r="AC1820" i="16"/>
  <c r="W2115" i="16"/>
  <c r="Y1328" i="16"/>
  <c r="L1023" i="16"/>
  <c r="P1075" i="16"/>
  <c r="Y1727" i="16"/>
  <c r="W1546" i="16"/>
  <c r="Y1332" i="16"/>
  <c r="N2004" i="16"/>
  <c r="L1691" i="16"/>
  <c r="L1428" i="16"/>
  <c r="P2013" i="16"/>
  <c r="AC1790" i="16"/>
  <c r="N310" i="16"/>
  <c r="P2124" i="16"/>
  <c r="N1992" i="16"/>
  <c r="L1154" i="16"/>
  <c r="Y1533" i="16"/>
  <c r="N511" i="16"/>
  <c r="U938" i="16"/>
  <c r="N800" i="16"/>
  <c r="Y841" i="16"/>
  <c r="AC1156" i="16"/>
  <c r="Y1280" i="16"/>
  <c r="Y1638" i="16"/>
  <c r="Y1692" i="16"/>
  <c r="P2025" i="16"/>
  <c r="L1511" i="16"/>
  <c r="AC1601" i="16"/>
  <c r="N1769" i="16"/>
  <c r="L1843" i="16"/>
  <c r="L1544" i="16"/>
  <c r="N1381" i="16"/>
  <c r="Y1144" i="16"/>
  <c r="N1612" i="16"/>
  <c r="AA1197" i="16"/>
  <c r="U492" i="16"/>
  <c r="AA1402" i="16"/>
  <c r="P491" i="16"/>
  <c r="L1436" i="16"/>
  <c r="L1959" i="16"/>
  <c r="AC1799" i="16"/>
  <c r="P1891" i="16"/>
  <c r="P1643" i="16"/>
  <c r="L1165" i="16"/>
  <c r="W1968" i="16"/>
  <c r="U2010" i="16"/>
  <c r="P699" i="16"/>
  <c r="P1352" i="16"/>
  <c r="W1926" i="16"/>
  <c r="AA1666" i="16"/>
  <c r="L1117" i="16"/>
  <c r="AC89" i="16"/>
  <c r="Y900" i="16"/>
  <c r="AA1178" i="16"/>
  <c r="N1712" i="16"/>
  <c r="N706" i="16"/>
  <c r="L1642" i="16"/>
  <c r="AA484" i="16"/>
  <c r="P1194" i="16"/>
  <c r="U960" i="16"/>
  <c r="W1118" i="16"/>
  <c r="P1509" i="16"/>
  <c r="U2025" i="16"/>
  <c r="N1518" i="16"/>
  <c r="AA808" i="16"/>
  <c r="Y1239" i="16"/>
  <c r="Y2127" i="16"/>
  <c r="L2092" i="16"/>
  <c r="P2008" i="16"/>
  <c r="AC564" i="16"/>
  <c r="U1705" i="16"/>
  <c r="L1527" i="16"/>
  <c r="AA2094" i="16"/>
  <c r="U1489" i="16"/>
  <c r="W2077" i="16"/>
  <c r="Y1724" i="16"/>
  <c r="AA1629" i="16"/>
  <c r="L1855" i="16"/>
  <c r="L1582" i="16"/>
  <c r="W1061" i="16"/>
  <c r="L2150" i="16"/>
  <c r="P1769" i="16"/>
  <c r="N1166" i="16"/>
  <c r="AE1912" i="16"/>
  <c r="L1238" i="16"/>
  <c r="AA702" i="16"/>
  <c r="W1238" i="16"/>
  <c r="P815" i="16"/>
  <c r="L1204" i="16"/>
  <c r="L938" i="16"/>
  <c r="Y1249" i="16"/>
  <c r="W868" i="16"/>
  <c r="N724" i="16"/>
  <c r="P1178" i="16"/>
  <c r="U1038" i="16"/>
  <c r="AC1540" i="16"/>
  <c r="U422" i="16"/>
  <c r="N691" i="16"/>
  <c r="L1625" i="16"/>
  <c r="N1922" i="16"/>
  <c r="AC1769" i="16"/>
  <c r="P1685" i="16"/>
  <c r="AC1733" i="16"/>
  <c r="AE1816" i="16"/>
  <c r="AC1427" i="16"/>
  <c r="Y1449" i="16"/>
  <c r="L1865" i="16"/>
  <c r="W1697" i="16"/>
  <c r="AE1809" i="16"/>
  <c r="L1019" i="16"/>
  <c r="P1576" i="16"/>
  <c r="U1968" i="16"/>
  <c r="N1728" i="16"/>
  <c r="AA1516" i="16"/>
  <c r="P1848" i="16"/>
  <c r="Y1629" i="16"/>
  <c r="P115" i="16"/>
  <c r="L1210" i="16"/>
  <c r="N1596" i="16"/>
  <c r="U1476" i="16"/>
  <c r="P191" i="16"/>
  <c r="AA610" i="16"/>
  <c r="Y307" i="16"/>
  <c r="U1639" i="16"/>
  <c r="AC1392" i="16"/>
  <c r="L1723" i="16"/>
  <c r="L1471" i="16"/>
  <c r="L1819" i="16"/>
  <c r="N1916" i="16"/>
  <c r="P697" i="16"/>
  <c r="AC2099" i="16"/>
  <c r="AC787" i="16"/>
  <c r="L1640" i="16"/>
  <c r="Y1428" i="16"/>
  <c r="U1650" i="16"/>
  <c r="U717" i="16"/>
  <c r="AC827" i="16"/>
  <c r="U1270" i="16"/>
  <c r="L1586" i="16"/>
  <c r="AA1093" i="16"/>
  <c r="L1463" i="16"/>
  <c r="AC1193" i="16"/>
  <c r="N1489" i="16"/>
  <c r="N984" i="16"/>
  <c r="W1286" i="16"/>
  <c r="P1319" i="16"/>
  <c r="P1954" i="16"/>
  <c r="L1222" i="16"/>
  <c r="U964" i="16"/>
  <c r="AA906" i="16"/>
  <c r="L595" i="16"/>
  <c r="N1439" i="16"/>
  <c r="AA1454" i="16"/>
  <c r="P962" i="16"/>
  <c r="N654" i="16"/>
  <c r="AC503" i="16"/>
  <c r="Y1119" i="16"/>
  <c r="AA222" i="16"/>
  <c r="N1055" i="16"/>
  <c r="W1726" i="16"/>
  <c r="AC1491" i="16"/>
  <c r="AC1632" i="16"/>
  <c r="U1577" i="16"/>
  <c r="P1662" i="16"/>
  <c r="Y881" i="16"/>
  <c r="N1361" i="16"/>
  <c r="AC1476" i="16"/>
  <c r="P733" i="16"/>
  <c r="Y1640" i="16"/>
  <c r="AA1339" i="16"/>
  <c r="N925" i="16"/>
  <c r="P1361" i="16"/>
  <c r="Y1487" i="16"/>
  <c r="N617" i="16"/>
  <c r="U1407" i="16"/>
  <c r="P828" i="16"/>
  <c r="U840" i="16"/>
  <c r="Y1327" i="16"/>
  <c r="P1967" i="16"/>
  <c r="U1449" i="16"/>
  <c r="AA954" i="16"/>
  <c r="P378" i="16"/>
  <c r="W1331" i="16"/>
  <c r="N1057" i="16"/>
  <c r="N1408" i="16"/>
  <c r="AC1467" i="16"/>
  <c r="U730" i="16"/>
  <c r="U632" i="16"/>
  <c r="U1069" i="16"/>
  <c r="AA1270" i="16"/>
  <c r="Y1384" i="16"/>
  <c r="AA458" i="16"/>
  <c r="AA1007" i="16"/>
  <c r="AE1793" i="16"/>
  <c r="AC1988" i="16"/>
  <c r="N1530" i="16"/>
  <c r="Y1164" i="16"/>
  <c r="L837" i="16"/>
  <c r="AC1841" i="16"/>
  <c r="AC1552" i="16"/>
  <c r="P541" i="16"/>
  <c r="AC727" i="16"/>
  <c r="W1988" i="16"/>
  <c r="L751" i="16"/>
  <c r="AA1560" i="16"/>
  <c r="W1576" i="16"/>
  <c r="AC1074" i="16"/>
  <c r="AC25" i="16"/>
  <c r="P1294" i="16"/>
  <c r="P1652" i="16"/>
  <c r="Y1700" i="16"/>
  <c r="Y868" i="16"/>
  <c r="U1398" i="16"/>
  <c r="U650" i="16"/>
  <c r="P745" i="16"/>
  <c r="AA896" i="16"/>
  <c r="L1042" i="16"/>
  <c r="N821" i="16"/>
  <c r="AC637" i="16"/>
  <c r="Y925" i="16"/>
  <c r="P723" i="16"/>
  <c r="L704" i="16"/>
  <c r="P1717" i="16"/>
  <c r="L768" i="16"/>
  <c r="L501" i="16"/>
  <c r="Y774" i="16"/>
  <c r="U1212" i="16"/>
  <c r="AC711" i="16"/>
  <c r="AC254" i="16"/>
  <c r="W1525" i="16"/>
  <c r="N859" i="16"/>
  <c r="L817" i="16"/>
  <c r="N494" i="16"/>
  <c r="L789" i="16"/>
  <c r="U74" i="16"/>
  <c r="U1207" i="16"/>
  <c r="U53" i="16"/>
  <c r="P266" i="16"/>
  <c r="AC2061" i="16"/>
  <c r="AE1825" i="16"/>
  <c r="AC1595" i="16"/>
  <c r="AC1387" i="16"/>
  <c r="W189" i="16"/>
  <c r="AC1981" i="16"/>
  <c r="U1602" i="16"/>
  <c r="AC1759" i="16"/>
  <c r="P1126" i="16"/>
  <c r="U1630" i="16"/>
  <c r="P1363" i="16"/>
  <c r="N1572" i="16"/>
  <c r="Y1036" i="16"/>
  <c r="P1955" i="16"/>
  <c r="AA1644" i="16"/>
  <c r="N1771" i="16"/>
  <c r="AA2117" i="16"/>
  <c r="P2103" i="16"/>
  <c r="N1601" i="16"/>
  <c r="AC751" i="16"/>
  <c r="AA1476" i="16"/>
  <c r="AA1444" i="16"/>
  <c r="P1512" i="16"/>
  <c r="N1184" i="16"/>
  <c r="P1926" i="16"/>
  <c r="AC1320" i="16"/>
  <c r="Y1344" i="16"/>
  <c r="N2118" i="16"/>
  <c r="P1516" i="16"/>
  <c r="AC659" i="16"/>
  <c r="L1659" i="16"/>
  <c r="L1656" i="16"/>
  <c r="AE1951" i="16"/>
  <c r="P820" i="16"/>
  <c r="L2154" i="16"/>
  <c r="L1351" i="16"/>
  <c r="N1156" i="16"/>
  <c r="U849" i="16"/>
  <c r="N1129" i="16"/>
  <c r="W1608" i="16"/>
  <c r="N1738" i="16"/>
  <c r="Y1299" i="16"/>
  <c r="Y1690" i="16"/>
  <c r="N1063" i="16"/>
  <c r="U1370" i="16"/>
  <c r="AA2126" i="16"/>
  <c r="AA1614" i="16"/>
  <c r="W1863" i="16"/>
  <c r="L1849" i="16"/>
  <c r="L1498" i="16"/>
  <c r="AA1038" i="16"/>
  <c r="Y1214" i="16"/>
  <c r="P1051" i="16"/>
  <c r="P739" i="16"/>
  <c r="L926" i="16"/>
  <c r="L911" i="16"/>
  <c r="Y883" i="16"/>
  <c r="P1475" i="16"/>
  <c r="P1873" i="16"/>
  <c r="Y1682" i="16"/>
  <c r="AC1974" i="16"/>
  <c r="AE1899" i="16"/>
  <c r="P1171" i="16"/>
  <c r="L1785" i="16"/>
  <c r="W1323" i="16"/>
  <c r="U1552" i="16"/>
  <c r="L1611" i="16"/>
  <c r="Y1277" i="16"/>
  <c r="AA490" i="16"/>
  <c r="Y1275" i="16"/>
  <c r="W1349" i="16"/>
  <c r="W1176" i="16"/>
  <c r="W1581" i="16"/>
  <c r="N966" i="16"/>
  <c r="P1440" i="16"/>
  <c r="Y1134" i="16"/>
  <c r="U969" i="16"/>
  <c r="Y1720" i="16"/>
  <c r="AA1713" i="16"/>
  <c r="Y1365" i="16"/>
  <c r="W1584" i="16"/>
  <c r="Y1492" i="16"/>
  <c r="N688" i="16"/>
  <c r="W1996" i="16"/>
  <c r="W2146" i="16"/>
  <c r="W1914" i="16"/>
  <c r="N1594" i="16"/>
  <c r="N1898" i="16"/>
  <c r="AA1371" i="16"/>
  <c r="L2117" i="16"/>
  <c r="Y1373" i="16"/>
  <c r="AE1920" i="16"/>
  <c r="AC1241" i="16"/>
  <c r="L647" i="16"/>
  <c r="W1501" i="16"/>
  <c r="L1521" i="16"/>
  <c r="Y1212" i="16"/>
  <c r="N573" i="16"/>
  <c r="Y1107" i="16"/>
  <c r="Y1088" i="16"/>
  <c r="P1381" i="16"/>
  <c r="AC1319" i="16"/>
  <c r="N480" i="16"/>
  <c r="N1723" i="16"/>
  <c r="P1291" i="16"/>
  <c r="N180" i="16"/>
  <c r="AC1301" i="16"/>
  <c r="N866" i="16"/>
  <c r="AC645" i="16"/>
  <c r="AA767" i="16"/>
  <c r="W1654" i="16"/>
  <c r="AA1525" i="16"/>
  <c r="AA1534" i="16"/>
  <c r="P279" i="16"/>
  <c r="AC568" i="16"/>
  <c r="U2132" i="16"/>
  <c r="P1356" i="16"/>
  <c r="P1675" i="16"/>
  <c r="P1510" i="16"/>
  <c r="AA1582" i="16"/>
  <c r="AA1429" i="16"/>
  <c r="AE1758" i="16"/>
  <c r="AC1660" i="16"/>
  <c r="L1890" i="16"/>
  <c r="L1209" i="16"/>
  <c r="P1701" i="16"/>
  <c r="AC1399" i="16"/>
  <c r="P1153" i="16"/>
  <c r="L1532" i="16"/>
  <c r="W1857" i="16"/>
  <c r="AC1771" i="16"/>
  <c r="AC1776" i="16"/>
  <c r="AE2018" i="16"/>
  <c r="AA970" i="16"/>
  <c r="P1242" i="16"/>
  <c r="L652" i="16"/>
  <c r="AC1712" i="16"/>
  <c r="W833" i="16"/>
  <c r="U1070" i="16"/>
  <c r="AA1350" i="16"/>
  <c r="AC893" i="16"/>
  <c r="AC245" i="16"/>
  <c r="N1537" i="16"/>
  <c r="N1081" i="16"/>
  <c r="Y949" i="16"/>
  <c r="AC1517" i="16"/>
  <c r="L1207" i="16"/>
  <c r="AA1459" i="16"/>
  <c r="N1893" i="16"/>
  <c r="AA1510" i="16"/>
  <c r="L1046" i="16"/>
  <c r="L1163" i="16"/>
  <c r="AE1822" i="16"/>
  <c r="L561" i="16"/>
  <c r="AC1380" i="16"/>
  <c r="AA1174" i="16"/>
  <c r="W1087" i="16"/>
  <c r="L865" i="16"/>
  <c r="Y1361" i="16"/>
  <c r="AA1635" i="16"/>
  <c r="P857" i="16"/>
  <c r="P631" i="16"/>
  <c r="AA594" i="16"/>
  <c r="Y1471" i="16"/>
  <c r="AE1774" i="16"/>
  <c r="U1343" i="16"/>
  <c r="AA1139" i="16"/>
  <c r="L1053" i="16"/>
  <c r="N1167" i="16"/>
  <c r="AC916" i="16"/>
  <c r="AE1778" i="16"/>
  <c r="N781" i="16"/>
  <c r="P1133" i="16"/>
  <c r="P807" i="16"/>
  <c r="AA787" i="16"/>
  <c r="L1964" i="16"/>
  <c r="Y316" i="16"/>
  <c r="AA1538" i="16"/>
  <c r="AA968" i="16"/>
  <c r="N1980" i="16"/>
  <c r="P1364" i="16"/>
  <c r="P2076" i="16"/>
  <c r="W1878" i="16"/>
  <c r="AE1857" i="16"/>
  <c r="AC421" i="16"/>
  <c r="AC912" i="16"/>
  <c r="P569" i="16"/>
  <c r="N695" i="16"/>
  <c r="AA1335" i="16"/>
  <c r="Y1251" i="16"/>
  <c r="N2011" i="16"/>
  <c r="AC1069" i="16"/>
  <c r="Y1011" i="16"/>
  <c r="L1264" i="16"/>
  <c r="AC1944" i="16"/>
  <c r="Y1504" i="16"/>
  <c r="AA874" i="16"/>
  <c r="U1595" i="16"/>
  <c r="P1627" i="16"/>
  <c r="P1657" i="16"/>
  <c r="AE1979" i="16"/>
  <c r="W1494" i="16"/>
  <c r="P1387" i="16"/>
  <c r="P1816" i="16"/>
  <c r="P1318" i="16"/>
  <c r="L985" i="16"/>
  <c r="L1411" i="16"/>
  <c r="AC150" i="16"/>
  <c r="AC901" i="16"/>
  <c r="W182" i="16"/>
  <c r="L916" i="16"/>
  <c r="AA1551" i="16"/>
  <c r="P555" i="16"/>
  <c r="Y1338" i="16"/>
  <c r="N1877" i="16"/>
  <c r="Y1697" i="16"/>
  <c r="Y908" i="16"/>
  <c r="U1594" i="16"/>
  <c r="P519" i="16"/>
  <c r="L695" i="16"/>
  <c r="AA125" i="16"/>
  <c r="AC1663" i="16"/>
  <c r="N1169" i="16"/>
  <c r="U1869" i="16"/>
  <c r="N1417" i="16"/>
  <c r="P1396" i="16"/>
  <c r="Y1677" i="16"/>
  <c r="AC1187" i="16"/>
  <c r="N1075" i="16"/>
  <c r="L1298" i="16"/>
  <c r="Y1048" i="16"/>
  <c r="N544" i="16"/>
  <c r="L2054" i="16"/>
  <c r="U1651" i="16"/>
  <c r="L1255" i="16"/>
  <c r="Y1660" i="16"/>
  <c r="L1496" i="16"/>
  <c r="AC913" i="16"/>
  <c r="L1100" i="16"/>
  <c r="AA614" i="16"/>
  <c r="P986" i="16"/>
  <c r="AA1297" i="16"/>
  <c r="W837" i="16"/>
  <c r="L1581" i="16"/>
  <c r="Y1053" i="16"/>
  <c r="AA740" i="16"/>
  <c r="P1093" i="16"/>
  <c r="AA949" i="16"/>
  <c r="AC1682" i="16"/>
  <c r="N247" i="16"/>
  <c r="Y434" i="16"/>
  <c r="P1298" i="16"/>
  <c r="AA1026" i="16"/>
  <c r="P493" i="16"/>
  <c r="P1593" i="16"/>
  <c r="P1531" i="16"/>
  <c r="P1495" i="16"/>
  <c r="N1445" i="16"/>
  <c r="AC1547" i="16"/>
  <c r="L2003" i="16"/>
  <c r="N1924" i="16"/>
  <c r="U1914" i="16"/>
  <c r="N1821" i="16"/>
  <c r="Y2096" i="16"/>
  <c r="AA2106" i="16"/>
  <c r="L1704" i="16"/>
  <c r="AC1879" i="16"/>
  <c r="N952" i="16"/>
  <c r="AA1696" i="16"/>
  <c r="L1910" i="16"/>
  <c r="AA1054" i="16"/>
  <c r="Y1642" i="16"/>
  <c r="W1265" i="16"/>
  <c r="AE1999" i="16"/>
  <c r="AC1637" i="16"/>
  <c r="U949" i="16"/>
  <c r="P1634" i="16"/>
  <c r="U2060" i="16"/>
  <c r="L1674" i="16"/>
  <c r="P2089" i="16"/>
  <c r="U847" i="16"/>
  <c r="AA1055" i="16"/>
  <c r="AC753" i="16"/>
  <c r="P2055" i="16"/>
  <c r="N1638" i="16"/>
  <c r="AC1451" i="16"/>
  <c r="Y1481" i="16"/>
  <c r="W1963" i="16"/>
  <c r="L2138" i="16"/>
  <c r="AC1555" i="16"/>
  <c r="L1589" i="16"/>
  <c r="AA1428" i="16"/>
  <c r="L1469" i="16"/>
  <c r="N1651" i="16"/>
  <c r="Y1298" i="16"/>
  <c r="N752" i="16"/>
  <c r="Y1594" i="16"/>
  <c r="N1774" i="16"/>
  <c r="W1090" i="16"/>
  <c r="N1713" i="16"/>
  <c r="Y1425" i="16"/>
  <c r="Y1625" i="16"/>
  <c r="AC729" i="16"/>
  <c r="L1649" i="16"/>
  <c r="P1420" i="16"/>
  <c r="N1192" i="16"/>
  <c r="N744" i="16"/>
  <c r="AA744" i="16"/>
  <c r="N1347" i="16"/>
  <c r="N957" i="16"/>
  <c r="AE1902" i="16"/>
  <c r="L588" i="16"/>
  <c r="P999" i="16"/>
  <c r="W1676" i="16"/>
  <c r="P1508" i="16"/>
  <c r="AA1711" i="16"/>
  <c r="Y1579" i="16"/>
  <c r="AC1527" i="16"/>
  <c r="N1607" i="16"/>
  <c r="U1902" i="16"/>
  <c r="AA1327" i="16"/>
  <c r="L1373" i="16"/>
  <c r="Y252" i="16"/>
  <c r="P1273" i="16"/>
  <c r="L1291" i="16"/>
  <c r="AC965" i="16"/>
  <c r="U1021" i="16"/>
  <c r="P910" i="16"/>
  <c r="N1246" i="16"/>
  <c r="P1574" i="16"/>
  <c r="L1433" i="16"/>
  <c r="W804" i="16"/>
  <c r="AC1210" i="16"/>
  <c r="P793" i="16"/>
  <c r="Y1684" i="16"/>
  <c r="U1935" i="16"/>
  <c r="AC1689" i="16"/>
  <c r="AC1614" i="16"/>
  <c r="W538" i="16"/>
  <c r="AC1181" i="16"/>
  <c r="AE1987" i="16"/>
  <c r="N1830" i="16"/>
  <c r="AC1480" i="16"/>
  <c r="P1476" i="16"/>
  <c r="U1725" i="16"/>
  <c r="L1913" i="16"/>
  <c r="AC1226" i="16"/>
  <c r="AA1729" i="16"/>
  <c r="Y1565" i="16"/>
  <c r="W1402" i="16"/>
  <c r="P1457" i="16"/>
  <c r="AC1225" i="16"/>
  <c r="P1744" i="16"/>
  <c r="AC985" i="16"/>
  <c r="P1039" i="16"/>
  <c r="W1080" i="16"/>
  <c r="AA660" i="16"/>
  <c r="AA1034" i="16"/>
  <c r="W1024" i="16"/>
  <c r="Y1199" i="16"/>
  <c r="Y987" i="16"/>
  <c r="N1017" i="16"/>
  <c r="N949" i="16"/>
  <c r="AC1572" i="16"/>
  <c r="N521" i="16"/>
  <c r="L1011" i="16"/>
  <c r="Y1362" i="16"/>
  <c r="U1210" i="16"/>
  <c r="AC361" i="16"/>
  <c r="AC1046" i="16"/>
  <c r="L1365" i="16"/>
  <c r="N1828" i="16"/>
  <c r="P1461" i="16"/>
  <c r="U1415" i="16"/>
  <c r="P1109" i="16"/>
  <c r="Y1696" i="16"/>
  <c r="AC783" i="16"/>
  <c r="AA1150" i="16"/>
  <c r="AC1374" i="16"/>
  <c r="Y1336" i="16"/>
  <c r="Y1065" i="16"/>
  <c r="AC990" i="16"/>
  <c r="L1483" i="16"/>
  <c r="N1798" i="16"/>
  <c r="W1493" i="16"/>
  <c r="AC1894" i="16"/>
  <c r="AA1689" i="16"/>
  <c r="AC1907" i="16"/>
  <c r="AA898" i="16"/>
  <c r="N1838" i="16"/>
  <c r="P1189" i="16"/>
  <c r="Y1331" i="16"/>
  <c r="U1067" i="16"/>
  <c r="AA751" i="16"/>
  <c r="L546" i="16"/>
  <c r="Y1514" i="16"/>
  <c r="P207" i="16"/>
  <c r="AC1760" i="16"/>
  <c r="W1270" i="16"/>
  <c r="U1386" i="16"/>
  <c r="W1034" i="16"/>
  <c r="L651" i="16"/>
  <c r="N123" i="16"/>
  <c r="P602" i="16"/>
  <c r="AC1429" i="16"/>
  <c r="P888" i="16"/>
  <c r="N44" i="16"/>
  <c r="AA1215" i="16"/>
  <c r="AA995" i="16"/>
  <c r="Y1688" i="16"/>
  <c r="N399" i="16"/>
  <c r="L1689" i="16"/>
  <c r="N1545" i="16"/>
  <c r="U886" i="16"/>
  <c r="AC532" i="16"/>
  <c r="L1569" i="16"/>
  <c r="AA1117" i="16"/>
  <c r="L1359" i="16"/>
  <c r="Y139" i="16"/>
  <c r="Y2112" i="16"/>
  <c r="AE1826" i="16"/>
  <c r="AA1568" i="16"/>
  <c r="AC1122" i="16"/>
  <c r="N1699" i="16"/>
  <c r="P1646" i="16"/>
  <c r="N1343" i="16"/>
  <c r="AC1002" i="16"/>
  <c r="N658" i="16"/>
  <c r="U1492" i="16"/>
  <c r="AA649" i="16"/>
  <c r="N456" i="16"/>
  <c r="AA1517" i="16"/>
  <c r="P499" i="16"/>
  <c r="U830" i="16"/>
  <c r="P601" i="16"/>
  <c r="U1461" i="16"/>
  <c r="AC1673" i="16"/>
  <c r="AC954" i="16"/>
  <c r="Y1413" i="16"/>
  <c r="U1090" i="16"/>
  <c r="L1679" i="16"/>
  <c r="AC623" i="16"/>
  <c r="N1240" i="16"/>
  <c r="N616" i="16"/>
  <c r="Y923" i="16"/>
  <c r="AC1495" i="16"/>
  <c r="P865" i="16"/>
  <c r="AC1679" i="16"/>
  <c r="L1213" i="16"/>
  <c r="P1432" i="16"/>
  <c r="AE1810" i="16"/>
  <c r="Y1635" i="16"/>
  <c r="W1236" i="16"/>
  <c r="AC1450" i="16"/>
  <c r="L1363" i="16"/>
  <c r="AC1028" i="16"/>
  <c r="W1509" i="16"/>
  <c r="U874" i="16"/>
  <c r="AA1101" i="16"/>
  <c r="P1297" i="16"/>
  <c r="W1448" i="16"/>
  <c r="Y1289" i="16"/>
  <c r="AA749" i="16"/>
  <c r="AA1224" i="16"/>
  <c r="AC628" i="16"/>
  <c r="AA853" i="16"/>
  <c r="L1777" i="16"/>
  <c r="L1699" i="16"/>
  <c r="L1706" i="16"/>
  <c r="Y1176" i="16"/>
  <c r="U1856" i="16"/>
  <c r="AC1557" i="16"/>
  <c r="Y1234" i="16"/>
  <c r="Y1501" i="16"/>
  <c r="N108" i="16"/>
  <c r="AC855" i="16"/>
  <c r="AC1259" i="16"/>
  <c r="AC495" i="16"/>
  <c r="AA548" i="16"/>
  <c r="AA1485" i="16"/>
  <c r="L978" i="16"/>
  <c r="AA1513" i="16"/>
  <c r="Y1408" i="16"/>
  <c r="AA1281" i="16"/>
  <c r="AA279" i="16"/>
  <c r="W582" i="16"/>
  <c r="L1115" i="16"/>
  <c r="AC1026" i="16"/>
  <c r="AA1600" i="16"/>
  <c r="P1621" i="16"/>
  <c r="L521" i="16"/>
  <c r="AC777" i="16"/>
  <c r="P1309" i="16"/>
  <c r="N963" i="16"/>
  <c r="U530" i="16"/>
  <c r="P598" i="16"/>
  <c r="Y114" i="16"/>
  <c r="P806" i="16"/>
  <c r="U1710" i="16"/>
  <c r="AC669" i="16"/>
  <c r="P1102" i="16"/>
  <c r="AA428" i="16"/>
  <c r="Y359" i="16"/>
  <c r="L450" i="16"/>
  <c r="L488" i="16"/>
  <c r="W299" i="16"/>
  <c r="L286" i="16"/>
  <c r="U1298" i="16"/>
  <c r="AC776" i="16"/>
  <c r="P894" i="16"/>
  <c r="N524" i="16"/>
  <c r="N1868" i="16"/>
  <c r="AC2075" i="16"/>
  <c r="W2033" i="16"/>
  <c r="W1994" i="16"/>
  <c r="P1875" i="16"/>
  <c r="N1615" i="16"/>
  <c r="AC2121" i="16"/>
  <c r="AC1531" i="16"/>
  <c r="AA1442" i="16"/>
  <c r="W1868" i="16"/>
  <c r="W1562" i="16"/>
  <c r="P1601" i="16"/>
  <c r="L1580" i="16"/>
  <c r="AC1528" i="16"/>
  <c r="N1746" i="16"/>
  <c r="P1705" i="16"/>
  <c r="N1433" i="16"/>
  <c r="AC1839" i="16"/>
  <c r="W1435" i="16"/>
  <c r="AC942" i="16"/>
  <c r="AA1663" i="16"/>
  <c r="L1715" i="16"/>
  <c r="L1999" i="16"/>
  <c r="N1729" i="16"/>
  <c r="AA522" i="16"/>
  <c r="P1164" i="16"/>
  <c r="U1832" i="16"/>
  <c r="AE1823" i="16"/>
  <c r="AA2091" i="16"/>
  <c r="P1019" i="16"/>
  <c r="U1588" i="16"/>
  <c r="AC693" i="16"/>
  <c r="P1985" i="16"/>
  <c r="L1292" i="16"/>
  <c r="W1898" i="16"/>
  <c r="AA862" i="16"/>
  <c r="AC625" i="16"/>
  <c r="Y1519" i="16"/>
  <c r="AA1275" i="16"/>
  <c r="P1044" i="16"/>
  <c r="AA916" i="16"/>
  <c r="AA1458" i="16"/>
  <c r="L1499" i="16"/>
  <c r="L1302" i="16"/>
  <c r="U1926" i="16"/>
  <c r="U982" i="16"/>
  <c r="AC1912" i="16"/>
  <c r="L1420" i="16"/>
  <c r="P755" i="16"/>
  <c r="N1310" i="16"/>
  <c r="Y1683" i="16"/>
  <c r="W1182" i="16"/>
  <c r="U1574" i="16"/>
  <c r="AC1078" i="16"/>
  <c r="AC1596" i="16"/>
  <c r="L1741" i="16"/>
  <c r="Y911" i="16"/>
  <c r="AC1558" i="16"/>
  <c r="W1835" i="16"/>
  <c r="Y1335" i="16"/>
  <c r="L1125" i="16"/>
  <c r="P2003" i="16"/>
  <c r="Y1581" i="16"/>
  <c r="N1227" i="16"/>
  <c r="AA628" i="16"/>
  <c r="U1582" i="16"/>
  <c r="N1172" i="16"/>
  <c r="AC233" i="16"/>
  <c r="W1419" i="16"/>
  <c r="U1171" i="16"/>
  <c r="U1251" i="16"/>
  <c r="L1448" i="16"/>
  <c r="W1159" i="16"/>
  <c r="Y1453" i="16"/>
  <c r="N562" i="16"/>
  <c r="P1329" i="16"/>
  <c r="Y1203" i="16"/>
  <c r="AC1418" i="16"/>
  <c r="N1679" i="16"/>
  <c r="P1742" i="16"/>
  <c r="W1163" i="16"/>
  <c r="Y1127" i="16"/>
  <c r="Y1276" i="16"/>
  <c r="P1935" i="16"/>
  <c r="N1742" i="16"/>
  <c r="N1993" i="16"/>
  <c r="L1711" i="16"/>
  <c r="N985" i="16"/>
  <c r="P2036" i="16"/>
  <c r="N1876" i="16"/>
  <c r="N546" i="16"/>
  <c r="P1348" i="16"/>
  <c r="P1522" i="16"/>
  <c r="P919" i="16"/>
  <c r="W1219" i="16"/>
  <c r="AC1729" i="16"/>
  <c r="N690" i="16"/>
  <c r="Y1578" i="16"/>
  <c r="N295" i="16"/>
  <c r="N1917" i="16"/>
  <c r="L636" i="16"/>
  <c r="AA1464" i="16"/>
  <c r="W1032" i="16"/>
  <c r="AA1250" i="16"/>
  <c r="N1508" i="16"/>
  <c r="L1026" i="16"/>
  <c r="P1502" i="16"/>
  <c r="L1194" i="16"/>
  <c r="U1167" i="16"/>
  <c r="W1179" i="16"/>
  <c r="P824" i="16"/>
  <c r="Y1549" i="16"/>
  <c r="AA466" i="16"/>
  <c r="U1640" i="16"/>
  <c r="AA2048" i="16"/>
  <c r="P2017" i="16"/>
  <c r="P1720" i="16"/>
  <c r="N1543" i="16"/>
  <c r="L1986" i="16"/>
  <c r="L1742" i="16"/>
  <c r="L1148" i="16"/>
  <c r="L1602" i="16"/>
  <c r="W1208" i="16"/>
  <c r="P403" i="16"/>
  <c r="W2025" i="16"/>
  <c r="AC1178" i="16"/>
  <c r="L953" i="16"/>
  <c r="AA747" i="16"/>
  <c r="N1064" i="16"/>
  <c r="L1554" i="16"/>
  <c r="L785" i="16"/>
  <c r="AA1106" i="16"/>
  <c r="AA1370" i="16"/>
  <c r="N1376" i="16"/>
  <c r="P1177" i="16"/>
  <c r="AA1263" i="16"/>
  <c r="Y1318" i="16"/>
  <c r="L1577" i="16"/>
  <c r="W1398" i="16"/>
  <c r="N773" i="16"/>
  <c r="N1299" i="16"/>
  <c r="AA1287" i="16"/>
  <c r="U1111" i="16"/>
  <c r="N1062" i="16"/>
  <c r="AA1087" i="16"/>
  <c r="AC1278" i="16"/>
  <c r="U1949" i="16"/>
  <c r="W878" i="16"/>
  <c r="W1174" i="16"/>
  <c r="AA884" i="16"/>
  <c r="Y1219" i="16"/>
  <c r="AA991" i="16"/>
  <c r="AC1017" i="16"/>
  <c r="AA1266" i="16"/>
  <c r="N452" i="16"/>
  <c r="AC1263" i="16"/>
  <c r="W1211" i="16"/>
  <c r="N1066" i="16"/>
  <c r="L1077" i="16"/>
  <c r="L957" i="16"/>
  <c r="AA1384" i="16"/>
  <c r="W912" i="16"/>
  <c r="AA1576" i="16"/>
  <c r="W1913" i="16"/>
  <c r="Y937" i="16"/>
  <c r="L641" i="16"/>
  <c r="N1480" i="16"/>
  <c r="AC661" i="16"/>
  <c r="U1206" i="16"/>
  <c r="P449" i="16"/>
  <c r="U153" i="16"/>
  <c r="W1476" i="16"/>
  <c r="L478" i="16"/>
  <c r="P1006" i="16"/>
  <c r="AA1604" i="16"/>
  <c r="Y6" i="16"/>
  <c r="AA230" i="16"/>
  <c r="U954" i="16"/>
  <c r="P1687" i="16"/>
  <c r="AA1654" i="16"/>
  <c r="N894" i="16"/>
  <c r="AC1435" i="16"/>
  <c r="P1399" i="16"/>
  <c r="L1317" i="16"/>
  <c r="W1058" i="16"/>
  <c r="U1079" i="16"/>
  <c r="P1074" i="16"/>
  <c r="AC1413" i="16"/>
  <c r="L508" i="16"/>
  <c r="AA721" i="16"/>
  <c r="N496" i="16"/>
  <c r="L839" i="16"/>
  <c r="N704" i="16"/>
  <c r="Y981" i="16"/>
  <c r="L1049" i="16"/>
  <c r="U792" i="16"/>
  <c r="U1334" i="16"/>
  <c r="AC565" i="16"/>
  <c r="W1877" i="16"/>
  <c r="Y961" i="16"/>
  <c r="AC1486" i="16"/>
  <c r="L1960" i="16"/>
  <c r="N943" i="16"/>
  <c r="N1267" i="16"/>
  <c r="L1424" i="16"/>
  <c r="AA945" i="16"/>
  <c r="P1616" i="16"/>
  <c r="Y1257" i="16"/>
  <c r="AC45" i="16"/>
  <c r="N1132" i="16"/>
  <c r="AE1887" i="16"/>
  <c r="Y1443" i="16"/>
  <c r="AA1103" i="16"/>
  <c r="P1132" i="16"/>
  <c r="L1513" i="16"/>
  <c r="W1600" i="16"/>
  <c r="AA791" i="16"/>
  <c r="Y1582" i="16"/>
  <c r="AC1498" i="16"/>
  <c r="P679" i="16"/>
  <c r="AC850" i="16"/>
  <c r="L1662" i="16"/>
  <c r="N1285" i="16"/>
  <c r="Y1531" i="16"/>
  <c r="AC1423" i="16"/>
  <c r="AE1806" i="16"/>
  <c r="U881" i="16"/>
  <c r="L825" i="16"/>
  <c r="Y830" i="16"/>
  <c r="U1607" i="16"/>
  <c r="U1440" i="16"/>
  <c r="U1339" i="16"/>
  <c r="W1452" i="16"/>
  <c r="U1824" i="16"/>
  <c r="W1569" i="16"/>
  <c r="N2110" i="16"/>
  <c r="N1565" i="16"/>
  <c r="P1444" i="16"/>
  <c r="P1846" i="16"/>
  <c r="N1762" i="16"/>
  <c r="AE1805" i="16"/>
  <c r="W1517" i="16"/>
  <c r="P1435" i="16"/>
  <c r="P1577" i="16"/>
  <c r="Y1490" i="16"/>
  <c r="Y2029" i="16"/>
  <c r="AC631" i="16"/>
  <c r="AC1644" i="16"/>
  <c r="P1520" i="16"/>
  <c r="L1558" i="16"/>
  <c r="AC2036" i="16"/>
  <c r="L2044" i="16"/>
  <c r="AC1726" i="16"/>
  <c r="AA1002" i="16"/>
  <c r="AA953" i="16"/>
  <c r="AA514" i="16"/>
  <c r="L1167" i="16"/>
  <c r="N1248" i="16"/>
  <c r="L1308" i="16"/>
  <c r="L1852" i="16"/>
  <c r="U1586" i="16"/>
  <c r="L1793" i="16"/>
  <c r="U942" i="16"/>
  <c r="L605" i="16"/>
  <c r="N1658" i="16"/>
  <c r="U1716" i="16"/>
  <c r="P2070" i="16"/>
  <c r="N1978" i="16"/>
  <c r="AA1307" i="16"/>
  <c r="L1775" i="16"/>
  <c r="N1344" i="16"/>
  <c r="P1308" i="16"/>
  <c r="AC1381" i="16"/>
  <c r="U1631" i="16"/>
  <c r="N2128" i="16"/>
  <c r="Y1262" i="16"/>
  <c r="P1479" i="16"/>
  <c r="L1651" i="16"/>
  <c r="N1705" i="16"/>
  <c r="L1490" i="16"/>
  <c r="W1297" i="16"/>
  <c r="AC1806" i="16"/>
  <c r="L1162" i="16"/>
  <c r="N1707" i="16"/>
  <c r="W830" i="16"/>
  <c r="AA1318" i="16"/>
  <c r="AA1343" i="16"/>
  <c r="N1463" i="16"/>
  <c r="U1603" i="16"/>
  <c r="U2046" i="16"/>
  <c r="AC2031" i="16"/>
  <c r="AC1311" i="16"/>
  <c r="L1101" i="16"/>
  <c r="N1102" i="16"/>
  <c r="N904" i="16"/>
  <c r="W1540" i="16"/>
  <c r="L1517" i="16"/>
  <c r="L358" i="16"/>
  <c r="P1378" i="16"/>
  <c r="W1386" i="16"/>
  <c r="P1564" i="16"/>
  <c r="P1256" i="16"/>
  <c r="L1355" i="16"/>
  <c r="U867" i="16"/>
  <c r="AC1747" i="16"/>
  <c r="P2015" i="16"/>
  <c r="AC779" i="16"/>
  <c r="AC1604" i="16"/>
  <c r="Y1422" i="16"/>
  <c r="AE1794" i="16"/>
  <c r="N1122" i="16"/>
  <c r="U102" i="16"/>
  <c r="U1550" i="16"/>
  <c r="AA1269" i="16"/>
  <c r="AC1914" i="16"/>
  <c r="N1104" i="16"/>
  <c r="P1411" i="16"/>
  <c r="N1345" i="16"/>
  <c r="W1191" i="16"/>
  <c r="N935" i="16"/>
  <c r="P1625" i="16"/>
  <c r="AC1011" i="16"/>
  <c r="AE1734" i="16"/>
  <c r="AC1993" i="16"/>
  <c r="W1453" i="16"/>
  <c r="N167" i="16"/>
  <c r="AC293" i="16"/>
  <c r="L880" i="16"/>
  <c r="W813" i="16"/>
  <c r="AC946" i="16"/>
  <c r="AC1033" i="16"/>
  <c r="Y734" i="16"/>
  <c r="AA1542" i="16"/>
  <c r="L148" i="16"/>
  <c r="AA662" i="16"/>
  <c r="N45" i="16"/>
  <c r="N1548" i="16"/>
  <c r="AA1058" i="16"/>
  <c r="U977" i="16"/>
  <c r="Y1649" i="16"/>
  <c r="W1330" i="16"/>
  <c r="P1241" i="16"/>
  <c r="Y1589" i="16"/>
  <c r="AE1785" i="16"/>
  <c r="U1242" i="16"/>
  <c r="L425" i="16"/>
  <c r="AA996" i="16"/>
  <c r="N1556" i="16"/>
  <c r="AC557" i="16"/>
  <c r="AC469" i="16"/>
  <c r="P506" i="16"/>
  <c r="AA1314" i="16"/>
  <c r="AC319" i="16"/>
  <c r="Y1541" i="16"/>
  <c r="L1001" i="16"/>
  <c r="Y1295" i="16"/>
  <c r="W1391" i="16"/>
  <c r="AC1388" i="16"/>
  <c r="AA1390" i="16"/>
  <c r="U1528" i="16"/>
  <c r="U1324" i="16"/>
  <c r="AA1450" i="16"/>
  <c r="U1013" i="16"/>
  <c r="L857" i="16"/>
  <c r="AC485" i="16"/>
  <c r="P1320" i="16"/>
  <c r="P1230" i="16"/>
  <c r="AC1149" i="16"/>
  <c r="U1614" i="16"/>
  <c r="Y1622" i="16"/>
  <c r="P199" i="16"/>
  <c r="AA596" i="16"/>
  <c r="W1401" i="16"/>
  <c r="AC1359" i="16"/>
  <c r="P1820" i="16"/>
  <c r="L895" i="16"/>
  <c r="L826" i="16"/>
  <c r="AA1373" i="16"/>
  <c r="U45" i="16"/>
  <c r="U922" i="16"/>
  <c r="U854" i="16"/>
  <c r="AC830" i="16"/>
  <c r="W690" i="16"/>
  <c r="U737" i="16"/>
  <c r="W759" i="16"/>
  <c r="P738" i="16"/>
  <c r="Y644" i="16"/>
  <c r="N753" i="16"/>
  <c r="AC1139" i="16"/>
  <c r="AC1091" i="16"/>
  <c r="AA775" i="16"/>
  <c r="W368" i="16"/>
  <c r="L1737" i="16"/>
  <c r="AA1340" i="16"/>
  <c r="L1343" i="16"/>
  <c r="Y337" i="16"/>
  <c r="L43" i="16"/>
  <c r="U753" i="16"/>
  <c r="L374" i="16"/>
  <c r="P942" i="16"/>
  <c r="N1768" i="16"/>
  <c r="AC1218" i="16"/>
  <c r="AA1595" i="16"/>
  <c r="P395" i="16"/>
  <c r="N1353" i="16"/>
  <c r="W1206" i="16"/>
  <c r="L1443" i="16"/>
  <c r="Y1656" i="16"/>
  <c r="Y1261" i="16"/>
  <c r="P1694" i="16"/>
  <c r="AA1284" i="16"/>
  <c r="AA171" i="16"/>
  <c r="AA734" i="16"/>
  <c r="N759" i="16"/>
  <c r="P922" i="16"/>
  <c r="Y205" i="16"/>
  <c r="Y1006" i="16"/>
  <c r="W1839" i="16"/>
  <c r="Y1085" i="16"/>
  <c r="AA9" i="16"/>
  <c r="L328" i="16"/>
  <c r="N1290" i="16"/>
  <c r="U73" i="16"/>
  <c r="W1609" i="16"/>
  <c r="P443" i="16"/>
  <c r="P839" i="16"/>
  <c r="W1207" i="16"/>
  <c r="Y1524" i="16"/>
  <c r="AC1503" i="16"/>
  <c r="AC773" i="16"/>
  <c r="AC728" i="16"/>
  <c r="N253" i="16"/>
  <c r="N1094" i="16"/>
  <c r="W1062" i="16"/>
  <c r="U481" i="16"/>
  <c r="W1095" i="16"/>
  <c r="N1520" i="16"/>
  <c r="AA1091" i="16"/>
  <c r="P1728" i="16"/>
  <c r="P1615" i="16"/>
  <c r="N938" i="16"/>
  <c r="P1466" i="16"/>
  <c r="Y1026" i="16"/>
  <c r="AC1664" i="16"/>
  <c r="N1264" i="16"/>
  <c r="AA683" i="16"/>
  <c r="W335" i="16"/>
  <c r="N296" i="16"/>
  <c r="N195" i="16"/>
  <c r="AA1267" i="16"/>
  <c r="Y303" i="16"/>
  <c r="AA553" i="16"/>
  <c r="W638" i="16"/>
  <c r="AC555" i="16"/>
  <c r="W315" i="16"/>
  <c r="U293" i="16"/>
  <c r="L1630" i="16"/>
  <c r="Y1370" i="16"/>
  <c r="N499" i="16"/>
  <c r="N868" i="16"/>
  <c r="P725" i="16"/>
  <c r="AA1161" i="16"/>
  <c r="L475" i="16"/>
  <c r="U1227" i="16"/>
  <c r="L483" i="16"/>
  <c r="AA875" i="16"/>
  <c r="P773" i="16"/>
  <c r="AC1548" i="16"/>
  <c r="L339" i="16"/>
  <c r="AC604" i="16"/>
  <c r="L1340" i="16"/>
  <c r="W1371" i="16"/>
  <c r="N1304" i="16"/>
  <c r="AC1569" i="16"/>
  <c r="L117" i="16"/>
  <c r="AA329" i="16"/>
  <c r="Y944" i="16"/>
  <c r="N839" i="16"/>
  <c r="L755" i="16"/>
  <c r="N1490" i="16"/>
  <c r="AA1059" i="16"/>
  <c r="W1063" i="16"/>
  <c r="Y584" i="16"/>
  <c r="L236" i="16"/>
  <c r="L1328" i="16"/>
  <c r="L1102" i="16"/>
  <c r="AA958" i="16"/>
  <c r="L934" i="16"/>
  <c r="AA981" i="16"/>
  <c r="L1014" i="16"/>
  <c r="Y424" i="16"/>
  <c r="P130" i="16"/>
  <c r="Y1282" i="16"/>
  <c r="Y1308" i="16"/>
  <c r="L350" i="16"/>
  <c r="L668" i="16"/>
  <c r="AA1325" i="16"/>
  <c r="AC534" i="16"/>
  <c r="P25" i="16"/>
  <c r="AC1340" i="16"/>
  <c r="AC898" i="16"/>
  <c r="P1517" i="16"/>
  <c r="AA135" i="16"/>
  <c r="Y1189" i="16"/>
  <c r="AA179" i="16"/>
  <c r="AA205" i="16"/>
  <c r="P332" i="16"/>
  <c r="L775" i="16"/>
  <c r="W2091" i="16"/>
  <c r="W343" i="16"/>
  <c r="N384" i="16"/>
  <c r="Y1018" i="16"/>
  <c r="Y1123" i="16"/>
  <c r="W1603" i="16"/>
  <c r="AA1399" i="16"/>
  <c r="W1224" i="16"/>
  <c r="AC955" i="16"/>
  <c r="AC259" i="16"/>
  <c r="U1466" i="16"/>
  <c r="U353" i="16"/>
  <c r="P28" i="16"/>
  <c r="AA560" i="16"/>
  <c r="P1437" i="16"/>
  <c r="N175" i="16"/>
  <c r="L1118" i="16"/>
  <c r="AC612" i="16"/>
  <c r="AA1675" i="16"/>
  <c r="N1474" i="16"/>
  <c r="L1253" i="16"/>
  <c r="AC1083" i="16"/>
  <c r="N721" i="16"/>
  <c r="Y1171" i="16"/>
  <c r="N444" i="16"/>
  <c r="U721" i="16"/>
  <c r="W1462" i="16"/>
  <c r="L535" i="16"/>
  <c r="W258" i="16"/>
  <c r="L886" i="16"/>
  <c r="Y1383" i="16"/>
  <c r="P209" i="16"/>
  <c r="AA1646" i="16"/>
  <c r="AC668" i="16"/>
  <c r="L1031" i="16"/>
  <c r="L783" i="16"/>
  <c r="AA878" i="16"/>
  <c r="Y1253" i="16"/>
  <c r="W1347" i="16"/>
  <c r="L298" i="16"/>
  <c r="L1045" i="16"/>
  <c r="L1129" i="16"/>
  <c r="Y857" i="16"/>
  <c r="W53" i="16"/>
  <c r="N272" i="16"/>
  <c r="AC168" i="16"/>
  <c r="W1044" i="16"/>
  <c r="L1284" i="16"/>
  <c r="P429" i="16"/>
  <c r="Y1452" i="16"/>
  <c r="P1028" i="16"/>
  <c r="P339" i="16"/>
  <c r="L209" i="16"/>
  <c r="P515" i="16"/>
  <c r="AC1366" i="16"/>
  <c r="AC405" i="16"/>
  <c r="L533" i="16"/>
  <c r="L1414" i="16"/>
  <c r="N620" i="16"/>
  <c r="W358" i="16"/>
  <c r="Y1526" i="16"/>
  <c r="Y1003" i="16"/>
  <c r="AA692" i="16"/>
  <c r="P1471" i="16"/>
  <c r="U780" i="16"/>
  <c r="L791" i="16"/>
  <c r="W361" i="16"/>
  <c r="AA105" i="16"/>
  <c r="L131" i="16"/>
  <c r="Y621" i="16"/>
  <c r="AC1024" i="16"/>
  <c r="U35" i="16"/>
  <c r="AA361" i="16"/>
  <c r="AC880" i="16"/>
  <c r="AA34" i="16"/>
  <c r="N140" i="16"/>
  <c r="Y905" i="16"/>
  <c r="U654" i="16"/>
  <c r="U286" i="16"/>
  <c r="U1418" i="16"/>
  <c r="N338" i="16"/>
  <c r="Y412" i="16"/>
  <c r="P588" i="16"/>
  <c r="P1053" i="16"/>
  <c r="P591" i="16"/>
  <c r="AC1152" i="16"/>
  <c r="AA1434" i="16"/>
  <c r="N1257" i="16"/>
  <c r="W957" i="16"/>
  <c r="N765" i="16"/>
  <c r="L731" i="16"/>
  <c r="AA1056" i="16"/>
  <c r="Y1647" i="16"/>
  <c r="N1190" i="16"/>
  <c r="AA492" i="16"/>
  <c r="AC165" i="16"/>
  <c r="AA1148" i="16"/>
  <c r="L75" i="16"/>
  <c r="AA1353" i="16"/>
  <c r="N1319" i="16"/>
  <c r="U487" i="16"/>
  <c r="AC1012" i="16"/>
  <c r="N1514" i="16"/>
  <c r="AC1696" i="16"/>
  <c r="AC940" i="16"/>
  <c r="U760" i="16"/>
  <c r="N142" i="16"/>
  <c r="N421" i="16"/>
  <c r="U1711" i="16"/>
  <c r="W978" i="16"/>
  <c r="L126" i="16"/>
  <c r="AC1615" i="16"/>
  <c r="U740" i="16"/>
  <c r="L883" i="16"/>
  <c r="P470" i="16"/>
  <c r="U1048" i="16"/>
  <c r="P32" i="16"/>
  <c r="AC638" i="16"/>
  <c r="P1554" i="16"/>
  <c r="W1403" i="16"/>
  <c r="AA248" i="16"/>
  <c r="P851" i="16"/>
  <c r="P1311" i="16"/>
  <c r="W1170" i="16"/>
  <c r="Y771" i="16"/>
  <c r="U1691" i="16"/>
  <c r="Y579" i="16"/>
  <c r="W934" i="16"/>
  <c r="W1851" i="16"/>
  <c r="N206" i="16"/>
  <c r="W751" i="16"/>
  <c r="Y20" i="16"/>
  <c r="N115" i="16"/>
  <c r="N997" i="16"/>
  <c r="AC1373" i="16"/>
  <c r="L723" i="16"/>
  <c r="L442" i="16"/>
  <c r="AA714" i="16"/>
  <c r="AC1035" i="16"/>
  <c r="AC743" i="16"/>
  <c r="L709" i="16"/>
  <c r="AA1504" i="16"/>
  <c r="U2150" i="16"/>
  <c r="W1447" i="16"/>
  <c r="U817" i="16"/>
  <c r="P1193" i="16"/>
  <c r="Y1245" i="16"/>
  <c r="P1976" i="16"/>
  <c r="AC1105" i="16"/>
  <c r="P1207" i="16"/>
  <c r="AE1740" i="16"/>
  <c r="AC526" i="16"/>
  <c r="P980" i="16"/>
  <c r="AC1247" i="16"/>
  <c r="AC1041" i="16"/>
  <c r="P1134" i="16"/>
  <c r="L719" i="16"/>
  <c r="P282" i="16"/>
  <c r="AA586" i="16"/>
  <c r="Y1001" i="16"/>
  <c r="L466" i="16"/>
  <c r="P917" i="16"/>
  <c r="P1030" i="16"/>
  <c r="P355" i="16"/>
  <c r="L1252" i="16"/>
  <c r="P585" i="16"/>
  <c r="U483" i="16"/>
  <c r="W795" i="16"/>
  <c r="N803" i="16"/>
  <c r="L1769" i="16"/>
  <c r="L692" i="16"/>
  <c r="P800" i="16"/>
  <c r="AE1733" i="16"/>
  <c r="AC769" i="16"/>
  <c r="AC1756" i="16"/>
  <c r="L226" i="16"/>
  <c r="AC719" i="16"/>
  <c r="AC1465" i="16"/>
  <c r="AC1372" i="16"/>
  <c r="N891" i="16"/>
  <c r="Y862" i="16"/>
  <c r="W133" i="16"/>
  <c r="P531" i="16"/>
  <c r="Y146" i="16"/>
  <c r="L1232" i="16"/>
  <c r="W1535" i="16"/>
  <c r="AA1380" i="16"/>
  <c r="L1275" i="16"/>
  <c r="AA331" i="16"/>
  <c r="W1800" i="16"/>
  <c r="Y237" i="16"/>
  <c r="U2116" i="16"/>
  <c r="L1485" i="16"/>
  <c r="U1658" i="16"/>
  <c r="AE1752" i="16"/>
  <c r="Y2046" i="16"/>
  <c r="P1979" i="16"/>
  <c r="N2008" i="16"/>
  <c r="AE1985" i="16"/>
  <c r="P1696" i="16"/>
  <c r="W1709" i="16"/>
  <c r="AA1199" i="16"/>
  <c r="AC1106" i="16"/>
  <c r="P1605" i="16"/>
  <c r="P613" i="16"/>
  <c r="AC201" i="16"/>
  <c r="AC1295" i="16"/>
  <c r="L849" i="16"/>
  <c r="AC1457" i="16"/>
  <c r="U796" i="16"/>
  <c r="N896" i="16"/>
  <c r="Y1469" i="16"/>
  <c r="Y956" i="16"/>
  <c r="L1444" i="16"/>
  <c r="N1496" i="16"/>
  <c r="AC1010" i="16"/>
  <c r="AC1072" i="16"/>
  <c r="W1977" i="16"/>
  <c r="P1393" i="16"/>
  <c r="N1180" i="16"/>
  <c r="N1252" i="16"/>
  <c r="AC1876" i="16"/>
  <c r="P1908" i="16"/>
  <c r="Y1192" i="16"/>
  <c r="W1949" i="16"/>
  <c r="P1127" i="16"/>
  <c r="AC1485" i="16"/>
  <c r="AA1121" i="16"/>
  <c r="Y928" i="16"/>
  <c r="AA1046" i="16"/>
  <c r="W1354" i="16"/>
  <c r="L1124" i="16"/>
  <c r="U1642" i="16"/>
  <c r="AA1065" i="16"/>
  <c r="AC1706" i="16"/>
  <c r="L1941" i="16"/>
  <c r="AC805" i="16"/>
  <c r="AA1726" i="16"/>
  <c r="AE2007" i="16"/>
  <c r="P1671" i="16"/>
  <c r="P1239" i="16"/>
  <c r="AC1036" i="16"/>
  <c r="L2010" i="16"/>
  <c r="Y915" i="16"/>
  <c r="P1450" i="16"/>
  <c r="W1636" i="16"/>
  <c r="AC1424" i="16"/>
  <c r="L1510" i="16"/>
  <c r="L1592" i="16"/>
  <c r="AC1598" i="16"/>
  <c r="Y1310" i="16"/>
  <c r="AC888" i="16"/>
  <c r="P1951" i="16"/>
  <c r="AC789" i="16"/>
  <c r="L1260" i="16"/>
  <c r="AE1777" i="16"/>
  <c r="U774" i="16"/>
  <c r="L921" i="16"/>
  <c r="AC1705" i="16"/>
  <c r="AC297" i="16"/>
  <c r="Y1170" i="16"/>
  <c r="P1270" i="16"/>
  <c r="AC998" i="16"/>
  <c r="N814" i="16"/>
  <c r="P1781" i="16"/>
  <c r="AA2076" i="16"/>
  <c r="P331" i="16"/>
  <c r="P1251" i="16"/>
  <c r="AE1808" i="16"/>
  <c r="W1029" i="16"/>
  <c r="L1186" i="16"/>
  <c r="AA1366" i="16"/>
  <c r="AC277" i="16"/>
  <c r="P1342" i="16"/>
  <c r="Y1516" i="16"/>
  <c r="P818" i="16"/>
  <c r="P1494" i="16"/>
  <c r="N1461" i="16"/>
  <c r="U1496" i="16"/>
  <c r="N1339" i="16"/>
  <c r="L544" i="16"/>
  <c r="AC875" i="16"/>
  <c r="L306" i="16"/>
  <c r="Y1540" i="16"/>
  <c r="AA1475" i="16"/>
  <c r="N1272" i="16"/>
  <c r="W483" i="16"/>
  <c r="AC1789" i="16"/>
  <c r="L515" i="16"/>
  <c r="U1657" i="16"/>
  <c r="AE1909" i="16"/>
  <c r="Y379" i="16"/>
  <c r="Y1271" i="16"/>
  <c r="AA720" i="16"/>
  <c r="U1508" i="16"/>
  <c r="AC866" i="16"/>
  <c r="U1322" i="16"/>
  <c r="L1702" i="16"/>
  <c r="AC1368" i="16"/>
  <c r="AA1179" i="16"/>
  <c r="AC369" i="16"/>
  <c r="L1573" i="16"/>
  <c r="AC362" i="16"/>
  <c r="N778" i="16"/>
  <c r="U1581" i="16"/>
  <c r="P215" i="16"/>
  <c r="L1273" i="16"/>
  <c r="L337" i="16"/>
  <c r="W1185" i="16"/>
  <c r="AA631" i="16"/>
  <c r="N633" i="16"/>
  <c r="P433" i="16"/>
  <c r="P314" i="16"/>
  <c r="P1572" i="16"/>
  <c r="P768" i="16"/>
  <c r="W1740" i="16"/>
  <c r="AA531" i="16"/>
  <c r="AC863" i="16"/>
  <c r="AA402" i="16"/>
  <c r="AA567" i="16"/>
  <c r="P1371" i="16"/>
  <c r="W463" i="16"/>
  <c r="Y748" i="16"/>
  <c r="AA102" i="16"/>
  <c r="N1860" i="16"/>
  <c r="W1524" i="16"/>
  <c r="N1763" i="16"/>
  <c r="N1074" i="16"/>
  <c r="W1896" i="16"/>
  <c r="L1294" i="16"/>
  <c r="Y1491" i="16"/>
  <c r="P1276" i="16"/>
  <c r="Y1714" i="16"/>
  <c r="Y1388" i="16"/>
  <c r="P1374" i="16"/>
  <c r="AC519" i="16"/>
  <c r="N1199" i="16"/>
  <c r="AC784" i="16"/>
  <c r="L90" i="16"/>
  <c r="U6" i="16"/>
  <c r="W991" i="16"/>
  <c r="AC1289" i="16"/>
  <c r="Y1221" i="16"/>
  <c r="L334" i="16"/>
  <c r="Y806" i="16"/>
  <c r="U522" i="16"/>
  <c r="AC831" i="16"/>
  <c r="AC742" i="16"/>
  <c r="U841" i="16"/>
  <c r="AA1191" i="16"/>
  <c r="N243" i="16"/>
  <c r="U373" i="16"/>
  <c r="L1216" i="16"/>
  <c r="N369" i="16"/>
  <c r="AC868" i="16"/>
  <c r="U2154" i="16"/>
  <c r="L1223" i="16"/>
  <c r="L637" i="16"/>
  <c r="AC1230" i="16"/>
  <c r="P665" i="16"/>
  <c r="W1552" i="16"/>
  <c r="N1259" i="16"/>
  <c r="Y1466" i="16"/>
  <c r="L1367" i="16"/>
  <c r="W602" i="16"/>
  <c r="AA1349" i="16"/>
  <c r="AC539" i="16"/>
  <c r="L220" i="16"/>
  <c r="L547" i="16"/>
  <c r="U1024" i="16"/>
  <c r="L1068" i="16"/>
  <c r="AC1128" i="16"/>
  <c r="Y876" i="16"/>
  <c r="W1359" i="16"/>
  <c r="Y176" i="16"/>
  <c r="AA609" i="16"/>
  <c r="Y33" i="16"/>
  <c r="N350" i="16"/>
  <c r="W152" i="16"/>
  <c r="Y172" i="16"/>
  <c r="P977" i="16"/>
  <c r="P571" i="16"/>
  <c r="P1238" i="16"/>
  <c r="N795" i="16"/>
  <c r="P1362" i="16"/>
  <c r="L1870" i="16"/>
  <c r="W1479" i="16"/>
  <c r="N1793" i="16"/>
  <c r="L991" i="16"/>
  <c r="Y1025" i="16"/>
  <c r="W1436" i="16"/>
  <c r="U1042" i="16"/>
  <c r="L878" i="16"/>
  <c r="W1342" i="16"/>
  <c r="W1030" i="16"/>
  <c r="L795" i="16"/>
  <c r="P1152" i="16"/>
  <c r="N1672" i="16"/>
  <c r="P1350" i="16"/>
  <c r="L873" i="16"/>
  <c r="N1263" i="16"/>
  <c r="AA343" i="16"/>
  <c r="U1740" i="16"/>
  <c r="U1053" i="16"/>
  <c r="L612" i="16"/>
  <c r="L607" i="16"/>
  <c r="U1058" i="16"/>
  <c r="AA657" i="16"/>
  <c r="AC1376" i="16"/>
  <c r="AA375" i="16"/>
  <c r="AA453" i="16"/>
  <c r="P791" i="16"/>
  <c r="AA1107" i="16"/>
  <c r="AA1425" i="16"/>
  <c r="N1239" i="16"/>
  <c r="N840" i="16"/>
  <c r="Y94" i="16"/>
  <c r="W550" i="16"/>
  <c r="AA456" i="16"/>
  <c r="AA1293" i="16"/>
  <c r="W1311" i="16"/>
  <c r="Y1706" i="16"/>
  <c r="P595" i="16"/>
  <c r="P406" i="16"/>
  <c r="N1367" i="16"/>
  <c r="P167" i="16"/>
  <c r="L1578" i="16"/>
  <c r="W1313" i="16"/>
  <c r="AC1603" i="16"/>
  <c r="U1134" i="16"/>
  <c r="W1343" i="16"/>
  <c r="P622" i="16"/>
  <c r="U1127" i="16"/>
  <c r="U1872" i="16"/>
  <c r="P887" i="16"/>
  <c r="P547" i="16"/>
  <c r="Y1556" i="16"/>
  <c r="L740" i="16"/>
  <c r="AC1658" i="16"/>
  <c r="L1150" i="16"/>
  <c r="L683" i="16"/>
  <c r="AA1470" i="16"/>
  <c r="AA641" i="16"/>
  <c r="AA1001" i="16"/>
  <c r="P99" i="16"/>
  <c r="N512" i="16"/>
  <c r="AC1819" i="16"/>
  <c r="P1041" i="16"/>
  <c r="Y1142" i="16"/>
  <c r="AA1115" i="16"/>
  <c r="L434" i="16"/>
  <c r="AC563" i="16"/>
  <c r="U222" i="16"/>
  <c r="Y820" i="16"/>
  <c r="P1246" i="16"/>
  <c r="Y1458" i="16"/>
  <c r="AA1021" i="16"/>
  <c r="U842" i="16"/>
  <c r="P748" i="16"/>
  <c r="U983" i="16"/>
  <c r="AA893" i="16"/>
  <c r="W996" i="16"/>
  <c r="W985" i="16"/>
  <c r="AA761" i="16"/>
  <c r="P870" i="16"/>
  <c r="U809" i="16"/>
  <c r="Y69" i="16"/>
  <c r="L444" i="16"/>
  <c r="W793" i="16"/>
  <c r="N579" i="16"/>
  <c r="W456" i="16"/>
  <c r="Y175" i="16"/>
  <c r="P702" i="16"/>
  <c r="N196" i="16"/>
  <c r="AA1440" i="16"/>
  <c r="Y1230" i="16"/>
  <c r="W394" i="16"/>
  <c r="AC263" i="16"/>
  <c r="L997" i="16"/>
  <c r="N845" i="16"/>
  <c r="Y113" i="16"/>
  <c r="W123" i="16"/>
  <c r="W854" i="16"/>
  <c r="Y2093" i="16"/>
  <c r="AC531" i="16"/>
  <c r="L2028" i="16"/>
  <c r="P448" i="16"/>
  <c r="U1527" i="16"/>
  <c r="AC1404" i="16"/>
  <c r="L269" i="16"/>
  <c r="N1994" i="16"/>
  <c r="L914" i="16"/>
  <c r="AC550" i="16"/>
  <c r="Y1352" i="16"/>
  <c r="U468" i="16"/>
  <c r="P743" i="16"/>
  <c r="U1510" i="16"/>
  <c r="L1112" i="16"/>
  <c r="P254" i="16"/>
  <c r="W1611" i="16"/>
  <c r="L363" i="16"/>
  <c r="W55" i="16"/>
  <c r="AC910" i="16"/>
  <c r="W997" i="16"/>
  <c r="P93" i="16"/>
  <c r="L1354" i="16"/>
  <c r="L1135" i="16"/>
  <c r="U1694" i="16"/>
  <c r="AC892" i="16"/>
  <c r="Y230" i="16"/>
  <c r="N1201" i="16"/>
  <c r="AC393" i="16"/>
  <c r="L1397" i="16"/>
  <c r="U2048" i="16"/>
  <c r="N1298" i="16"/>
  <c r="Y329" i="16"/>
  <c r="AC544" i="16"/>
  <c r="L819" i="16"/>
  <c r="P1015" i="16"/>
  <c r="AA254" i="16"/>
  <c r="Y914" i="16"/>
  <c r="AC384" i="16"/>
  <c r="N561" i="16"/>
  <c r="AA755" i="16"/>
  <c r="AA210" i="16"/>
  <c r="P241" i="16"/>
  <c r="U1475" i="16"/>
  <c r="P415" i="16"/>
  <c r="AC367" i="16"/>
  <c r="Y399" i="16"/>
  <c r="P938" i="16"/>
  <c r="W77" i="16"/>
  <c r="Y34" i="16"/>
  <c r="W113" i="16"/>
  <c r="P909" i="16"/>
  <c r="W693" i="16"/>
  <c r="U825" i="16"/>
  <c r="N57" i="16"/>
  <c r="Y550" i="16"/>
  <c r="AC756" i="16"/>
  <c r="W272" i="16"/>
  <c r="N76" i="16"/>
  <c r="P597" i="16"/>
  <c r="W1382" i="16"/>
  <c r="L618" i="16"/>
  <c r="Y1554" i="16"/>
  <c r="W1037" i="16"/>
  <c r="W1025" i="16"/>
  <c r="W1614" i="16"/>
  <c r="N683" i="16"/>
  <c r="N1301" i="16"/>
  <c r="W681" i="16"/>
  <c r="AA1497" i="16"/>
  <c r="P1206" i="16"/>
  <c r="Y1553" i="16"/>
  <c r="N1147" i="16"/>
  <c r="N192" i="16"/>
  <c r="AC1822" i="16"/>
  <c r="AA1382" i="16"/>
  <c r="AA245" i="16"/>
  <c r="W432" i="16"/>
  <c r="Y1313" i="16"/>
  <c r="AA739" i="16"/>
  <c r="AA1092" i="16"/>
  <c r="W1353" i="16"/>
  <c r="AA774" i="16"/>
  <c r="N1387" i="16"/>
  <c r="L1519" i="16"/>
  <c r="U1742" i="16"/>
  <c r="N820" i="16"/>
  <c r="U1016" i="16"/>
  <c r="U814" i="16"/>
  <c r="N551" i="16"/>
  <c r="Y608" i="16"/>
  <c r="AC1203" i="16"/>
  <c r="AA162" i="16"/>
  <c r="W217" i="16"/>
  <c r="P838" i="16"/>
  <c r="L138" i="16"/>
  <c r="AA176" i="16"/>
  <c r="AC1022" i="16"/>
  <c r="U179" i="16"/>
  <c r="Y1354" i="16"/>
  <c r="Y507" i="16"/>
  <c r="L891" i="16"/>
  <c r="U1530" i="16"/>
  <c r="U1119" i="16"/>
  <c r="AA24" i="16"/>
  <c r="W1287" i="16"/>
  <c r="AC885" i="16"/>
  <c r="AC1325" i="16"/>
  <c r="W1257" i="16"/>
  <c r="AA839" i="16"/>
  <c r="Y322" i="16"/>
  <c r="Y760" i="16"/>
  <c r="L26" i="16"/>
  <c r="N585" i="16"/>
  <c r="L1337" i="16"/>
  <c r="AA618" i="16"/>
  <c r="U1794" i="16"/>
  <c r="L1000" i="16"/>
  <c r="U618" i="16"/>
  <c r="L191" i="16"/>
  <c r="N808" i="16"/>
  <c r="P756" i="16"/>
  <c r="W25" i="16"/>
  <c r="Y263" i="16"/>
  <c r="AC396" i="16"/>
  <c r="AC401" i="16"/>
  <c r="U962" i="16"/>
  <c r="L234" i="16"/>
  <c r="N1389" i="16"/>
  <c r="P1473" i="16"/>
  <c r="L1345" i="16"/>
  <c r="U1884" i="16"/>
  <c r="Y839" i="16"/>
  <c r="L248" i="16"/>
  <c r="N1366" i="16"/>
  <c r="N1649" i="16"/>
  <c r="L583" i="16"/>
  <c r="U1029" i="16"/>
  <c r="U1083" i="16"/>
  <c r="W632" i="16"/>
  <c r="W1820" i="16"/>
  <c r="P577" i="16"/>
  <c r="AC1186" i="16"/>
  <c r="Y892" i="16"/>
  <c r="L1188" i="16"/>
  <c r="P970" i="16"/>
  <c r="L1555" i="16"/>
  <c r="N18" i="16"/>
  <c r="AA489" i="16"/>
  <c r="N1549" i="16"/>
  <c r="Y191" i="16"/>
  <c r="N596" i="16"/>
  <c r="Y812" i="16"/>
  <c r="U1031" i="16"/>
  <c r="U1420" i="16"/>
  <c r="Y409" i="16"/>
  <c r="U1646" i="16"/>
  <c r="L599" i="16"/>
  <c r="U138" i="16"/>
  <c r="W1315" i="16"/>
  <c r="Y619" i="16"/>
  <c r="W121" i="16"/>
  <c r="P848" i="16"/>
  <c r="Y432" i="16"/>
  <c r="U1403" i="16"/>
  <c r="AA463" i="16"/>
  <c r="AA572" i="16"/>
  <c r="L510" i="16"/>
  <c r="W999" i="16"/>
  <c r="AA869" i="16"/>
  <c r="W990" i="16"/>
  <c r="L1700" i="16"/>
  <c r="Y875" i="16"/>
  <c r="AC879" i="16"/>
  <c r="AA378" i="16"/>
  <c r="Y341" i="16"/>
  <c r="AC1188" i="16"/>
  <c r="U32" i="16"/>
  <c r="L551" i="16"/>
  <c r="L1525" i="16"/>
  <c r="U1465" i="16"/>
  <c r="P229" i="16"/>
  <c r="AA832" i="16"/>
  <c r="Y374" i="16"/>
  <c r="W1536" i="16"/>
  <c r="W132" i="16"/>
  <c r="P342" i="16"/>
  <c r="U1750" i="16"/>
  <c r="L45" i="16"/>
  <c r="U473" i="16"/>
  <c r="U3" i="16"/>
  <c r="AC334" i="16"/>
  <c r="Y833" i="16"/>
  <c r="P935" i="16"/>
  <c r="AC862" i="16"/>
  <c r="U1591" i="16"/>
  <c r="Y1430" i="16"/>
  <c r="W601" i="16"/>
  <c r="U902" i="16"/>
  <c r="AC374" i="16"/>
  <c r="N703" i="16"/>
  <c r="W1031" i="16"/>
  <c r="Y557" i="16"/>
  <c r="AA1052" i="16"/>
  <c r="P1170" i="16"/>
  <c r="Y902" i="16"/>
  <c r="L380" i="16"/>
  <c r="L1104" i="16"/>
  <c r="AC1647" i="16"/>
  <c r="W437" i="16"/>
  <c r="P447" i="16"/>
  <c r="Y1229" i="16"/>
  <c r="W1298" i="16"/>
  <c r="AA1375" i="16"/>
  <c r="N1901" i="16"/>
  <c r="N920" i="16"/>
  <c r="AC976" i="16"/>
  <c r="L1092" i="16"/>
  <c r="U1121" i="16"/>
  <c r="AC1920" i="16"/>
  <c r="N503" i="16"/>
  <c r="L2072" i="16"/>
  <c r="N1183" i="16"/>
  <c r="Y1256" i="16"/>
  <c r="P1656" i="16"/>
  <c r="W766" i="16"/>
  <c r="W2020" i="16"/>
  <c r="Y1507" i="16"/>
  <c r="L1234" i="16"/>
  <c r="AC2013" i="16"/>
  <c r="U1850" i="16"/>
  <c r="W1052" i="16"/>
  <c r="AA1369" i="16"/>
  <c r="P766" i="16"/>
  <c r="P1084" i="16"/>
  <c r="P1550" i="16"/>
  <c r="W1015" i="16"/>
  <c r="AA1630" i="16"/>
  <c r="L1327" i="16"/>
  <c r="P875" i="16"/>
  <c r="AC255" i="16"/>
  <c r="N1440" i="16"/>
  <c r="AA1724" i="16"/>
  <c r="N1754" i="16"/>
  <c r="N1260" i="16"/>
  <c r="Y931" i="16"/>
  <c r="W1373" i="16"/>
  <c r="Y939" i="16"/>
  <c r="P1524" i="16"/>
  <c r="L1385" i="16"/>
  <c r="L2035" i="16"/>
  <c r="L1641" i="16"/>
  <c r="AC986" i="16"/>
  <c r="AA1638" i="16"/>
  <c r="Y1586" i="16"/>
  <c r="L1178" i="16"/>
  <c r="N862" i="16"/>
  <c r="AC1236" i="16"/>
  <c r="Y1503" i="16"/>
  <c r="L1344" i="16"/>
  <c r="U552" i="16"/>
  <c r="Y1363" i="16"/>
  <c r="AC1745" i="16"/>
  <c r="AA1341" i="16"/>
  <c r="AC1608" i="16"/>
  <c r="N1843" i="16"/>
  <c r="N560" i="16"/>
  <c r="AA1008" i="16"/>
  <c r="L1460" i="16"/>
  <c r="L1183" i="16"/>
  <c r="N1269" i="16"/>
  <c r="AA1482" i="16"/>
  <c r="Y1608" i="16"/>
  <c r="Y1385" i="16"/>
  <c r="N1683" i="16"/>
  <c r="N1425" i="16"/>
  <c r="N931" i="16"/>
  <c r="L596" i="16"/>
  <c r="Y1227" i="16"/>
  <c r="N709" i="16"/>
  <c r="U1561" i="16"/>
  <c r="P1431" i="16"/>
  <c r="N563" i="16"/>
  <c r="AA1134" i="16"/>
  <c r="L1224" i="16"/>
  <c r="L1383" i="16"/>
  <c r="P1991" i="16"/>
  <c r="P1669" i="16"/>
  <c r="L951" i="16"/>
  <c r="AC843" i="16"/>
  <c r="L897" i="16"/>
  <c r="AC1583" i="16"/>
  <c r="L977" i="16"/>
  <c r="AC1737" i="16"/>
  <c r="W1687" i="16"/>
  <c r="AA314" i="16"/>
  <c r="L866" i="16"/>
  <c r="W646" i="16"/>
  <c r="Y834" i="16"/>
  <c r="AC791" i="16"/>
  <c r="L1552" i="16"/>
  <c r="L1099" i="16"/>
  <c r="P1167" i="16"/>
  <c r="P1380" i="16"/>
  <c r="N755" i="16"/>
  <c r="AC501" i="16"/>
  <c r="AC1287" i="16"/>
  <c r="AA990" i="16"/>
  <c r="W639" i="16"/>
  <c r="W2052" i="16"/>
  <c r="U225" i="16"/>
  <c r="W1367" i="16"/>
  <c r="AA789" i="16"/>
  <c r="N568" i="16"/>
  <c r="W956" i="16"/>
  <c r="AA650" i="16"/>
  <c r="P362" i="16"/>
  <c r="P925" i="16"/>
  <c r="AC1735" i="16"/>
  <c r="AC142" i="16"/>
  <c r="N1559" i="16"/>
  <c r="W1934" i="16"/>
  <c r="W969" i="16"/>
  <c r="AC1005" i="16"/>
  <c r="P1505" i="16"/>
  <c r="N1297" i="16"/>
  <c r="AC1481" i="16"/>
  <c r="AC118" i="16"/>
  <c r="Y1237" i="16"/>
  <c r="L707" i="16"/>
  <c r="P1060" i="16"/>
  <c r="N580" i="16"/>
  <c r="AA688" i="16"/>
  <c r="W786" i="16"/>
  <c r="P1203" i="16"/>
  <c r="W1564" i="16"/>
  <c r="W1165" i="16"/>
  <c r="AC1579" i="16"/>
  <c r="AA698" i="16"/>
  <c r="L939" i="16"/>
  <c r="U752" i="16"/>
  <c r="L689" i="16"/>
  <c r="AA827" i="16"/>
  <c r="Y732" i="16"/>
  <c r="W1761" i="16"/>
  <c r="N852" i="16"/>
  <c r="N509" i="16"/>
  <c r="L956" i="16"/>
  <c r="N1431" i="16"/>
  <c r="U725" i="16"/>
  <c r="U5" i="16"/>
  <c r="AA1016" i="16"/>
  <c r="U1019" i="16"/>
  <c r="Y1669" i="16"/>
  <c r="P354" i="16"/>
  <c r="U1095" i="16"/>
  <c r="W1867" i="16"/>
  <c r="AC579" i="16"/>
  <c r="U1834" i="16"/>
  <c r="P1158" i="16"/>
  <c r="N1321" i="16"/>
  <c r="Y2117" i="16"/>
  <c r="L608" i="16"/>
  <c r="W884" i="16"/>
  <c r="Y417" i="16"/>
  <c r="AA605" i="16"/>
  <c r="W17" i="16"/>
  <c r="N685" i="16"/>
  <c r="N77" i="16"/>
  <c r="AC643" i="16"/>
  <c r="W750" i="16"/>
  <c r="L1010" i="16"/>
  <c r="U67" i="16"/>
  <c r="Y897" i="16"/>
  <c r="U698" i="16"/>
  <c r="AC1264" i="16"/>
  <c r="AC861" i="16"/>
  <c r="P936" i="16"/>
  <c r="L107" i="16"/>
  <c r="U2055" i="16"/>
  <c r="U453" i="16"/>
  <c r="AC470" i="16"/>
  <c r="W782" i="16"/>
  <c r="AC1652" i="16"/>
  <c r="P1248" i="16"/>
  <c r="L185" i="16"/>
  <c r="AA1585" i="16"/>
  <c r="L1559" i="16"/>
  <c r="U980" i="16"/>
  <c r="W1510" i="16"/>
  <c r="AA570" i="16"/>
  <c r="Y1607" i="16"/>
  <c r="N770" i="16"/>
  <c r="P858" i="16"/>
  <c r="W310" i="16"/>
  <c r="Y187" i="16"/>
  <c r="AA200" i="16"/>
  <c r="L331" i="16"/>
  <c r="W929" i="16"/>
  <c r="N1148" i="16"/>
  <c r="AA414" i="16"/>
  <c r="L1622" i="16"/>
  <c r="Y938" i="16"/>
  <c r="Y144" i="16"/>
  <c r="U382" i="16"/>
  <c r="AC365" i="16"/>
  <c r="AA199" i="16"/>
  <c r="AC1073" i="16"/>
  <c r="L1141" i="16"/>
  <c r="Y1523" i="16"/>
  <c r="U1214" i="16"/>
  <c r="U953" i="16"/>
  <c r="N1320" i="16"/>
  <c r="L655" i="16"/>
  <c r="U1261" i="16"/>
  <c r="W1993" i="16"/>
  <c r="AA806" i="16"/>
  <c r="N2103" i="16"/>
  <c r="P1551" i="16"/>
  <c r="AA1493" i="16"/>
  <c r="AA525" i="16"/>
  <c r="N651" i="16"/>
  <c r="N858" i="16"/>
  <c r="P832" i="16"/>
  <c r="AA1170" i="16"/>
  <c r="AC785" i="16"/>
  <c r="L1012" i="16"/>
  <c r="W462" i="16"/>
  <c r="Y878" i="16"/>
  <c r="W1243" i="16"/>
  <c r="AA88" i="16"/>
  <c r="U948" i="16"/>
  <c r="W2067" i="16"/>
  <c r="P872" i="16"/>
  <c r="AA150" i="16"/>
  <c r="U679" i="16"/>
  <c r="AA184" i="16"/>
  <c r="AC811" i="16"/>
  <c r="W1131" i="16"/>
  <c r="U1331" i="16"/>
  <c r="Y628" i="16"/>
  <c r="AA975" i="16"/>
  <c r="N72" i="16"/>
  <c r="U1589" i="16"/>
  <c r="P230" i="16"/>
  <c r="L34" i="16"/>
  <c r="N348" i="16"/>
  <c r="W1009" i="16"/>
  <c r="AA1231" i="16"/>
  <c r="Y1115" i="16"/>
  <c r="AA821" i="16"/>
  <c r="N233" i="16"/>
  <c r="U150" i="16"/>
  <c r="AA201" i="16"/>
  <c r="U1017" i="16"/>
  <c r="N1491" i="16"/>
  <c r="P997" i="16"/>
  <c r="W1573" i="16"/>
  <c r="P1000" i="16"/>
  <c r="AC356" i="16"/>
  <c r="U1413" i="16"/>
  <c r="P579" i="16"/>
  <c r="L673" i="16"/>
  <c r="AC397" i="16"/>
  <c r="L91" i="16"/>
  <c r="N1135" i="16"/>
  <c r="Y317" i="16"/>
  <c r="Y1041" i="16"/>
  <c r="U635" i="16"/>
  <c r="Y1508" i="16"/>
  <c r="N379" i="16"/>
  <c r="N414" i="16"/>
  <c r="P600" i="16"/>
  <c r="U429" i="16"/>
  <c r="AC603" i="16"/>
  <c r="AA959" i="16"/>
  <c r="AC19" i="16"/>
  <c r="AA418" i="16"/>
  <c r="AC60" i="16"/>
  <c r="N179" i="16"/>
  <c r="AA1149" i="16"/>
  <c r="L464" i="16"/>
  <c r="P1400" i="16"/>
  <c r="N968" i="16"/>
  <c r="N861" i="16"/>
  <c r="L1507" i="16"/>
  <c r="W2122" i="16"/>
  <c r="N757" i="16"/>
  <c r="U984" i="16"/>
  <c r="P388" i="16"/>
  <c r="U943" i="16"/>
  <c r="N888" i="16"/>
  <c r="Y222" i="16"/>
  <c r="U599" i="16"/>
  <c r="W1785" i="16"/>
  <c r="U511" i="16"/>
  <c r="N69" i="16"/>
  <c r="P864" i="16"/>
  <c r="L37" i="16"/>
  <c r="AA1209" i="16"/>
  <c r="W1466" i="16"/>
  <c r="P1026" i="16"/>
  <c r="Y220" i="16"/>
  <c r="W1282" i="16"/>
  <c r="AA334" i="16"/>
  <c r="N1429" i="16"/>
  <c r="AA705" i="16"/>
  <c r="W213" i="16"/>
  <c r="L1540" i="16"/>
  <c r="AC962" i="16"/>
  <c r="AC409" i="16"/>
  <c r="AC1607" i="16"/>
  <c r="W710" i="16"/>
  <c r="W1022" i="16"/>
  <c r="Y315" i="16"/>
  <c r="U1282" i="16"/>
  <c r="W853" i="16"/>
  <c r="AA1015" i="16"/>
  <c r="W808" i="16"/>
  <c r="P1535" i="16"/>
  <c r="P618" i="16"/>
  <c r="L622" i="16"/>
  <c r="W1293" i="16"/>
  <c r="AA696" i="16"/>
  <c r="U767" i="16"/>
  <c r="L1313" i="16"/>
  <c r="U228" i="16"/>
  <c r="U1313" i="16"/>
  <c r="W1272" i="16"/>
  <c r="U70" i="16"/>
  <c r="AA966" i="16"/>
  <c r="L852" i="16"/>
  <c r="L712" i="16"/>
  <c r="N1121" i="16"/>
  <c r="U1218" i="16"/>
  <c r="W928" i="16"/>
  <c r="N863" i="16"/>
  <c r="L539" i="16"/>
  <c r="U673" i="16"/>
  <c r="L946" i="16"/>
  <c r="W1260" i="16"/>
  <c r="AA1201" i="16"/>
  <c r="Y350" i="16"/>
  <c r="P750" i="16"/>
  <c r="N902" i="16"/>
  <c r="AC114" i="16"/>
  <c r="Y151" i="16"/>
  <c r="AA1074" i="16"/>
  <c r="W641" i="16"/>
  <c r="U643" i="16"/>
  <c r="N659" i="16"/>
  <c r="Y1641" i="16"/>
  <c r="AA1011" i="16"/>
  <c r="N907" i="16"/>
  <c r="P1182" i="16"/>
  <c r="P1175" i="16"/>
  <c r="Y1023" i="16"/>
  <c r="P335" i="16"/>
  <c r="AA218" i="16"/>
  <c r="AA276" i="16"/>
  <c r="W498" i="16"/>
  <c r="P1313" i="16"/>
  <c r="U653" i="16"/>
  <c r="AC423" i="16"/>
  <c r="AA309" i="16"/>
  <c r="U1767" i="16"/>
  <c r="AA371" i="16"/>
  <c r="AA983" i="16"/>
  <c r="N231" i="16"/>
  <c r="N236" i="16"/>
  <c r="L161" i="16"/>
  <c r="W792" i="16"/>
  <c r="AA382" i="16"/>
  <c r="U103" i="16"/>
  <c r="P398" i="16"/>
  <c r="W1295" i="16"/>
  <c r="N1634" i="16"/>
  <c r="AC1417" i="16"/>
  <c r="AC1233" i="16"/>
  <c r="W904" i="16"/>
  <c r="P1213" i="16"/>
  <c r="W1602" i="16"/>
  <c r="AC140" i="16"/>
  <c r="L180" i="16"/>
  <c r="N1317" i="16"/>
  <c r="W981" i="16"/>
  <c r="W983" i="16"/>
  <c r="W664" i="16"/>
  <c r="Y1520" i="16"/>
  <c r="AA719" i="16"/>
  <c r="AC683" i="16"/>
  <c r="AC1349" i="16"/>
  <c r="L1315" i="16"/>
  <c r="Y992" i="16"/>
  <c r="U1391" i="16"/>
  <c r="U163" i="16"/>
  <c r="AA1508" i="16"/>
  <c r="N1501" i="16"/>
  <c r="AA580" i="16"/>
  <c r="AC1039" i="16"/>
  <c r="U1203" i="16"/>
  <c r="W157" i="16"/>
  <c r="Y1062" i="16"/>
  <c r="U765" i="16"/>
  <c r="U1074" i="16"/>
  <c r="L1381" i="16"/>
  <c r="W1047" i="16"/>
  <c r="AA552" i="16"/>
  <c r="P1328" i="16"/>
  <c r="Y1510" i="16"/>
  <c r="AA1290" i="16"/>
  <c r="Y527" i="16"/>
  <c r="U1283" i="16"/>
  <c r="U1457" i="16"/>
  <c r="AA69" i="16"/>
  <c r="AC73" i="16"/>
  <c r="P141" i="16"/>
  <c r="U139" i="16"/>
  <c r="P44" i="16"/>
  <c r="P313" i="16"/>
  <c r="U171" i="16"/>
  <c r="N1009" i="16"/>
  <c r="U305" i="16"/>
  <c r="U1455" i="16"/>
  <c r="W1790" i="16"/>
  <c r="N164" i="16"/>
  <c r="U1428" i="16"/>
  <c r="N134" i="16"/>
  <c r="W14" i="16"/>
  <c r="W56" i="16"/>
  <c r="L116" i="16"/>
  <c r="U96" i="16"/>
  <c r="Y963" i="16"/>
  <c r="W1267" i="16"/>
  <c r="W76" i="16"/>
  <c r="P169" i="16"/>
  <c r="W290" i="16"/>
  <c r="P1568" i="16"/>
  <c r="AA1069" i="16"/>
  <c r="P1160" i="16"/>
  <c r="P1439" i="16"/>
  <c r="N1867" i="16"/>
  <c r="N939" i="16"/>
  <c r="Y1663" i="16"/>
  <c r="Y999" i="16"/>
  <c r="N1640" i="16"/>
  <c r="L1615" i="16"/>
  <c r="Y1630" i="16"/>
  <c r="P1658" i="16"/>
  <c r="AA2087" i="16"/>
  <c r="W1992" i="16"/>
  <c r="AA1417" i="16"/>
  <c r="AA615" i="16"/>
  <c r="P1492" i="16"/>
  <c r="Y1409" i="16"/>
  <c r="AC1524" i="16"/>
  <c r="Y1021" i="16"/>
  <c r="AA988" i="16"/>
  <c r="AC907" i="16"/>
  <c r="Y1024" i="16"/>
  <c r="AC1406" i="16"/>
  <c r="L1893" i="16"/>
  <c r="W1004" i="16"/>
  <c r="W1650" i="16"/>
  <c r="L1228" i="16"/>
  <c r="L69" i="16"/>
  <c r="U500" i="16"/>
  <c r="N1000" i="16"/>
  <c r="P1526" i="16"/>
  <c r="W1399" i="16"/>
  <c r="N1643" i="16"/>
  <c r="N1787" i="16"/>
  <c r="AA1589" i="16"/>
  <c r="L1636" i="16"/>
  <c r="Y2041" i="16"/>
  <c r="L1495" i="16"/>
  <c r="N1046" i="16"/>
  <c r="L1632" i="16"/>
  <c r="N1256" i="16"/>
  <c r="P1096" i="16"/>
  <c r="AA1192" i="16"/>
  <c r="AC1886" i="16"/>
  <c r="L2097" i="16"/>
  <c r="AC1798" i="16"/>
  <c r="Y1269" i="16"/>
  <c r="P1425" i="16"/>
  <c r="Y2073" i="16"/>
  <c r="AA238" i="16"/>
  <c r="P711" i="16"/>
  <c r="AA1095" i="16"/>
  <c r="W1254" i="16"/>
  <c r="AC1282" i="16"/>
  <c r="P2123" i="16"/>
  <c r="P1120" i="16"/>
  <c r="L1736" i="16"/>
  <c r="L1740" i="16"/>
  <c r="N854" i="16"/>
  <c r="W977" i="16"/>
  <c r="P1151" i="16"/>
  <c r="AC920" i="16"/>
  <c r="N1695" i="16"/>
  <c r="L1501" i="16"/>
  <c r="AC1502" i="16"/>
  <c r="AA642" i="16"/>
  <c r="Y1099" i="16"/>
  <c r="P1180" i="16"/>
  <c r="Y2121" i="16"/>
  <c r="N747" i="16"/>
  <c r="U1091" i="16"/>
  <c r="U788" i="16"/>
  <c r="L1304" i="16"/>
  <c r="AA470" i="16"/>
  <c r="AC1161" i="16"/>
  <c r="P1334" i="16"/>
  <c r="P934" i="16"/>
  <c r="Y1057" i="16"/>
  <c r="N1040" i="16"/>
  <c r="P1122" i="16"/>
  <c r="N1105" i="16"/>
  <c r="L1935" i="16"/>
  <c r="P83" i="16"/>
  <c r="L1598" i="16"/>
  <c r="L1389" i="16"/>
  <c r="N865" i="16"/>
  <c r="L1085" i="16"/>
  <c r="AC597" i="16"/>
  <c r="N1717" i="16"/>
  <c r="N885" i="16"/>
  <c r="AA429" i="16"/>
  <c r="AA298" i="16"/>
  <c r="W1055" i="16"/>
  <c r="N1052" i="16"/>
  <c r="W836" i="16"/>
  <c r="AC278" i="16"/>
  <c r="P1594" i="16"/>
  <c r="P1087" i="16"/>
  <c r="P258" i="16"/>
  <c r="Y642" i="16"/>
  <c r="U426" i="16"/>
  <c r="W1674" i="16"/>
  <c r="Y898" i="16"/>
  <c r="P1438" i="16"/>
  <c r="AC1293" i="16"/>
  <c r="W1124" i="16"/>
  <c r="AC871" i="16"/>
  <c r="P1128" i="16"/>
  <c r="N1278" i="16"/>
  <c r="P1105" i="16"/>
  <c r="AC291" i="16"/>
  <c r="W630" i="16"/>
  <c r="N624" i="16"/>
  <c r="P714" i="16"/>
  <c r="N955" i="16"/>
  <c r="N439" i="16"/>
  <c r="L678" i="16"/>
  <c r="N665" i="16"/>
  <c r="P576" i="16"/>
  <c r="N1500" i="16"/>
  <c r="AC1176" i="16"/>
  <c r="L467" i="16"/>
  <c r="N1110" i="16"/>
  <c r="U145" i="16"/>
  <c r="L1018" i="16"/>
  <c r="U934" i="16"/>
  <c r="Y759" i="16"/>
  <c r="AA1233" i="16"/>
  <c r="Y864" i="16"/>
  <c r="AA597" i="16"/>
  <c r="U376" i="16"/>
  <c r="W484" i="16"/>
  <c r="U1335" i="16"/>
  <c r="AC1659" i="16"/>
  <c r="AA1483" i="16"/>
  <c r="N640" i="16"/>
  <c r="Y1502" i="16"/>
  <c r="W917" i="16"/>
  <c r="U1431" i="16"/>
  <c r="Y1495" i="16"/>
  <c r="W1532" i="16"/>
  <c r="W1186" i="16"/>
  <c r="U880" i="16"/>
  <c r="N1560" i="16"/>
  <c r="L553" i="16"/>
  <c r="AC924" i="16"/>
  <c r="U109" i="16"/>
  <c r="AC370" i="16"/>
  <c r="N317" i="16"/>
  <c r="L1262" i="16"/>
  <c r="L730" i="16"/>
  <c r="L1025" i="16"/>
  <c r="N594" i="16"/>
  <c r="P358" i="16"/>
  <c r="P226" i="16"/>
  <c r="L818" i="16"/>
  <c r="U1268" i="16"/>
  <c r="N1029" i="16"/>
  <c r="AA1037" i="16"/>
  <c r="N324" i="16"/>
  <c r="P557" i="16"/>
  <c r="AC738" i="16"/>
  <c r="L908" i="16"/>
  <c r="N438" i="16"/>
  <c r="AC566" i="16"/>
  <c r="U1877" i="16"/>
  <c r="AC1641" i="16"/>
  <c r="AC1501" i="16"/>
  <c r="P1201" i="16"/>
  <c r="N1253" i="16"/>
  <c r="N329" i="16"/>
  <c r="N577" i="16"/>
  <c r="N127" i="16"/>
  <c r="AC1322" i="16"/>
  <c r="AA1359" i="16"/>
  <c r="N311" i="16"/>
  <c r="Y795" i="16"/>
  <c r="N498" i="16"/>
  <c r="AC959" i="16"/>
  <c r="U269" i="16"/>
  <c r="N601" i="16"/>
  <c r="Y893" i="16"/>
  <c r="AA885" i="16"/>
  <c r="Y1292" i="16"/>
  <c r="W464" i="16"/>
  <c r="N1623" i="16"/>
  <c r="P804" i="16"/>
  <c r="W612" i="16"/>
  <c r="N1354" i="16"/>
  <c r="W1819" i="16"/>
  <c r="Y1423" i="16"/>
  <c r="P1210" i="16"/>
  <c r="AA768" i="16"/>
  <c r="N653" i="16"/>
  <c r="P775" i="16"/>
  <c r="U554" i="16"/>
  <c r="AC82" i="16"/>
  <c r="L1609" i="16"/>
  <c r="AC1275" i="16"/>
  <c r="AC1043" i="16"/>
  <c r="L1708" i="16"/>
  <c r="AA645" i="16"/>
  <c r="N1416" i="16"/>
  <c r="P1559" i="16"/>
  <c r="N1145" i="16"/>
  <c r="L1536" i="16"/>
  <c r="L628" i="16"/>
  <c r="N1307" i="16"/>
  <c r="U951" i="16"/>
  <c r="N1178" i="16"/>
  <c r="W1745" i="16"/>
  <c r="W1805" i="16"/>
  <c r="W1390" i="16"/>
  <c r="AA939" i="16"/>
  <c r="U1579" i="16"/>
  <c r="W980" i="16"/>
  <c r="W34" i="16"/>
  <c r="AA223" i="16"/>
  <c r="U1297" i="16"/>
  <c r="Y720" i="16"/>
  <c r="W1659" i="16"/>
  <c r="U704" i="16"/>
  <c r="AC488" i="16"/>
  <c r="U1556" i="16"/>
  <c r="U1122" i="16"/>
  <c r="AA1490" i="16"/>
  <c r="AA462" i="16"/>
  <c r="L860" i="16"/>
  <c r="P408" i="16"/>
  <c r="N917" i="16"/>
  <c r="AC1989" i="16"/>
  <c r="AA448" i="16"/>
  <c r="L864" i="16"/>
  <c r="L2107" i="16"/>
  <c r="W59" i="16"/>
  <c r="N418" i="16"/>
  <c r="AA588" i="16"/>
  <c r="AC1258" i="16"/>
  <c r="Y382" i="16"/>
  <c r="N811" i="16"/>
  <c r="AA1145" i="16"/>
  <c r="L485" i="16"/>
  <c r="N148" i="16"/>
  <c r="AC1536" i="16"/>
  <c r="N500" i="16"/>
  <c r="AA352" i="16"/>
  <c r="W85" i="16"/>
  <c r="N462" i="16"/>
  <c r="W245" i="16"/>
  <c r="U469" i="16"/>
  <c r="U735" i="16"/>
  <c r="L716" i="16"/>
  <c r="W211" i="16"/>
  <c r="W114" i="16"/>
  <c r="W635" i="16"/>
  <c r="U1781" i="16"/>
  <c r="AA563" i="16"/>
  <c r="N884" i="16"/>
  <c r="Y1213" i="16"/>
  <c r="L1402" i="16"/>
  <c r="P1326" i="16"/>
  <c r="P1185" i="16"/>
  <c r="AA1396" i="16"/>
  <c r="N903" i="16"/>
  <c r="AC1470" i="16"/>
  <c r="U572" i="16"/>
  <c r="N403" i="16"/>
  <c r="AC1437" i="16"/>
  <c r="AC192" i="16"/>
  <c r="W461" i="16"/>
  <c r="AA143" i="16"/>
  <c r="L54" i="16"/>
  <c r="U1309" i="16"/>
  <c r="Y335" i="16"/>
  <c r="P440" i="16"/>
  <c r="L258" i="16"/>
  <c r="U1209" i="16"/>
  <c r="AA529" i="16"/>
  <c r="L25" i="16"/>
  <c r="N1072" i="16"/>
  <c r="AC918" i="16"/>
  <c r="L168" i="16"/>
  <c r="Y975" i="16"/>
  <c r="L317" i="16"/>
  <c r="U1347" i="16"/>
  <c r="AA558" i="16"/>
  <c r="Y916" i="16"/>
  <c r="AA415" i="16"/>
  <c r="W666" i="16"/>
  <c r="AA476" i="16"/>
  <c r="AC1732" i="16"/>
  <c r="L1267" i="16"/>
  <c r="AC712" i="16"/>
  <c r="N1411" i="16"/>
  <c r="AA860" i="16"/>
  <c r="Y1729" i="16"/>
  <c r="L130" i="16"/>
  <c r="Y1216" i="16"/>
  <c r="L1342" i="16"/>
  <c r="N2098" i="16"/>
  <c r="N672" i="16"/>
  <c r="U972" i="16"/>
  <c r="W1202" i="16"/>
  <c r="AA778" i="16"/>
  <c r="N188" i="16"/>
  <c r="L1646" i="16"/>
  <c r="AE1796" i="16"/>
  <c r="P1202" i="16"/>
  <c r="N1715" i="16"/>
  <c r="W1314" i="16"/>
  <c r="AC900" i="16"/>
  <c r="W1529" i="16"/>
  <c r="Y343" i="16"/>
  <c r="N716" i="16"/>
  <c r="AA1521" i="16"/>
  <c r="N699" i="16"/>
  <c r="U592" i="16"/>
  <c r="P783" i="16"/>
  <c r="P1521" i="16"/>
  <c r="N1579" i="16"/>
  <c r="N988" i="16"/>
  <c r="AA360" i="16"/>
  <c r="AA1477" i="16"/>
  <c r="L884" i="16"/>
  <c r="P859" i="16"/>
  <c r="AA1347" i="16"/>
  <c r="Y947" i="16"/>
  <c r="AA788" i="16"/>
  <c r="AC553" i="16"/>
  <c r="Y810" i="16"/>
  <c r="N1725" i="16"/>
  <c r="W442" i="16"/>
  <c r="N644" i="16"/>
  <c r="AC388" i="16"/>
  <c r="L68" i="16"/>
  <c r="W154" i="16"/>
  <c r="Y88" i="16"/>
  <c r="L989" i="16"/>
  <c r="Y722" i="16"/>
  <c r="P921" i="16"/>
  <c r="Y388" i="16"/>
  <c r="W1531" i="16"/>
  <c r="W1388" i="16"/>
  <c r="L735" i="16"/>
  <c r="N1139" i="16"/>
  <c r="AC583" i="16"/>
  <c r="U185" i="16"/>
  <c r="W893" i="16"/>
  <c r="P160" i="16"/>
  <c r="AC506" i="16"/>
  <c r="N1525" i="16"/>
  <c r="W345" i="16"/>
  <c r="W314" i="16"/>
  <c r="U1989" i="16"/>
  <c r="P413" i="16"/>
  <c r="P1563" i="16"/>
  <c r="L188" i="16"/>
  <c r="W1526" i="16"/>
  <c r="AA674" i="16"/>
  <c r="AA678" i="16"/>
  <c r="AC1520" i="16"/>
  <c r="L1621" i="16"/>
  <c r="N111" i="16"/>
  <c r="Y1139" i="16"/>
  <c r="N1053" i="16"/>
  <c r="N566" i="16"/>
  <c r="AC473" i="16"/>
  <c r="L265" i="16"/>
  <c r="N365" i="16"/>
  <c r="AC522" i="16"/>
  <c r="W1467" i="16"/>
  <c r="N714" i="16"/>
  <c r="Y1159" i="16"/>
  <c r="AA938" i="16"/>
  <c r="P120" i="16"/>
  <c r="W172" i="16"/>
  <c r="N610" i="16"/>
  <c r="L121" i="16"/>
  <c r="U574" i="16"/>
  <c r="AA356" i="16"/>
  <c r="P1258" i="16"/>
  <c r="W281" i="16"/>
  <c r="P452" i="16"/>
  <c r="AA621" i="16"/>
  <c r="Y185" i="16"/>
  <c r="AA132" i="16"/>
  <c r="AC1638" i="16"/>
  <c r="N798" i="16"/>
  <c r="Y1346" i="16"/>
  <c r="AA1083" i="16"/>
  <c r="P1280" i="16"/>
  <c r="AA904" i="16"/>
  <c r="W1081" i="16"/>
  <c r="AC65" i="16"/>
  <c r="W1630" i="16"/>
  <c r="Y519" i="16"/>
  <c r="W142" i="16"/>
  <c r="AC794" i="16"/>
  <c r="AC177" i="16"/>
  <c r="W1076" i="16"/>
  <c r="AC181" i="16"/>
  <c r="P1530" i="16"/>
  <c r="P173" i="16"/>
  <c r="AA1172" i="16"/>
  <c r="L754" i="16"/>
  <c r="L127" i="16"/>
  <c r="P220" i="16"/>
  <c r="N1234" i="16"/>
  <c r="AA1256" i="16"/>
  <c r="L1409" i="16"/>
  <c r="N109" i="16"/>
  <c r="W935" i="16"/>
  <c r="P178" i="16"/>
  <c r="P222" i="16"/>
  <c r="AC930" i="16"/>
  <c r="U301" i="16"/>
  <c r="AC59" i="16"/>
  <c r="AC585" i="16"/>
  <c r="W54" i="16"/>
  <c r="W880" i="16"/>
  <c r="P1161" i="16"/>
  <c r="W706" i="16"/>
  <c r="P675" i="16"/>
  <c r="L1021" i="16"/>
  <c r="Y1319" i="16"/>
  <c r="W428" i="16"/>
  <c r="AC214" i="16"/>
  <c r="P1014" i="16"/>
  <c r="N548" i="16"/>
  <c r="P728" i="16"/>
  <c r="Y1074" i="16"/>
  <c r="L859" i="16"/>
  <c r="W320" i="16"/>
  <c r="AA561" i="16"/>
  <c r="AC1257" i="16"/>
  <c r="P477" i="16"/>
  <c r="U862" i="16"/>
  <c r="AC1348" i="16"/>
  <c r="AA56" i="16"/>
  <c r="AA339" i="16"/>
  <c r="Y1274" i="16"/>
  <c r="AC328" i="16"/>
  <c r="N623" i="16"/>
  <c r="AC688" i="16"/>
  <c r="AA742" i="16"/>
  <c r="Y142" i="16"/>
  <c r="L1509" i="16"/>
  <c r="AC1235" i="16"/>
  <c r="L962" i="16"/>
  <c r="AA1261" i="16"/>
  <c r="Y1215" i="16"/>
  <c r="N459" i="16"/>
  <c r="N35" i="16"/>
  <c r="W46" i="16"/>
  <c r="AC547" i="16"/>
  <c r="AC425" i="16"/>
  <c r="N570" i="16"/>
  <c r="W926" i="16"/>
  <c r="AA275" i="16"/>
  <c r="W1441" i="16"/>
  <c r="W438" i="16"/>
  <c r="Y466" i="16"/>
  <c r="W801" i="16"/>
  <c r="P304" i="16"/>
  <c r="N912" i="16"/>
  <c r="U565" i="16"/>
  <c r="W1379" i="16"/>
  <c r="U1652" i="16"/>
  <c r="U1656" i="16"/>
  <c r="L1243" i="16"/>
  <c r="AC1612" i="16"/>
  <c r="Y467" i="16"/>
  <c r="L179" i="16"/>
  <c r="AA1481" i="16"/>
  <c r="W89" i="16"/>
  <c r="W1734" i="16"/>
  <c r="U1487" i="16"/>
  <c r="N558" i="16"/>
  <c r="AA573" i="16"/>
  <c r="U536" i="16"/>
  <c r="AC18" i="16"/>
  <c r="P156" i="16"/>
  <c r="W1213" i="16"/>
  <c r="AA669" i="16"/>
  <c r="N882" i="16"/>
  <c r="P203" i="16"/>
  <c r="AA800" i="16"/>
  <c r="AC1261" i="16"/>
  <c r="U1204" i="16"/>
  <c r="P609" i="16"/>
  <c r="AC472" i="16"/>
  <c r="N996" i="16"/>
  <c r="U1035" i="16"/>
  <c r="W476" i="16"/>
  <c r="U1260" i="16"/>
  <c r="Y472" i="16"/>
  <c r="Y934" i="16"/>
  <c r="AA786" i="16"/>
  <c r="W1513" i="16"/>
  <c r="N7" i="16"/>
  <c r="N733" i="16"/>
  <c r="N1377" i="16"/>
  <c r="AC857" i="16"/>
  <c r="AA643" i="16"/>
  <c r="N1142" i="16"/>
  <c r="P846" i="16"/>
  <c r="W1521" i="16"/>
  <c r="AC635" i="16"/>
  <c r="L420" i="16"/>
  <c r="U937" i="16"/>
  <c r="AC364" i="16"/>
  <c r="L192" i="16"/>
  <c r="AA2153" i="16"/>
  <c r="W1299" i="16"/>
  <c r="P1770" i="16"/>
  <c r="AC1522" i="16"/>
  <c r="Y1680" i="16"/>
  <c r="P1537" i="16"/>
  <c r="N1309" i="16"/>
  <c r="Y891" i="16"/>
  <c r="P996" i="16"/>
  <c r="P963" i="16"/>
  <c r="AC1339" i="16"/>
  <c r="AA1561" i="16"/>
  <c r="Y1412" i="16"/>
  <c r="N1219" i="16"/>
  <c r="L1574" i="16"/>
  <c r="AA1432" i="16"/>
  <c r="N930" i="16"/>
  <c r="AE1742" i="16"/>
  <c r="N1696" i="16"/>
  <c r="P1412" i="16"/>
  <c r="AA972" i="16"/>
  <c r="AA262" i="16"/>
  <c r="U1838" i="16"/>
  <c r="AC1353" i="16"/>
  <c r="P1157" i="16"/>
  <c r="P2137" i="16"/>
  <c r="L1523" i="16"/>
  <c r="AC1409" i="16"/>
  <c r="AC1410" i="16"/>
  <c r="P1941" i="16"/>
  <c r="N1564" i="16"/>
  <c r="AC1884" i="16"/>
  <c r="N1476" i="16"/>
  <c r="U1408" i="16"/>
  <c r="P1650" i="16"/>
  <c r="N1291" i="16"/>
  <c r="Y1448" i="16"/>
  <c r="AA1558" i="16"/>
  <c r="P255" i="16"/>
  <c r="AC1172" i="16"/>
  <c r="P1732" i="16"/>
  <c r="P765" i="16"/>
  <c r="Y1302" i="16"/>
  <c r="L1502" i="16"/>
  <c r="L1760" i="16"/>
  <c r="W1190" i="16"/>
  <c r="AC1651" i="16"/>
  <c r="Y813" i="16"/>
  <c r="P615" i="16"/>
  <c r="P1681" i="16"/>
  <c r="P1785" i="16"/>
  <c r="P1107" i="16"/>
  <c r="AA1242" i="16"/>
  <c r="L1245" i="16"/>
  <c r="W1615" i="16"/>
  <c r="AA1137" i="16"/>
  <c r="AC971" i="16"/>
  <c r="U818" i="16"/>
  <c r="N1532" i="16"/>
  <c r="AC572" i="16"/>
  <c r="Y1455" i="16"/>
  <c r="P605" i="16"/>
  <c r="L1126" i="16"/>
  <c r="L1904" i="16"/>
  <c r="W542" i="16"/>
  <c r="N1150" i="16"/>
  <c r="N1418" i="16"/>
  <c r="W1984" i="16"/>
  <c r="N827" i="16"/>
  <c r="Y976" i="16"/>
  <c r="W1900" i="16"/>
  <c r="AC8" i="16"/>
  <c r="W1732" i="16"/>
  <c r="L1897" i="16"/>
  <c r="N1127" i="16"/>
  <c r="AC848" i="16"/>
  <c r="Y926" i="16"/>
  <c r="AA1403" i="16"/>
  <c r="AA2045" i="16"/>
  <c r="AA1616" i="16"/>
  <c r="N1280" i="16"/>
  <c r="AA1004" i="16"/>
  <c r="N731" i="16"/>
  <c r="P1179" i="16"/>
  <c r="L1198" i="16"/>
  <c r="N1781" i="16"/>
  <c r="AC1671" i="16"/>
  <c r="W906" i="16"/>
  <c r="P1049" i="16"/>
  <c r="AA681" i="16"/>
  <c r="AA1223" i="16"/>
  <c r="L1684" i="16"/>
  <c r="Y1064" i="16"/>
  <c r="AC1165" i="16"/>
  <c r="U23" i="16"/>
  <c r="Y255" i="16"/>
  <c r="N609" i="16"/>
  <c r="AC772" i="16"/>
  <c r="AA622" i="16"/>
  <c r="AC44" i="16"/>
  <c r="AA1578" i="16"/>
  <c r="L1268" i="16"/>
  <c r="AA1686" i="16"/>
  <c r="AC1600" i="16"/>
  <c r="Y1179" i="16"/>
  <c r="P1722" i="16"/>
  <c r="AA745" i="16"/>
  <c r="P786" i="16"/>
  <c r="P956" i="16"/>
  <c r="L779" i="16"/>
  <c r="Y840" i="16"/>
  <c r="L283" i="16"/>
  <c r="U287" i="16"/>
  <c r="P184" i="16"/>
  <c r="L5" i="16"/>
  <c r="N586" i="16"/>
  <c r="P223" i="16"/>
  <c r="Y294" i="16"/>
  <c r="P1234" i="16"/>
  <c r="AA4" i="16"/>
  <c r="U390" i="16"/>
  <c r="AC339" i="16"/>
  <c r="U1982" i="16"/>
  <c r="W1305" i="16"/>
  <c r="U722" i="16"/>
  <c r="N1419" i="16"/>
  <c r="N1179" i="16"/>
  <c r="W458" i="16"/>
  <c r="N82" i="16"/>
  <c r="Y218" i="16"/>
  <c r="W170" i="16"/>
  <c r="P951" i="16"/>
  <c r="AC707" i="16"/>
  <c r="N1834" i="16"/>
  <c r="L1410" i="16"/>
  <c r="L1664" i="16"/>
  <c r="P1467" i="16"/>
  <c r="U904" i="16"/>
  <c r="U1362" i="16"/>
  <c r="L1131" i="16"/>
  <c r="N1065" i="16"/>
  <c r="AA985" i="16"/>
  <c r="AC926" i="16"/>
  <c r="L1419" i="16"/>
  <c r="AA500" i="16"/>
  <c r="W1306" i="16"/>
  <c r="L97" i="16"/>
  <c r="P151" i="16"/>
  <c r="U525" i="16"/>
  <c r="U240" i="16"/>
  <c r="AC1221" i="16"/>
  <c r="U438" i="16"/>
  <c r="U267" i="16"/>
  <c r="N1226" i="16"/>
  <c r="L137" i="16"/>
  <c r="AC1049" i="16"/>
  <c r="AC100" i="16"/>
  <c r="U120" i="16"/>
  <c r="AC1391" i="16"/>
  <c r="AA297" i="16"/>
  <c r="U1682" i="16"/>
  <c r="Y990" i="16"/>
  <c r="P644" i="16"/>
  <c r="AC313" i="16"/>
  <c r="P1665" i="16"/>
  <c r="U1704" i="16"/>
  <c r="W105" i="16"/>
  <c r="N1329" i="16"/>
  <c r="AC264" i="16"/>
  <c r="W879" i="16"/>
  <c r="N1357" i="16"/>
  <c r="L757" i="16"/>
  <c r="Y1377" i="16"/>
  <c r="U1517" i="16"/>
  <c r="U1087" i="16"/>
  <c r="P1115" i="16"/>
  <c r="AA589" i="16"/>
  <c r="L1597" i="16"/>
  <c r="AC891" i="16"/>
  <c r="AC1535" i="16"/>
  <c r="U1997" i="16"/>
  <c r="AA1310" i="16"/>
  <c r="AC1537" i="16"/>
  <c r="W806" i="16"/>
  <c r="W197" i="16"/>
  <c r="N527" i="16"/>
  <c r="U891" i="16"/>
  <c r="AA537" i="16"/>
  <c r="P37" i="16"/>
  <c r="L1604" i="16"/>
  <c r="W1319" i="16"/>
  <c r="W1251" i="16"/>
  <c r="W1450" i="16"/>
  <c r="AA883" i="16"/>
  <c r="W1148" i="16"/>
  <c r="Y1130" i="16"/>
  <c r="P1895" i="16"/>
  <c r="U1624" i="16"/>
  <c r="AA856" i="16"/>
  <c r="N1824" i="16"/>
  <c r="P1072" i="16"/>
  <c r="AC1350" i="16"/>
  <c r="P1427" i="16"/>
  <c r="W1289" i="16"/>
  <c r="U588" i="16"/>
  <c r="P1513" i="16"/>
  <c r="P965" i="16"/>
  <c r="L994" i="16"/>
  <c r="L1106" i="16"/>
  <c r="W1126" i="16"/>
  <c r="P578" i="16"/>
  <c r="L936" i="16"/>
  <c r="P294" i="16"/>
  <c r="Y2034" i="16"/>
  <c r="P898" i="16"/>
  <c r="AC529" i="16"/>
  <c r="P1285" i="16"/>
  <c r="N1255" i="16"/>
  <c r="U892" i="16"/>
  <c r="N541" i="16"/>
  <c r="U444" i="16"/>
  <c r="W1038" i="16"/>
  <c r="W1728" i="16"/>
  <c r="L1020" i="16"/>
  <c r="P276" i="16"/>
  <c r="Y1546" i="16"/>
  <c r="N153" i="16"/>
  <c r="P162" i="16"/>
  <c r="N650" i="16"/>
  <c r="L824" i="16"/>
  <c r="N1589" i="16"/>
  <c r="AA1200" i="16"/>
  <c r="P779" i="16"/>
  <c r="W1512" i="16"/>
  <c r="AA1520" i="16"/>
  <c r="AC1315" i="16"/>
  <c r="AC157" i="16"/>
  <c r="W958" i="16"/>
  <c r="L640" i="16"/>
  <c r="N783" i="16"/>
  <c r="W448" i="16"/>
  <c r="P1585" i="16"/>
  <c r="N1555" i="16"/>
  <c r="N1035" i="16"/>
  <c r="U861" i="16"/>
  <c r="L1040" i="16"/>
  <c r="Y42" i="16"/>
  <c r="L1800" i="16"/>
  <c r="N1973" i="16"/>
  <c r="N1684" i="16"/>
  <c r="N2075" i="16"/>
  <c r="Y1654" i="16"/>
  <c r="P655" i="16"/>
  <c r="AE1807" i="16"/>
  <c r="N1522" i="16"/>
  <c r="N1685" i="16"/>
  <c r="L1645" i="16"/>
  <c r="U804" i="16"/>
  <c r="W1644" i="16"/>
  <c r="Y1333" i="16"/>
  <c r="Y1601" i="16"/>
  <c r="P1454" i="16"/>
  <c r="P1368" i="16"/>
  <c r="P159" i="16"/>
  <c r="U2021" i="16"/>
  <c r="U1969" i="16"/>
  <c r="Y1180" i="16"/>
  <c r="P1416" i="16"/>
  <c r="Y910" i="16"/>
  <c r="Y1243" i="16"/>
  <c r="Y1417" i="16"/>
  <c r="AC1155" i="16"/>
  <c r="Y1112" i="16"/>
  <c r="U1399" i="16"/>
  <c r="U1345" i="16"/>
  <c r="W965" i="16"/>
  <c r="AA1245" i="16"/>
  <c r="AC1400" i="16"/>
  <c r="N1230" i="16"/>
  <c r="W1350" i="16"/>
  <c r="AC1013" i="16"/>
  <c r="Y756" i="16"/>
  <c r="L1016" i="16"/>
  <c r="P1062" i="16"/>
  <c r="W1824" i="16"/>
  <c r="AA1645" i="16"/>
  <c r="AA1413" i="16"/>
  <c r="AC644" i="16"/>
  <c r="AC1009" i="16"/>
  <c r="AA722" i="16"/>
  <c r="AC556" i="16"/>
  <c r="AA347" i="16"/>
  <c r="Y223" i="16"/>
  <c r="N269" i="16"/>
  <c r="N1337" i="16"/>
  <c r="Y740" i="16"/>
  <c r="U1486" i="16"/>
  <c r="L507" i="16"/>
  <c r="L1156" i="16"/>
  <c r="Y1707" i="16"/>
  <c r="AC1606" i="16"/>
  <c r="W1812" i="16"/>
  <c r="N1891" i="16"/>
  <c r="Y877" i="16"/>
  <c r="AC196" i="16"/>
  <c r="U1001" i="16"/>
  <c r="N471" i="16"/>
  <c r="L505" i="16"/>
  <c r="AC1090" i="16"/>
  <c r="AC1089" i="16"/>
  <c r="W1322" i="16"/>
  <c r="AC1405" i="16"/>
  <c r="U648" i="16"/>
  <c r="AA101" i="16"/>
  <c r="L387" i="16"/>
  <c r="Y435" i="16"/>
  <c r="U671" i="16"/>
  <c r="L813" i="16"/>
  <c r="W1861" i="16"/>
  <c r="U47" i="16"/>
  <c r="L935" i="16"/>
  <c r="AA654" i="16"/>
  <c r="AC1232" i="16"/>
  <c r="Y1118" i="16"/>
  <c r="AC1194" i="16"/>
  <c r="AA1732" i="16"/>
  <c r="L1512" i="16"/>
  <c r="L621" i="16"/>
  <c r="L1805" i="16"/>
  <c r="AC406" i="16"/>
  <c r="P823" i="16"/>
  <c r="P559" i="16"/>
  <c r="U349" i="16"/>
  <c r="W730" i="16"/>
  <c r="AC943" i="16"/>
  <c r="AA671" i="16"/>
  <c r="W1066" i="16"/>
  <c r="AC494" i="16"/>
  <c r="AC953" i="16"/>
  <c r="AC1361" i="16"/>
  <c r="Y622" i="16"/>
  <c r="P1250" i="16"/>
  <c r="AC835" i="16"/>
  <c r="N989" i="16"/>
  <c r="Y1185" i="16"/>
  <c r="P267" i="16"/>
  <c r="N1111" i="16"/>
  <c r="AA942" i="16"/>
  <c r="AC517" i="16"/>
  <c r="U620" i="16"/>
  <c r="N1477" i="16"/>
  <c r="W400" i="16"/>
  <c r="AC1255" i="16"/>
  <c r="Y729" i="16"/>
  <c r="L632" i="16"/>
  <c r="W1548" i="16"/>
  <c r="AA21" i="16"/>
  <c r="U374" i="16"/>
  <c r="U1006" i="16"/>
  <c r="AC1921" i="16"/>
  <c r="Y777" i="16"/>
  <c r="AA261" i="16"/>
  <c r="AC1803" i="16"/>
  <c r="P1653" i="16"/>
  <c r="P1004" i="16"/>
  <c r="N599" i="16"/>
  <c r="U2072" i="16"/>
  <c r="AA1351" i="16"/>
  <c r="P103" i="16"/>
  <c r="U410" i="16"/>
  <c r="W1428" i="16"/>
  <c r="L601" i="16"/>
  <c r="W2155" i="16"/>
  <c r="P587" i="16"/>
  <c r="W584" i="16"/>
  <c r="P1514" i="16"/>
  <c r="AC765" i="16"/>
  <c r="W1210" i="16"/>
  <c r="W1537" i="16"/>
  <c r="P172" i="16"/>
  <c r="AA584" i="16"/>
  <c r="P11" i="16"/>
  <c r="L403" i="16"/>
  <c r="W1205" i="16"/>
  <c r="N1229" i="16"/>
  <c r="AA14" i="16"/>
  <c r="W918" i="16"/>
  <c r="P904" i="16"/>
  <c r="AC1027" i="16"/>
  <c r="N1323" i="16"/>
  <c r="Y449" i="16"/>
  <c r="W171" i="16"/>
  <c r="Y1045" i="16"/>
  <c r="N407" i="16"/>
  <c r="N1221" i="16"/>
  <c r="W1550" i="16"/>
  <c r="AA717" i="16"/>
  <c r="W760" i="16"/>
  <c r="L1323" i="16"/>
  <c r="AC685" i="16"/>
  <c r="N643" i="16"/>
  <c r="U550" i="16"/>
  <c r="AC941" i="16"/>
  <c r="N768" i="16"/>
  <c r="Y1446" i="16"/>
  <c r="Y1511" i="16"/>
  <c r="AC528" i="16"/>
  <c r="U1985" i="16"/>
  <c r="Y1266" i="16"/>
  <c r="W1318" i="16"/>
  <c r="Y63" i="16"/>
  <c r="Y445" i="16"/>
  <c r="U1500" i="16"/>
  <c r="N387" i="16"/>
  <c r="W81" i="16"/>
  <c r="W1310" i="16"/>
  <c r="W1242" i="16"/>
  <c r="P244" i="16"/>
  <c r="U9" i="16"/>
  <c r="W1005" i="16"/>
  <c r="W1078" i="16"/>
  <c r="W83" i="16"/>
  <c r="AC697" i="16"/>
  <c r="U1064" i="16"/>
  <c r="Y970" i="16"/>
  <c r="AA72" i="16"/>
  <c r="N710" i="16"/>
  <c r="L1546" i="16"/>
  <c r="W1492" i="16"/>
  <c r="W408" i="16"/>
  <c r="W989" i="16"/>
  <c r="P1315" i="16"/>
  <c r="L1333" i="16"/>
  <c r="P840" i="16"/>
  <c r="P638" i="16"/>
  <c r="W1471" i="16"/>
  <c r="L1789" i="16"/>
  <c r="Y906" i="16"/>
  <c r="AA881" i="16"/>
  <c r="Y283" i="16"/>
  <c r="N1112" i="16"/>
  <c r="P287" i="16"/>
  <c r="P939" i="16"/>
  <c r="U1702" i="16"/>
  <c r="AA449" i="16"/>
  <c r="L63" i="16"/>
  <c r="U1752" i="16"/>
  <c r="AE1786" i="16"/>
  <c r="AA227" i="16"/>
  <c r="Y680" i="16"/>
  <c r="N816" i="16"/>
  <c r="P485" i="16"/>
  <c r="U461" i="16"/>
  <c r="AA770" i="16"/>
  <c r="U642" i="16"/>
  <c r="U298" i="16"/>
  <c r="N1386" i="16"/>
  <c r="N227" i="16"/>
  <c r="N396" i="16"/>
  <c r="Y1462" i="16"/>
  <c r="N1163" i="16"/>
  <c r="U218" i="16"/>
  <c r="P546" i="16"/>
  <c r="W933" i="16"/>
  <c r="AA1472" i="16"/>
  <c r="L417" i="16"/>
  <c r="W112" i="16"/>
  <c r="P250" i="16"/>
  <c r="N1743" i="16"/>
  <c r="P1035" i="16"/>
  <c r="W1357" i="16"/>
  <c r="Y1111" i="16"/>
  <c r="L473" i="16"/>
  <c r="L1061" i="16"/>
  <c r="P825" i="16"/>
  <c r="AA86" i="16"/>
  <c r="N635" i="16"/>
  <c r="P1632" i="16"/>
  <c r="W499" i="16"/>
  <c r="P1150" i="16"/>
  <c r="L395" i="16"/>
  <c r="U1169" i="16"/>
  <c r="U684" i="16"/>
  <c r="P507" i="16"/>
  <c r="P1224" i="16"/>
  <c r="Y1286" i="16"/>
  <c r="W1048" i="16"/>
  <c r="AA1468" i="16"/>
  <c r="AC983" i="16"/>
  <c r="L432" i="16"/>
  <c r="W740" i="16"/>
  <c r="Y1168" i="16"/>
  <c r="Y917" i="16"/>
  <c r="AC417" i="16"/>
  <c r="AC664" i="16"/>
  <c r="P476" i="16"/>
  <c r="L6" i="16"/>
  <c r="W1760" i="16"/>
  <c r="AA1018" i="16"/>
  <c r="AA1479" i="16"/>
  <c r="N513" i="16"/>
  <c r="N423" i="16"/>
  <c r="N209" i="16"/>
  <c r="N713" i="16"/>
  <c r="Y70" i="16"/>
  <c r="AA198" i="16"/>
  <c r="N971" i="16"/>
  <c r="AA792" i="16"/>
  <c r="U1497" i="16"/>
  <c r="Y1529" i="16"/>
  <c r="P882" i="16"/>
  <c r="U1419" i="16"/>
  <c r="AC837" i="16"/>
  <c r="N2149" i="16"/>
  <c r="L749" i="16"/>
  <c r="Y392" i="16"/>
  <c r="W379" i="16"/>
  <c r="P179" i="16"/>
  <c r="Y395" i="16"/>
  <c r="AC482" i="16"/>
  <c r="Y1414" i="16"/>
  <c r="U900" i="16"/>
  <c r="L1175" i="16"/>
  <c r="N648" i="16"/>
  <c r="P118" i="16"/>
  <c r="AE1736" i="16"/>
  <c r="AA1656" i="16"/>
  <c r="AC1330" i="16"/>
  <c r="N1187" i="16"/>
  <c r="U1776" i="16"/>
  <c r="L1400" i="16"/>
  <c r="AC1103" i="16"/>
  <c r="P89" i="16"/>
  <c r="N199" i="16"/>
  <c r="U657" i="16"/>
  <c r="L1753" i="16"/>
  <c r="AA472" i="16"/>
  <c r="U869" i="16"/>
  <c r="AA520" i="16"/>
  <c r="N519" i="16"/>
  <c r="W966" i="16"/>
  <c r="W100" i="16"/>
  <c r="W1516" i="16"/>
  <c r="AA78" i="16"/>
  <c r="U1125" i="16"/>
  <c r="U859" i="16"/>
  <c r="Y457" i="16"/>
  <c r="P1217" i="16"/>
  <c r="L848" i="16"/>
  <c r="AA206" i="16"/>
  <c r="U916" i="16"/>
  <c r="AA593" i="16"/>
  <c r="W1266" i="16"/>
  <c r="W1417" i="16"/>
  <c r="AC670" i="16"/>
  <c r="P689" i="16"/>
  <c r="L862" i="16"/>
  <c r="AA627" i="16"/>
  <c r="L72" i="16"/>
  <c r="Y257" i="16"/>
  <c r="Y155" i="16"/>
  <c r="AA426" i="16"/>
  <c r="W467" i="16"/>
  <c r="N56" i="16"/>
  <c r="P1277" i="16"/>
  <c r="AA459" i="16"/>
  <c r="P928" i="16"/>
  <c r="AA1430" i="16"/>
  <c r="L438" i="16"/>
  <c r="L60" i="16"/>
  <c r="Y493" i="16"/>
  <c r="Y1281" i="16"/>
  <c r="N1143" i="16"/>
  <c r="N1211" i="16"/>
  <c r="N647" i="16"/>
  <c r="U419" i="16"/>
  <c r="N1242" i="16"/>
  <c r="P532" i="16"/>
  <c r="W2105" i="16"/>
  <c r="AA936" i="16"/>
  <c r="U1098" i="16"/>
  <c r="Y735" i="16"/>
  <c r="AC1327" i="16"/>
  <c r="AA1640" i="16"/>
  <c r="AC1000" i="16"/>
  <c r="W229" i="16"/>
  <c r="N864" i="16"/>
  <c r="L246" i="16"/>
  <c r="U1699" i="16"/>
  <c r="U1289" i="16"/>
  <c r="AC1084" i="16"/>
  <c r="N221" i="16"/>
  <c r="AC627" i="16"/>
  <c r="AC122" i="16"/>
  <c r="W261" i="16"/>
  <c r="AA120" i="16"/>
  <c r="L2036" i="16"/>
  <c r="AC1336" i="16"/>
  <c r="AC1549" i="16"/>
  <c r="N1396" i="16"/>
  <c r="P529" i="16"/>
  <c r="AA1155" i="16"/>
  <c r="AC1576" i="16"/>
  <c r="W1232" i="16"/>
  <c r="AA912" i="16"/>
  <c r="AC895" i="16"/>
  <c r="AA369" i="16"/>
  <c r="AA1405" i="16"/>
  <c r="Y847" i="16"/>
  <c r="U211" i="16"/>
  <c r="N532" i="16"/>
  <c r="N1693" i="16"/>
  <c r="Y909" i="16"/>
  <c r="N720" i="16"/>
  <c r="L263" i="16"/>
  <c r="AA798" i="16"/>
  <c r="U144" i="16"/>
  <c r="W1780" i="16"/>
  <c r="N1450" i="16"/>
  <c r="L189" i="16"/>
  <c r="L476" i="16"/>
  <c r="AA373" i="16"/>
  <c r="U199" i="16"/>
  <c r="Y378" i="16"/>
  <c r="U111" i="16"/>
  <c r="N824" i="16"/>
  <c r="AC1082" i="16"/>
  <c r="AC1262" i="16"/>
  <c r="W144" i="16"/>
  <c r="W1153" i="16"/>
  <c r="U1190" i="16"/>
  <c r="W591" i="16"/>
  <c r="AC117" i="16"/>
  <c r="AA793" i="16"/>
  <c r="P1541" i="16"/>
  <c r="L687" i="16"/>
  <c r="L1358" i="16"/>
  <c r="N385" i="16"/>
  <c r="U567" i="16"/>
  <c r="P495" i="16"/>
  <c r="AA103" i="16"/>
  <c r="P1237" i="16"/>
  <c r="U615" i="16"/>
  <c r="Y90" i="16"/>
  <c r="P923" i="16"/>
  <c r="P451" i="16"/>
  <c r="N953" i="16"/>
  <c r="L650" i="16"/>
  <c r="N450" i="16"/>
  <c r="L482" i="16"/>
  <c r="AA321" i="16"/>
  <c r="W457" i="16"/>
  <c r="W865" i="16"/>
  <c r="U485" i="16"/>
  <c r="L1750" i="16"/>
  <c r="L1226" i="16"/>
  <c r="P1436" i="16"/>
  <c r="P1635" i="16"/>
  <c r="P8" i="16"/>
  <c r="P538" i="16"/>
  <c r="N276" i="16"/>
  <c r="N321" i="16"/>
  <c r="W1308" i="16"/>
  <c r="U1257" i="16"/>
  <c r="Y770" i="16"/>
  <c r="Y699" i="16"/>
  <c r="P1382" i="16"/>
  <c r="L13" i="16"/>
  <c r="AA785" i="16"/>
  <c r="W1827" i="16"/>
  <c r="AC116" i="16"/>
  <c r="W293" i="16"/>
  <c r="N417" i="16"/>
  <c r="U1249" i="16"/>
  <c r="AA441" i="16"/>
  <c r="L153" i="16"/>
  <c r="AA530" i="16"/>
  <c r="Y1366" i="16"/>
  <c r="Y330" i="16"/>
  <c r="AA633" i="16"/>
  <c r="L1168" i="16"/>
  <c r="Y1208" i="16"/>
  <c r="L412" i="16"/>
  <c r="U446" i="16"/>
  <c r="W283" i="16"/>
  <c r="AC1135" i="16"/>
  <c r="N929" i="16"/>
  <c r="Y776" i="16"/>
  <c r="U408" i="16"/>
  <c r="Y293" i="16"/>
  <c r="AC1333" i="16"/>
  <c r="AC662" i="16"/>
  <c r="W2128" i="16"/>
  <c r="N533" i="16"/>
  <c r="U1300" i="16"/>
  <c r="AA545" i="16"/>
  <c r="W728" i="16"/>
  <c r="U935" i="16"/>
  <c r="AA63" i="16"/>
  <c r="P212" i="16"/>
  <c r="N158" i="16"/>
  <c r="U1164" i="16"/>
  <c r="P271" i="16"/>
  <c r="AA197" i="16"/>
  <c r="P1005" i="16"/>
  <c r="L610" i="16"/>
  <c r="Y319" i="16"/>
  <c r="P1156" i="16"/>
  <c r="AC1575" i="16"/>
  <c r="AC853" i="16"/>
  <c r="N176" i="16"/>
  <c r="U1670" i="16"/>
  <c r="U1984" i="16"/>
  <c r="W68" i="16"/>
  <c r="Y299" i="16"/>
  <c r="W1821" i="16"/>
  <c r="U364" i="16"/>
  <c r="AC412" i="16"/>
  <c r="P251" i="16"/>
  <c r="L181" i="16"/>
  <c r="L8" i="16"/>
  <c r="W1545" i="16"/>
  <c r="U950" i="16"/>
  <c r="N135" i="16"/>
  <c r="L1710" i="16"/>
  <c r="W1572" i="16"/>
  <c r="AC552" i="16"/>
  <c r="AA1073" i="16"/>
  <c r="U449" i="16"/>
  <c r="U1707" i="16"/>
  <c r="L367" i="16"/>
  <c r="AA51" i="16"/>
  <c r="AA538" i="16"/>
  <c r="U61" i="16"/>
  <c r="Y240" i="16"/>
  <c r="N727" i="16"/>
  <c r="W1458" i="16"/>
  <c r="P322" i="16"/>
  <c r="U344" i="16"/>
  <c r="L903" i="16"/>
  <c r="Y1297" i="16"/>
  <c r="AA1272" i="16"/>
  <c r="AA1655" i="16"/>
  <c r="AC338" i="16"/>
  <c r="U264" i="16"/>
  <c r="U582" i="16"/>
  <c r="L58" i="16"/>
  <c r="N262" i="16"/>
  <c r="P960" i="16"/>
  <c r="U1755" i="16"/>
  <c r="N734" i="16"/>
  <c r="L506" i="16"/>
  <c r="U44" i="16"/>
  <c r="AA870" i="16"/>
  <c r="W1012" i="16"/>
  <c r="AA1033" i="16"/>
  <c r="W216" i="16"/>
  <c r="N283" i="16"/>
  <c r="W1983" i="16"/>
  <c r="N1854" i="16"/>
  <c r="P1080" i="16"/>
  <c r="P895" i="16"/>
  <c r="L1878" i="16"/>
  <c r="N615" i="16"/>
  <c r="L1728" i="16"/>
  <c r="AA1563" i="16"/>
  <c r="P1968" i="16"/>
  <c r="AA1329" i="16"/>
  <c r="Y109" i="16"/>
  <c r="N1356" i="16"/>
  <c r="AC1942" i="16"/>
  <c r="L1153" i="16"/>
  <c r="L1306" i="16"/>
  <c r="N639" i="16"/>
  <c r="AC1983" i="16"/>
  <c r="L893" i="16"/>
  <c r="L1894" i="16"/>
  <c r="L556" i="16"/>
  <c r="L845" i="16"/>
  <c r="U1318" i="16"/>
  <c r="Y1175" i="16"/>
  <c r="L1466" i="16"/>
  <c r="N59" i="16"/>
  <c r="Y1046" i="16"/>
  <c r="P955" i="16"/>
  <c r="W1273" i="16"/>
  <c r="AC1493" i="16"/>
  <c r="U908" i="16"/>
  <c r="L1047" i="16"/>
  <c r="N636" i="16"/>
  <c r="W1307" i="16"/>
  <c r="P206" i="16"/>
  <c r="N282" i="16"/>
  <c r="AC1100" i="16"/>
  <c r="N223" i="16"/>
  <c r="AA1254" i="16"/>
  <c r="AC838" i="16"/>
  <c r="Y995" i="16"/>
  <c r="W1918" i="16"/>
  <c r="U692" i="16"/>
  <c r="N559" i="16"/>
  <c r="AC88" i="16"/>
  <c r="U826" i="16"/>
  <c r="N678" i="16"/>
  <c r="Y698" i="16"/>
  <c r="Y452" i="16"/>
  <c r="N1130" i="16"/>
  <c r="U811" i="16"/>
  <c r="N2094" i="16"/>
  <c r="W606" i="16"/>
  <c r="N1807" i="16"/>
  <c r="AA1336" i="16"/>
  <c r="U407" i="16"/>
  <c r="W13" i="16"/>
  <c r="L1488" i="16"/>
  <c r="AC219" i="16"/>
  <c r="N391" i="16"/>
  <c r="N1443" i="16"/>
  <c r="AA950" i="16"/>
  <c r="L663" i="16"/>
  <c r="L1096" i="16"/>
  <c r="U736" i="16"/>
  <c r="AC1436" i="16"/>
  <c r="AA1463" i="16"/>
  <c r="N1279" i="16"/>
  <c r="AA452" i="16"/>
  <c r="AC723" i="16"/>
  <c r="AA337" i="16"/>
  <c r="AC845" i="16"/>
  <c r="L2061" i="16"/>
  <c r="N1220" i="16"/>
  <c r="AC413" i="16"/>
  <c r="P715" i="16"/>
  <c r="P799" i="16"/>
  <c r="AA2128" i="16"/>
  <c r="N252" i="16"/>
  <c r="P1388" i="16"/>
  <c r="Y286" i="16"/>
  <c r="AC957" i="16"/>
  <c r="AA943" i="16"/>
  <c r="AC1148" i="16"/>
  <c r="AC1499" i="16"/>
  <c r="AA387" i="16"/>
  <c r="U1635" i="16"/>
  <c r="AA1678" i="16"/>
  <c r="W624" i="16"/>
  <c r="Y1047" i="16"/>
  <c r="Y1226" i="16"/>
  <c r="AC302" i="16"/>
  <c r="AA644" i="16"/>
  <c r="AC389" i="16"/>
  <c r="AA737" i="16"/>
  <c r="P1216" i="16"/>
  <c r="L1119" i="16"/>
  <c r="U342" i="16"/>
  <c r="L760" i="16"/>
  <c r="Y1285" i="16"/>
  <c r="P1590" i="16"/>
  <c r="W1578" i="16"/>
  <c r="W494" i="16"/>
  <c r="U1505" i="16"/>
  <c r="Y969" i="16"/>
  <c r="W1601" i="16"/>
  <c r="P508" i="16"/>
  <c r="W1098" i="16"/>
  <c r="U221" i="16"/>
  <c r="L184" i="16"/>
  <c r="W1817" i="16"/>
  <c r="W248" i="16"/>
  <c r="W1439" i="16"/>
  <c r="W224" i="16"/>
  <c r="Y588" i="16"/>
  <c r="P1493" i="16"/>
  <c r="AA1186" i="16"/>
  <c r="N887" i="16"/>
  <c r="U1220" i="16"/>
  <c r="Y1424" i="16"/>
  <c r="W1288" i="16"/>
  <c r="L932" i="16"/>
  <c r="U1349" i="16"/>
  <c r="Y854" i="16"/>
  <c r="U895" i="16"/>
  <c r="L238" i="16"/>
  <c r="Y539" i="16"/>
  <c r="AA967" i="16"/>
  <c r="AC1371" i="16"/>
  <c r="Y1205" i="16"/>
  <c r="P132" i="16"/>
  <c r="W828" i="16"/>
  <c r="N549" i="16"/>
  <c r="P327" i="16"/>
  <c r="N398" i="16"/>
  <c r="U1547" i="16"/>
  <c r="P558" i="16"/>
  <c r="AC1175" i="16"/>
  <c r="AA1138" i="16"/>
  <c r="N1314" i="16"/>
  <c r="P552" i="16"/>
  <c r="AA858" i="16"/>
  <c r="W1377" i="16"/>
  <c r="W1784" i="16"/>
  <c r="U1359" i="16"/>
  <c r="AA482" i="16"/>
  <c r="W94" i="16"/>
  <c r="W668" i="16"/>
  <c r="W1016" i="16"/>
  <c r="P347" i="16"/>
  <c r="P421" i="16"/>
  <c r="L312" i="16"/>
  <c r="W577" i="16"/>
  <c r="U484" i="16"/>
  <c r="L36" i="16"/>
  <c r="P624" i="16"/>
  <c r="P751" i="16"/>
  <c r="AA212" i="16"/>
  <c r="N119" i="16"/>
  <c r="Y300" i="16"/>
  <c r="AC1471" i="16"/>
  <c r="AC870" i="16"/>
  <c r="AC141" i="16"/>
  <c r="AA840" i="16"/>
  <c r="L119" i="16"/>
  <c r="P187" i="16"/>
  <c r="P1626" i="16"/>
  <c r="P323" i="16"/>
  <c r="W876" i="16"/>
  <c r="AC210" i="16"/>
  <c r="P416" i="16"/>
  <c r="Y919" i="16"/>
  <c r="W50" i="16"/>
  <c r="P425" i="16"/>
  <c r="U229" i="16"/>
  <c r="L502" i="16"/>
  <c r="Y1177" i="16"/>
  <c r="Y773" i="16"/>
  <c r="U371" i="16"/>
  <c r="P1139" i="16"/>
  <c r="P1123" i="16"/>
  <c r="AA1277" i="16"/>
  <c r="W1647" i="16"/>
  <c r="AA772" i="16"/>
  <c r="Y1342" i="16"/>
  <c r="Y814" i="16"/>
  <c r="AA1289" i="16"/>
  <c r="W122" i="16"/>
  <c r="U493" i="16"/>
  <c r="AC13" i="16"/>
  <c r="Y238" i="16"/>
  <c r="P483" i="16"/>
  <c r="Y826" i="16"/>
  <c r="U447" i="16"/>
  <c r="N748" i="16"/>
  <c r="U470" i="16"/>
  <c r="U1060" i="16"/>
  <c r="N838" i="16"/>
  <c r="AA83" i="16"/>
  <c r="AC261" i="16"/>
  <c r="U1618" i="16"/>
  <c r="AC97" i="16"/>
  <c r="AA497" i="16"/>
  <c r="AC55" i="16"/>
  <c r="Y323" i="16"/>
  <c r="Y1194" i="16"/>
  <c r="P759" i="16"/>
  <c r="L568" i="16"/>
  <c r="Y1049" i="16"/>
  <c r="AC1006" i="16"/>
  <c r="Y1394" i="16"/>
  <c r="U1040" i="16"/>
  <c r="L840" i="16"/>
  <c r="AC1034" i="16"/>
  <c r="AC79" i="16"/>
  <c r="P992" i="16"/>
  <c r="Y903" i="16"/>
  <c r="N766" i="16"/>
  <c r="AC273" i="16"/>
  <c r="AC987" i="16"/>
  <c r="AA175" i="16"/>
  <c r="L1307" i="16"/>
  <c r="L913" i="16"/>
  <c r="AC1362" i="16"/>
  <c r="L958" i="16"/>
  <c r="L982" i="16"/>
  <c r="W684" i="16"/>
  <c r="Y1356" i="16"/>
  <c r="U115" i="16"/>
  <c r="Y1198" i="16"/>
  <c r="AC807" i="16"/>
  <c r="AC1334" i="16"/>
  <c r="Y1631" i="16"/>
  <c r="AC674" i="16"/>
  <c r="W1173" i="16"/>
  <c r="L1809" i="16"/>
  <c r="AC1209" i="16"/>
  <c r="P1630" i="16"/>
  <c r="N1617" i="16"/>
  <c r="L2071" i="16"/>
  <c r="U160" i="16"/>
  <c r="P521" i="16"/>
  <c r="L1030" i="16"/>
  <c r="L509" i="16"/>
  <c r="Y625" i="16"/>
  <c r="P982" i="16"/>
  <c r="P1423" i="16"/>
  <c r="AC493" i="16"/>
  <c r="AA446" i="16"/>
  <c r="U1012" i="16"/>
  <c r="U542" i="16"/>
  <c r="N677" i="16"/>
  <c r="AC826" i="16"/>
  <c r="L1375" i="16"/>
  <c r="AA1621" i="16"/>
  <c r="U547" i="16"/>
  <c r="W661" i="16"/>
  <c r="U279" i="16"/>
  <c r="W306" i="16"/>
  <c r="AC588" i="16"/>
  <c r="P892" i="16"/>
  <c r="AC1030" i="16"/>
  <c r="W200" i="16"/>
  <c r="U1344" i="16"/>
  <c r="Y165" i="16"/>
  <c r="L1182" i="16"/>
  <c r="P1118" i="16"/>
  <c r="AA1457" i="16"/>
  <c r="Y38" i="16"/>
  <c r="U1818" i="16"/>
  <c r="P428" i="16"/>
  <c r="Y1116" i="16"/>
  <c r="AA752" i="16"/>
  <c r="N358" i="16"/>
  <c r="L369" i="16"/>
  <c r="W208" i="16"/>
  <c r="AC411" i="16"/>
  <c r="AC226" i="16"/>
  <c r="U824" i="16"/>
  <c r="W1132" i="16"/>
  <c r="N1611" i="16"/>
  <c r="AC681" i="16"/>
  <c r="Y72" i="16"/>
  <c r="W814" i="16"/>
  <c r="L1041" i="16"/>
  <c r="P912" i="16"/>
  <c r="U708" i="16"/>
  <c r="N1517" i="16"/>
  <c r="AA822" i="16"/>
  <c r="AA686" i="16"/>
  <c r="W1021" i="16"/>
  <c r="AC200" i="16"/>
  <c r="U793" i="16"/>
  <c r="N880" i="16"/>
  <c r="W778" i="16"/>
  <c r="P1347" i="16"/>
  <c r="N280" i="16"/>
  <c r="AC498" i="16"/>
  <c r="N670" i="16"/>
  <c r="Y1038" i="16"/>
  <c r="P469" i="16"/>
  <c r="U1333" i="16"/>
  <c r="N1077" i="16"/>
  <c r="L726" i="16"/>
  <c r="Y1017" i="16"/>
  <c r="W30" i="16"/>
  <c r="U1565" i="16"/>
  <c r="AA987" i="16"/>
  <c r="Y1498" i="16"/>
  <c r="L1271" i="16"/>
  <c r="P246" i="16"/>
  <c r="U406" i="16"/>
  <c r="N531" i="16"/>
  <c r="W397" i="16"/>
  <c r="P583" i="16"/>
  <c r="AA882" i="16"/>
  <c r="Y360" i="16"/>
  <c r="L992" i="16"/>
  <c r="W622" i="16"/>
  <c r="AA425" i="16"/>
  <c r="Y1497" i="16"/>
  <c r="AC93" i="16"/>
  <c r="AC1684" i="16"/>
  <c r="AC265" i="16"/>
  <c r="L1384" i="16"/>
  <c r="P817" i="16"/>
  <c r="W399" i="16"/>
  <c r="P1186" i="16"/>
  <c r="AA626" i="16"/>
  <c r="P1511" i="16"/>
  <c r="L986" i="16"/>
  <c r="N1336" i="16"/>
  <c r="N543" i="16"/>
  <c r="L1772" i="16"/>
  <c r="U457" i="16"/>
  <c r="AA474" i="16"/>
  <c r="Y1155" i="16"/>
  <c r="AC29" i="16"/>
  <c r="AC230" i="16"/>
  <c r="W131" i="16"/>
  <c r="L433" i="16"/>
  <c r="N466" i="16"/>
  <c r="Y48" i="16"/>
  <c r="N881" i="16"/>
  <c r="AC1463" i="16"/>
  <c r="N2043" i="16"/>
  <c r="AA1624" i="16"/>
  <c r="AE2000" i="16"/>
  <c r="P1761" i="16"/>
  <c r="AA984" i="16"/>
  <c r="P1274" i="16"/>
  <c r="L591" i="16"/>
  <c r="W1533" i="16"/>
  <c r="L2105" i="16"/>
  <c r="AA1522" i="16"/>
  <c r="P691" i="16"/>
  <c r="Y2137" i="16"/>
  <c r="AC1310" i="16"/>
  <c r="N998" i="16"/>
  <c r="AA1147" i="16"/>
  <c r="P1458" i="16"/>
  <c r="N1718" i="16"/>
  <c r="W1560" i="16"/>
  <c r="N1538" i="16"/>
  <c r="N860" i="16"/>
  <c r="AA1255" i="16"/>
  <c r="AC1118" i="16"/>
  <c r="P1092" i="16"/>
  <c r="L1932" i="16"/>
  <c r="W1184" i="16"/>
  <c r="U1504" i="16"/>
  <c r="U1917" i="16"/>
  <c r="Y1050" i="16"/>
  <c r="Y1665" i="16"/>
  <c r="W1628" i="16"/>
  <c r="L1665" i="16"/>
  <c r="AA1423" i="16"/>
  <c r="U1643" i="16"/>
  <c r="N145" i="16"/>
  <c r="P1094" i="16"/>
  <c r="L1360" i="16"/>
  <c r="AC11" i="16"/>
  <c r="AA1219" i="16"/>
  <c r="L1965" i="16"/>
  <c r="N587" i="16"/>
  <c r="AC357" i="16"/>
  <c r="AC576" i="16"/>
  <c r="P275" i="16"/>
  <c r="L902" i="16"/>
  <c r="L241" i="16"/>
  <c r="P998" i="16"/>
  <c r="U831" i="16"/>
  <c r="P767" i="16"/>
  <c r="N1473" i="16"/>
  <c r="N316" i="16"/>
  <c r="Y1166" i="16"/>
  <c r="AC1352" i="16"/>
  <c r="P1428" i="16"/>
  <c r="N1750" i="16"/>
  <c r="W976" i="16"/>
  <c r="W526" i="16"/>
  <c r="L1221" i="16"/>
  <c r="P808" i="16"/>
  <c r="N1457" i="16"/>
  <c r="P1307" i="16"/>
  <c r="L1722" i="16"/>
  <c r="P1481" i="16"/>
  <c r="L1626" i="16"/>
  <c r="AA1447" i="16"/>
  <c r="W950" i="16"/>
  <c r="AC1140" i="16"/>
  <c r="N1189" i="16"/>
  <c r="U829" i="16"/>
  <c r="AA812" i="16"/>
  <c r="P941" i="16"/>
  <c r="AE1747" i="16"/>
  <c r="AC696" i="16"/>
  <c r="U853" i="16"/>
  <c r="W1239" i="16"/>
  <c r="N662" i="16"/>
  <c r="L1219" i="16"/>
  <c r="N1404" i="16"/>
  <c r="AA1435" i="16"/>
  <c r="U716" i="16"/>
  <c r="N655" i="16"/>
  <c r="L524" i="16"/>
  <c r="U1319" i="16"/>
  <c r="P1783" i="16"/>
  <c r="AA141" i="16"/>
  <c r="U927" i="16"/>
  <c r="L827" i="16"/>
  <c r="AA550" i="16"/>
  <c r="AC1031" i="16"/>
  <c r="N947" i="16"/>
  <c r="U744" i="16"/>
  <c r="U1627" i="16"/>
  <c r="AA85" i="16"/>
  <c r="W20" i="16"/>
  <c r="AC1271" i="16"/>
  <c r="W1500" i="16"/>
  <c r="Y885" i="16"/>
  <c r="AC286" i="16"/>
  <c r="Y996" i="16"/>
  <c r="W1844" i="16"/>
  <c r="L1520" i="16"/>
  <c r="AA265" i="16"/>
  <c r="N420" i="16"/>
  <c r="U294" i="16"/>
  <c r="AA1511" i="16"/>
  <c r="W860" i="16"/>
  <c r="W349" i="16"/>
  <c r="N197" i="16"/>
  <c r="N890" i="16"/>
  <c r="W617" i="16"/>
  <c r="Y366" i="16"/>
  <c r="W9" i="16"/>
  <c r="U1246" i="16"/>
  <c r="N218" i="16"/>
  <c r="N284" i="16"/>
  <c r="P1089" i="16"/>
  <c r="Y1386" i="16"/>
  <c r="N1027" i="16"/>
  <c r="W1580" i="16"/>
  <c r="N924" i="16"/>
  <c r="L244" i="16"/>
  <c r="N360" i="16"/>
  <c r="Y849" i="16"/>
  <c r="L629" i="16"/>
  <c r="N680" i="16"/>
  <c r="AC212" i="16"/>
  <c r="P333" i="16"/>
  <c r="AC722" i="16"/>
  <c r="N281" i="16"/>
  <c r="N411" i="16"/>
  <c r="Y977" i="16"/>
  <c r="W746" i="16"/>
  <c r="N1205" i="16"/>
  <c r="W1157" i="16"/>
  <c r="AA762" i="16"/>
  <c r="Y930" i="16"/>
  <c r="L983" i="16"/>
  <c r="N567" i="16"/>
  <c r="U634" i="16"/>
  <c r="U435" i="16"/>
  <c r="L597" i="16"/>
  <c r="P868" i="16"/>
  <c r="AA10" i="16"/>
  <c r="Y544" i="16"/>
  <c r="U2126" i="16"/>
  <c r="U568" i="16"/>
  <c r="L1280" i="16"/>
  <c r="W1873" i="16"/>
  <c r="AC1201" i="16"/>
  <c r="Y1434" i="16"/>
  <c r="AC1518" i="16"/>
  <c r="W1719" i="16"/>
  <c r="W1171" i="16"/>
  <c r="L273" i="16"/>
  <c r="AC927" i="16"/>
  <c r="L100" i="16"/>
  <c r="W190" i="16"/>
  <c r="AC1014" i="16"/>
  <c r="Y870" i="16"/>
  <c r="L523" i="16"/>
  <c r="L310" i="16"/>
  <c r="U662" i="16"/>
  <c r="L1028" i="16"/>
  <c r="U564" i="16"/>
  <c r="W422" i="16"/>
  <c r="AA1044" i="16"/>
  <c r="U909" i="16"/>
  <c r="P821" i="16"/>
  <c r="W1430" i="16"/>
  <c r="L1480" i="16"/>
  <c r="U2147" i="16"/>
  <c r="U462" i="16"/>
  <c r="AC934" i="16"/>
  <c r="AC229" i="16"/>
  <c r="Y563" i="16"/>
  <c r="P681" i="16"/>
  <c r="N424" i="16"/>
  <c r="U1205" i="16"/>
  <c r="P698" i="16"/>
  <c r="W1028" i="16"/>
  <c r="N1311" i="16"/>
  <c r="U1583" i="16"/>
  <c r="L990" i="16"/>
  <c r="AA1077" i="16"/>
  <c r="P39" i="16"/>
  <c r="N1158" i="16"/>
  <c r="U1192" i="16"/>
  <c r="AE1961" i="16"/>
  <c r="AA1028" i="16"/>
  <c r="Y23" i="16"/>
  <c r="AA1109" i="16"/>
  <c r="P1059" i="16"/>
  <c r="L1441" i="16"/>
  <c r="U488" i="16"/>
  <c r="AA1013" i="16"/>
  <c r="L1263" i="16"/>
  <c r="AA301" i="16"/>
  <c r="AA1581" i="16"/>
  <c r="AA433" i="16"/>
  <c r="L225" i="16"/>
  <c r="N1370" i="16"/>
  <c r="W441" i="16"/>
  <c r="N412" i="16"/>
  <c r="AA819" i="16"/>
  <c r="W212" i="16"/>
  <c r="L778" i="16"/>
  <c r="P455" i="16"/>
  <c r="Y26" i="16"/>
  <c r="P686" i="16"/>
  <c r="L1205" i="16"/>
  <c r="W619" i="16"/>
  <c r="W1145" i="16"/>
  <c r="L711" i="16"/>
  <c r="U645" i="16"/>
  <c r="AA521" i="16"/>
  <c r="AC896" i="16"/>
  <c r="AA116" i="16"/>
  <c r="AC466" i="16"/>
  <c r="L79" i="16"/>
  <c r="L999" i="16"/>
  <c r="AA1113" i="16"/>
  <c r="U1411" i="16"/>
  <c r="Y959" i="16"/>
  <c r="P1098" i="16"/>
  <c r="AC1849" i="16"/>
  <c r="Y880" i="16"/>
  <c r="Y1056" i="16"/>
  <c r="N992" i="16"/>
  <c r="L1301" i="16"/>
  <c r="U1367" i="16"/>
  <c r="Y408" i="16"/>
  <c r="W1672" i="16"/>
  <c r="P500" i="16"/>
  <c r="AC462" i="16"/>
  <c r="N364" i="16"/>
  <c r="N443" i="16"/>
  <c r="N470" i="16"/>
  <c r="P1421" i="16"/>
  <c r="N1059" i="16"/>
  <c r="P1385" i="16"/>
  <c r="Y965" i="16"/>
  <c r="N90" i="16"/>
  <c r="Y879" i="16"/>
  <c r="U1747" i="16"/>
  <c r="Y1070" i="16"/>
  <c r="W886" i="16"/>
  <c r="L729" i="16"/>
  <c r="AC1302" i="16"/>
  <c r="U946" i="16"/>
  <c r="N898" i="16"/>
  <c r="P958" i="16"/>
  <c r="W1422" i="16"/>
  <c r="U990" i="16"/>
  <c r="P190" i="16"/>
  <c r="AC1332" i="16"/>
  <c r="N270" i="16"/>
  <c r="U1745" i="16"/>
  <c r="P1470" i="16"/>
  <c r="W992" i="16"/>
  <c r="AA152" i="16"/>
  <c r="W470" i="16"/>
  <c r="Y591" i="16"/>
  <c r="AC690" i="16"/>
  <c r="W647" i="16"/>
  <c r="AA286" i="16"/>
  <c r="U310" i="16"/>
  <c r="W834" i="16"/>
  <c r="W952" i="16"/>
  <c r="U1247" i="16"/>
  <c r="AE1803" i="16"/>
  <c r="AC2100" i="16"/>
  <c r="L1322" i="16"/>
  <c r="W925" i="16"/>
  <c r="AA434" i="16"/>
  <c r="Y921" i="16"/>
  <c r="P2131" i="16"/>
  <c r="N1436" i="16"/>
  <c r="N1851" i="16"/>
  <c r="AC1249" i="16"/>
  <c r="U1573" i="16"/>
  <c r="AA1385" i="16"/>
  <c r="N874" i="16"/>
  <c r="P867" i="16"/>
  <c r="L764" i="16"/>
  <c r="AC1234" i="16"/>
  <c r="L1256" i="16"/>
  <c r="Y1055" i="16"/>
  <c r="AA1628" i="16"/>
  <c r="L1346" i="16"/>
  <c r="N1067" i="16"/>
  <c r="P194" i="16"/>
  <c r="L1339" i="16"/>
  <c r="W1460" i="16"/>
  <c r="L1217" i="16"/>
  <c r="U1199" i="16"/>
  <c r="N1578" i="16"/>
  <c r="P1025" i="16"/>
  <c r="P1916" i="16"/>
  <c r="W1987" i="16"/>
  <c r="N530" i="16"/>
  <c r="AC1312" i="16"/>
  <c r="L1394" i="16"/>
  <c r="N1402" i="16"/>
  <c r="Y81" i="16"/>
  <c r="AC1599" i="16"/>
  <c r="P845" i="16"/>
  <c r="L970" i="16"/>
  <c r="U1037" i="16"/>
  <c r="AA783" i="16"/>
  <c r="N1778" i="16"/>
  <c r="P472" i="16"/>
  <c r="L829" i="16"/>
  <c r="L942" i="16"/>
  <c r="AE1776" i="16"/>
  <c r="L145" i="16"/>
  <c r="Y1191" i="16"/>
  <c r="Y1027" i="16"/>
  <c r="Y289" i="16"/>
  <c r="N1157" i="16"/>
  <c r="AE1934" i="16"/>
  <c r="W1883" i="16"/>
  <c r="AC795" i="16"/>
  <c r="U1183" i="16"/>
  <c r="P1003" i="16"/>
  <c r="W240" i="16"/>
  <c r="W1070" i="16"/>
  <c r="W1823" i="16"/>
  <c r="Y936" i="16"/>
  <c r="L1813" i="16"/>
  <c r="U146" i="16"/>
  <c r="N603" i="16"/>
  <c r="P1561" i="16"/>
  <c r="W1247" i="16"/>
  <c r="AE1841" i="16"/>
  <c r="L169" i="16"/>
  <c r="U726" i="16"/>
  <c r="U1593" i="16"/>
  <c r="Y1369" i="16"/>
  <c r="AA1144" i="16"/>
  <c r="N528" i="16"/>
  <c r="P2078" i="16"/>
  <c r="N415" i="16"/>
  <c r="AA94" i="16"/>
  <c r="P1064" i="16"/>
  <c r="AC1174" i="16"/>
  <c r="Y1438" i="16"/>
  <c r="AC1059" i="16"/>
  <c r="U838" i="16"/>
  <c r="U403" i="16"/>
  <c r="N910" i="16"/>
  <c r="AC1245" i="16"/>
  <c r="AC424" i="16"/>
  <c r="P991" i="16"/>
  <c r="W662" i="16"/>
  <c r="U1026" i="16"/>
  <c r="P1673" i="16"/>
  <c r="AC1075" i="16"/>
  <c r="W1119" i="16"/>
  <c r="W694" i="16"/>
  <c r="P1767" i="16"/>
  <c r="N818" i="16"/>
  <c r="AA687" i="16"/>
  <c r="P489" i="16"/>
  <c r="AC663" i="16"/>
  <c r="N556" i="16"/>
  <c r="L360" i="16"/>
  <c r="P713" i="16"/>
  <c r="AC385" i="16"/>
  <c r="U1659" i="16"/>
  <c r="AC1639" i="16"/>
  <c r="Y1101" i="16"/>
  <c r="Y1395" i="16"/>
  <c r="N305" i="16"/>
  <c r="N301" i="16"/>
  <c r="Y487" i="16"/>
  <c r="AA604" i="16"/>
  <c r="W404" i="16"/>
  <c r="AC709" i="16"/>
  <c r="Y901" i="16"/>
  <c r="U697" i="16"/>
  <c r="L104" i="16"/>
  <c r="Y117" i="16"/>
  <c r="P1349" i="16"/>
  <c r="AA738" i="16"/>
  <c r="W1472" i="16"/>
  <c r="P1376" i="16"/>
  <c r="AC1613" i="16"/>
  <c r="P862" i="16"/>
  <c r="P50" i="16"/>
  <c r="Y1035" i="16"/>
  <c r="L1477" i="16"/>
  <c r="Y116" i="16"/>
  <c r="P670" i="16"/>
  <c r="N10" i="16"/>
  <c r="N1241" i="16"/>
  <c r="N191" i="16"/>
  <c r="N1215" i="16"/>
  <c r="U338" i="16"/>
  <c r="P522" i="16"/>
  <c r="U1664" i="16"/>
  <c r="AA759" i="16"/>
  <c r="W543" i="16"/>
  <c r="AC303" i="16"/>
  <c r="N120" i="16"/>
  <c r="L765" i="16"/>
  <c r="AA284" i="16"/>
  <c r="L1029" i="16"/>
  <c r="W959" i="16"/>
  <c r="L423" i="16"/>
  <c r="U1383" i="16"/>
  <c r="AC1443" i="16"/>
  <c r="U180" i="16"/>
  <c r="U682" i="16"/>
  <c r="AA1321" i="16"/>
  <c r="W2126" i="16"/>
  <c r="Y607" i="16"/>
  <c r="L1079" i="16"/>
  <c r="W530" i="16"/>
  <c r="L1937" i="16"/>
  <c r="Y1436" i="16"/>
  <c r="Y1072" i="16"/>
  <c r="AA1607" i="16"/>
  <c r="AC185" i="16"/>
  <c r="P1265" i="16"/>
  <c r="N789" i="16"/>
  <c r="Y728" i="16"/>
  <c r="P2" i="16"/>
  <c r="Y768" i="16"/>
  <c r="P90" i="16"/>
  <c r="U1208" i="16"/>
  <c r="AA1372" i="16"/>
  <c r="L396" i="16"/>
  <c r="AC700" i="16"/>
  <c r="Y574" i="16"/>
  <c r="P946" i="16"/>
  <c r="W239" i="16"/>
  <c r="Y742" i="16"/>
  <c r="Y634" i="16"/>
  <c r="W35" i="16"/>
  <c r="AC166" i="16"/>
  <c r="P181" i="16"/>
  <c r="U1395" i="16"/>
  <c r="AC1227" i="16"/>
  <c r="N878" i="16"/>
  <c r="P133" i="16"/>
  <c r="Y216" i="16"/>
  <c r="P375" i="16"/>
  <c r="U1540" i="16"/>
  <c r="AC1145" i="16"/>
  <c r="N995" i="16"/>
  <c r="AA640" i="16"/>
  <c r="P527" i="16"/>
  <c r="N1372" i="16"/>
  <c r="W246" i="16"/>
  <c r="N687" i="16"/>
  <c r="W206" i="16"/>
  <c r="U1566" i="16"/>
  <c r="U415" i="16"/>
  <c r="AC1253" i="16"/>
  <c r="P107" i="16"/>
  <c r="L947" i="16"/>
  <c r="Y271" i="16"/>
  <c r="AA1381" i="16"/>
  <c r="L1123" i="16"/>
  <c r="U864" i="16"/>
  <c r="U794" i="16"/>
  <c r="AA1229" i="16"/>
  <c r="N312" i="16"/>
  <c r="N216" i="16"/>
  <c r="Y196" i="16"/>
  <c r="U1277" i="16"/>
  <c r="Y978" i="16"/>
  <c r="U1706" i="16"/>
  <c r="L1120" i="16"/>
  <c r="P1264" i="16"/>
  <c r="U871" i="16"/>
  <c r="U573" i="16"/>
  <c r="L1039" i="16"/>
  <c r="W1815" i="16"/>
  <c r="AA1404" i="16"/>
  <c r="AC46" i="16"/>
  <c r="L1057" i="16"/>
  <c r="L1357" i="16"/>
  <c r="N184" i="16"/>
  <c r="P1078" i="16"/>
  <c r="AE1814" i="16"/>
  <c r="U456" i="16"/>
  <c r="W303" i="16"/>
  <c r="W1825" i="16"/>
  <c r="U151" i="16"/>
  <c r="P1266" i="16"/>
  <c r="Y1567" i="16"/>
  <c r="P1565" i="16"/>
  <c r="P316" i="16"/>
  <c r="AA77" i="16"/>
  <c r="W518" i="16"/>
  <c r="P586" i="16"/>
  <c r="U1893" i="16"/>
  <c r="U65" i="16"/>
  <c r="U1321" i="16"/>
  <c r="AA1228" i="16"/>
  <c r="Y690" i="16"/>
  <c r="U1226" i="16"/>
  <c r="U877" i="16"/>
  <c r="P45" i="16"/>
  <c r="U19" i="16"/>
  <c r="W1626" i="16"/>
  <c r="AC299" i="16"/>
  <c r="U876" i="16"/>
  <c r="U1234" i="16"/>
  <c r="AC253" i="16"/>
  <c r="AC1025" i="16"/>
  <c r="Y712" i="16"/>
  <c r="L1174" i="16"/>
  <c r="P273" i="16"/>
  <c r="U381" i="16"/>
  <c r="U131" i="16"/>
  <c r="AC363" i="16"/>
  <c r="P913" i="16"/>
  <c r="P929" i="16"/>
  <c r="AC948" i="16"/>
  <c r="L1074" i="16"/>
  <c r="L162" i="16"/>
  <c r="AA929" i="16"/>
  <c r="W523" i="16"/>
  <c r="Y225" i="16"/>
  <c r="W1826" i="16"/>
  <c r="W420" i="16"/>
  <c r="AA294" i="16"/>
  <c r="AC1199" i="16"/>
  <c r="P952" i="16"/>
  <c r="P1103" i="16"/>
  <c r="Y797" i="16"/>
  <c r="Y804" i="16"/>
  <c r="L993" i="16"/>
  <c r="L690" i="16"/>
  <c r="U1317" i="16"/>
  <c r="AA236" i="16"/>
  <c r="L833" i="16"/>
  <c r="AA964" i="16"/>
  <c r="U604" i="16"/>
  <c r="W705" i="16"/>
  <c r="U1281" i="16"/>
  <c r="AA713" i="16"/>
  <c r="L917" i="16"/>
  <c r="W821" i="16"/>
  <c r="L1133" i="16"/>
  <c r="N1023" i="16"/>
  <c r="U325" i="16"/>
  <c r="U1511" i="16"/>
  <c r="Y873" i="16"/>
  <c r="P632" i="16"/>
  <c r="U893" i="16"/>
  <c r="L110" i="16"/>
  <c r="L685" i="16"/>
  <c r="U300" i="16"/>
  <c r="P1760" i="16"/>
  <c r="W1887" i="16"/>
  <c r="U870" i="16"/>
  <c r="L288" i="16"/>
  <c r="P545" i="16"/>
  <c r="AC1526" i="16"/>
  <c r="P464" i="16"/>
  <c r="N646" i="16"/>
  <c r="W908" i="16"/>
  <c r="P352" i="16"/>
  <c r="W785" i="16"/>
  <c r="P777" i="16"/>
  <c r="L338" i="16"/>
  <c r="Y997" i="16"/>
  <c r="AA1096" i="16"/>
  <c r="N1232" i="16"/>
  <c r="U878" i="16"/>
  <c r="N467" i="16"/>
  <c r="U623" i="16"/>
  <c r="AC344" i="16"/>
  <c r="N112" i="16"/>
  <c r="U1248" i="16"/>
  <c r="N1092" i="16"/>
  <c r="U285" i="16"/>
  <c r="N796" i="16"/>
  <c r="U1459" i="16"/>
  <c r="Y1288" i="16"/>
  <c r="P134" i="16"/>
  <c r="W319" i="16"/>
  <c r="L83" i="16"/>
  <c r="W1111" i="16"/>
  <c r="L952" i="16"/>
  <c r="L513" i="16"/>
  <c r="P1244" i="16"/>
  <c r="AE1750" i="16"/>
  <c r="P1144" i="16"/>
  <c r="P1507" i="16"/>
  <c r="AC812" i="16"/>
  <c r="W130" i="16"/>
  <c r="W1346" i="16"/>
  <c r="U334" i="16"/>
  <c r="U689" i="16"/>
  <c r="L1371" i="16"/>
  <c r="AA820" i="16"/>
  <c r="P1021" i="16"/>
  <c r="L382" i="16"/>
  <c r="W1013" i="16"/>
  <c r="L474" i="16"/>
  <c r="Y396" i="16"/>
  <c r="U1050" i="16"/>
  <c r="AC1179" i="16"/>
  <c r="AC20" i="16"/>
  <c r="U799" i="16"/>
  <c r="P581" i="16"/>
  <c r="N1365" i="16"/>
  <c r="U773" i="16"/>
  <c r="L793" i="16"/>
  <c r="AA1006" i="16"/>
  <c r="L223" i="16"/>
  <c r="U385" i="16"/>
  <c r="W1768" i="16"/>
  <c r="AA211" i="16"/>
  <c r="P2035" i="16"/>
  <c r="U680" i="16"/>
  <c r="W702" i="16"/>
  <c r="U707" i="16"/>
  <c r="P1141" i="16"/>
  <c r="AC209" i="16"/>
  <c r="AC1384" i="16"/>
  <c r="L1817" i="16"/>
  <c r="AC626" i="16"/>
  <c r="P1063" i="16"/>
  <c r="AC441" i="16"/>
  <c r="Y866" i="16"/>
  <c r="P1047" i="16"/>
  <c r="U884" i="16"/>
  <c r="U627" i="16"/>
  <c r="P74" i="16"/>
  <c r="U676" i="16"/>
  <c r="Y455" i="16"/>
  <c r="Y321" i="16"/>
  <c r="W856" i="16"/>
  <c r="Y1611" i="16"/>
  <c r="N921" i="16"/>
  <c r="AA104" i="16"/>
  <c r="N629" i="16"/>
  <c r="N1637" i="16"/>
  <c r="P513" i="16"/>
  <c r="AA876" i="16"/>
  <c r="Y1078" i="16"/>
  <c r="U1020" i="16"/>
  <c r="L1600" i="16"/>
  <c r="Y884" i="16"/>
  <c r="P306" i="16"/>
  <c r="AA300" i="16"/>
  <c r="N1247" i="16"/>
  <c r="P1067" i="16"/>
  <c r="Y162" i="16"/>
  <c r="L1478" i="16"/>
  <c r="N1086" i="16"/>
  <c r="L567" i="16"/>
  <c r="AC851" i="16"/>
  <c r="AA1415" i="16"/>
  <c r="U1023" i="16"/>
  <c r="Y1439" i="16"/>
  <c r="L1590" i="16"/>
  <c r="L160" i="16"/>
  <c r="N46" i="16"/>
  <c r="W159" i="16"/>
  <c r="AC1007" i="16"/>
  <c r="AC908" i="16"/>
  <c r="AA1165" i="16"/>
  <c r="U858" i="16"/>
  <c r="N1114" i="16"/>
  <c r="L727" i="16"/>
  <c r="L606" i="16"/>
  <c r="W1667" i="16"/>
  <c r="W773" i="16"/>
  <c r="Y86" i="16"/>
  <c r="AC445" i="16"/>
  <c r="AA601" i="16"/>
  <c r="N645" i="16"/>
  <c r="AA390" i="16"/>
  <c r="N460" i="16"/>
  <c r="Y1206" i="16"/>
  <c r="AA47" i="16"/>
  <c r="U663" i="16"/>
  <c r="W1431" i="16"/>
  <c r="L1658" i="16"/>
  <c r="Y7" i="16"/>
  <c r="N497" i="16"/>
  <c r="Y838" i="16"/>
  <c r="W613" i="16"/>
  <c r="Y657" i="16"/>
  <c r="AC647" i="16"/>
  <c r="Y313" i="16"/>
  <c r="U933" i="16"/>
  <c r="AC634" i="16"/>
  <c r="P15" i="16"/>
  <c r="N104" i="16"/>
  <c r="Y530" i="16"/>
  <c r="U157" i="16"/>
  <c r="AA1401" i="16"/>
  <c r="W609" i="16"/>
  <c r="U332" i="16"/>
  <c r="P123" i="16"/>
  <c r="W1127" i="16"/>
  <c r="AC1016" i="16"/>
  <c r="L484" i="16"/>
  <c r="AA854" i="16"/>
  <c r="U400" i="16"/>
  <c r="U2043" i="16"/>
  <c r="P389" i="16"/>
  <c r="P1114" i="16"/>
  <c r="AC1321" i="16"/>
  <c r="Y1479" i="16"/>
  <c r="P66" i="16"/>
  <c r="W278" i="16"/>
  <c r="W232" i="16"/>
  <c r="U2119" i="16"/>
  <c r="AA169" i="16"/>
  <c r="AC1422" i="16"/>
  <c r="W1197" i="16"/>
  <c r="P161" i="16"/>
  <c r="U2004" i="16"/>
  <c r="U335" i="16"/>
  <c r="W139" i="16"/>
  <c r="AC418" i="16"/>
  <c r="P49" i="16"/>
  <c r="AC798" i="16"/>
  <c r="W1519" i="16"/>
  <c r="P401" i="16"/>
  <c r="N9" i="16"/>
  <c r="AA338" i="16"/>
  <c r="U246" i="16"/>
  <c r="U1405" i="16"/>
  <c r="N300" i="16"/>
  <c r="L379" i="16"/>
  <c r="Y502" i="16"/>
  <c r="U88" i="16"/>
  <c r="N1031" i="16"/>
  <c r="P52" i="16"/>
  <c r="N22" i="16"/>
  <c r="W716" i="16"/>
  <c r="U1253" i="16"/>
  <c r="P1119" i="16"/>
  <c r="AC471" i="16"/>
  <c r="N1498" i="16"/>
  <c r="L1324" i="16"/>
  <c r="W1717" i="16"/>
  <c r="Y486" i="16"/>
  <c r="AA1592" i="16"/>
  <c r="N1362" i="16"/>
  <c r="Y324" i="16"/>
  <c r="AA1169" i="16"/>
  <c r="U30" i="16"/>
  <c r="U12" i="16"/>
  <c r="AA590" i="16"/>
  <c r="AC928" i="16"/>
  <c r="P696" i="16"/>
  <c r="L492" i="16"/>
  <c r="L562" i="16"/>
  <c r="N19" i="16"/>
  <c r="P481" i="16"/>
  <c r="W692" i="16"/>
  <c r="AA412" i="16"/>
  <c r="N1328" i="16"/>
  <c r="W1336" i="16"/>
  <c r="AC1655" i="16"/>
  <c r="W604" i="16"/>
  <c r="W531" i="16"/>
  <c r="AC125" i="16"/>
  <c r="U583" i="16"/>
  <c r="AC747" i="16"/>
  <c r="W962" i="16"/>
  <c r="AA28" i="16"/>
  <c r="N1305" i="16"/>
  <c r="U1674" i="16"/>
  <c r="AA1257" i="16"/>
  <c r="Y685" i="16"/>
  <c r="AC249" i="16"/>
  <c r="W874" i="16"/>
  <c r="U266" i="16"/>
  <c r="N395" i="16"/>
  <c r="AA2121" i="16"/>
  <c r="L1516" i="16"/>
  <c r="AC974" i="16"/>
  <c r="AC938" i="16"/>
  <c r="AE1812" i="16"/>
  <c r="P1995" i="16"/>
  <c r="P1200" i="16"/>
  <c r="L887" i="16"/>
  <c r="L2055" i="16"/>
  <c r="P787" i="16"/>
  <c r="N1380" i="16"/>
  <c r="AE1801" i="16"/>
  <c r="N1426" i="16"/>
  <c r="W844" i="16"/>
  <c r="U1045" i="16"/>
  <c r="AA663" i="16"/>
  <c r="N2136" i="16"/>
  <c r="L717" i="16"/>
  <c r="AC500" i="16"/>
  <c r="P1462" i="16"/>
  <c r="W2088" i="16"/>
  <c r="N701" i="16"/>
  <c r="AC944" i="16"/>
  <c r="N1168" i="16"/>
  <c r="U1608" i="16"/>
  <c r="N788" i="16"/>
  <c r="AC1379" i="16"/>
  <c r="AC651" i="16"/>
  <c r="AA65" i="16"/>
  <c r="U1961" i="16"/>
  <c r="W1920" i="16"/>
  <c r="AA1466" i="16"/>
  <c r="Y871" i="16"/>
  <c r="P648" i="16"/>
  <c r="AA1579" i="16"/>
  <c r="U1361" i="16"/>
  <c r="L165" i="16"/>
  <c r="P1135" i="16"/>
  <c r="Y1461" i="16"/>
  <c r="P1243" i="16"/>
  <c r="Y1264" i="16"/>
  <c r="Y1014" i="16"/>
  <c r="P377" i="16"/>
  <c r="N1360" i="16"/>
  <c r="L1331" i="16"/>
  <c r="U1000" i="16"/>
  <c r="U901" i="16"/>
  <c r="AA1615" i="16"/>
  <c r="U1675" i="16"/>
  <c r="L1692" i="16"/>
  <c r="P790" i="16"/>
  <c r="Y1265" i="16"/>
  <c r="P957" i="16"/>
  <c r="N1262" i="16"/>
  <c r="U368" i="16"/>
  <c r="P263" i="16"/>
  <c r="AC613" i="16"/>
  <c r="P1763" i="16"/>
  <c r="P1887" i="16"/>
  <c r="W2036" i="16"/>
  <c r="N1620" i="16"/>
  <c r="N2028" i="16"/>
  <c r="AC2052" i="16"/>
  <c r="AE2014" i="16"/>
  <c r="W1876" i="16"/>
  <c r="L684" i="16"/>
  <c r="P1040" i="16"/>
  <c r="AE1978" i="16"/>
  <c r="Y1128" i="16"/>
  <c r="N1670" i="16"/>
  <c r="U989" i="16"/>
  <c r="N1044" i="16"/>
  <c r="L1758" i="16"/>
  <c r="L1446" i="16"/>
  <c r="Y1604" i="16"/>
  <c r="L1482" i="16"/>
  <c r="AC977" i="16"/>
  <c r="U1863" i="16"/>
  <c r="N1382" i="16"/>
  <c r="L2102" i="16"/>
  <c r="P1602" i="16"/>
  <c r="AA1641" i="16"/>
  <c r="AA1291" i="16"/>
  <c r="L1316" i="16"/>
  <c r="AC852" i="16"/>
  <c r="P1271" i="16"/>
  <c r="AA653" i="16"/>
  <c r="U1071" i="16"/>
  <c r="AC1460" i="16"/>
  <c r="P771" i="16"/>
  <c r="U402" i="16"/>
  <c r="N663" i="16"/>
  <c r="U207" i="16"/>
  <c r="U2079" i="16"/>
  <c r="N1582" i="16"/>
  <c r="N784" i="16"/>
  <c r="L589" i="16"/>
  <c r="N689" i="16"/>
  <c r="N794" i="16"/>
  <c r="W861" i="16"/>
  <c r="AA1346" i="16"/>
  <c r="L928" i="16"/>
  <c r="L1064" i="16"/>
  <c r="W268" i="16"/>
  <c r="P549" i="16"/>
  <c r="AC480" i="16"/>
  <c r="L2038" i="16"/>
  <c r="AA746" i="16"/>
  <c r="L1215" i="16"/>
  <c r="L2153" i="16"/>
  <c r="Y1114" i="16"/>
  <c r="Y1102" i="16"/>
  <c r="AC1611" i="16"/>
  <c r="N1277" i="16"/>
  <c r="AA1067" i="16"/>
  <c r="AC483" i="16"/>
  <c r="W1642" i="16"/>
  <c r="U997" i="16"/>
  <c r="AA46" i="16"/>
  <c r="AA420" i="16"/>
  <c r="U857" i="16"/>
  <c r="AA485" i="16"/>
  <c r="W2056" i="16"/>
  <c r="AA903" i="16"/>
  <c r="W230" i="16"/>
  <c r="U1481" i="16"/>
  <c r="L1486" i="16"/>
  <c r="AC905" i="16"/>
  <c r="AC408" i="16"/>
  <c r="U1805" i="16"/>
  <c r="AA1208" i="16"/>
  <c r="U1736" i="16"/>
  <c r="Y1372" i="16"/>
  <c r="AA784" i="16"/>
  <c r="Y1444" i="16"/>
  <c r="W78" i="16"/>
  <c r="P889" i="16"/>
  <c r="U956" i="16"/>
  <c r="Y924" i="16"/>
  <c r="L767" i="16"/>
  <c r="W1407" i="16"/>
  <c r="P512" i="16"/>
  <c r="W1278" i="16"/>
  <c r="AA675" i="16"/>
  <c r="Y1712" i="16"/>
  <c r="W800" i="16"/>
  <c r="AC1479" i="16"/>
  <c r="AA587" i="16"/>
  <c r="Y217" i="16"/>
  <c r="U1410" i="16"/>
  <c r="L498" i="16"/>
  <c r="Y1109" i="16"/>
  <c r="L667" i="16"/>
  <c r="AA1491" i="16"/>
  <c r="U20" i="16"/>
  <c r="U1843" i="16"/>
  <c r="L961" i="16"/>
  <c r="AC1185" i="16"/>
  <c r="P2102" i="16"/>
  <c r="L889" i="16"/>
  <c r="AC958" i="16"/>
  <c r="U433" i="16"/>
  <c r="AC610" i="16"/>
  <c r="AA330" i="16"/>
  <c r="P1069" i="16"/>
  <c r="AC509" i="16"/>
  <c r="W2082" i="16"/>
  <c r="AA395" i="16"/>
  <c r="AA27" i="16"/>
  <c r="U528" i="16"/>
  <c r="L1143" i="16"/>
  <c r="AA1118" i="16"/>
  <c r="AA1708" i="16"/>
  <c r="U1175" i="16"/>
  <c r="AE1929" i="16"/>
  <c r="P1222" i="16"/>
  <c r="N1923" i="16"/>
  <c r="W1099" i="16"/>
  <c r="P1032" i="16"/>
  <c r="AA1029" i="16"/>
  <c r="N674" i="16"/>
  <c r="AA711" i="16"/>
  <c r="U1138" i="16"/>
  <c r="W1633" i="16"/>
  <c r="W443" i="16"/>
  <c r="L577" i="16"/>
  <c r="AA555" i="16"/>
  <c r="U2141" i="16"/>
  <c r="AE1824" i="16"/>
  <c r="N1633" i="16"/>
  <c r="L576" i="16"/>
  <c r="P2125" i="16"/>
  <c r="W1040" i="16"/>
  <c r="Y1141" i="16"/>
  <c r="AA1040" i="16"/>
  <c r="L1285" i="16"/>
  <c r="W1020" i="16"/>
  <c r="N1010" i="16"/>
  <c r="U202" i="16"/>
  <c r="U747" i="16"/>
  <c r="N1327" i="16"/>
  <c r="AA1478" i="16"/>
  <c r="L529" i="16"/>
  <c r="P338" i="16"/>
  <c r="AA1136" i="16"/>
  <c r="AA1168" i="16"/>
  <c r="AC349" i="16"/>
  <c r="Y134" i="16"/>
  <c r="W344" i="16"/>
  <c r="AA1492" i="16"/>
  <c r="N1465" i="16"/>
  <c r="P1344" i="16"/>
  <c r="N791" i="16"/>
  <c r="Y1323" i="16"/>
  <c r="N1002" i="16"/>
  <c r="U1267" i="16"/>
  <c r="P954" i="16"/>
  <c r="U1332" i="16"/>
  <c r="U369" i="16"/>
  <c r="AC1229" i="16"/>
  <c r="L409" i="16"/>
  <c r="W1200" i="16"/>
  <c r="N1562" i="16"/>
  <c r="N613" i="16"/>
  <c r="AA680" i="16"/>
  <c r="W914" i="16"/>
  <c r="W891" i="16"/>
  <c r="AA443" i="16"/>
  <c r="W2031" i="16"/>
  <c r="L260" i="16"/>
  <c r="P437" i="16"/>
  <c r="N1823" i="16"/>
  <c r="N147" i="16"/>
  <c r="N605" i="16"/>
  <c r="W1258" i="16"/>
  <c r="P365" i="16"/>
  <c r="L1140" i="16"/>
  <c r="AC671" i="16"/>
  <c r="AC1845" i="16"/>
  <c r="AA1135" i="16"/>
  <c r="AA899" i="16"/>
  <c r="N611" i="16"/>
  <c r="P1259" i="16"/>
  <c r="L1022" i="16"/>
  <c r="AC1553" i="16"/>
  <c r="Y958" i="16"/>
  <c r="L1139" i="16"/>
  <c r="L1538" i="16"/>
  <c r="N13" i="16"/>
  <c r="AC416" i="16"/>
  <c r="N151" i="16"/>
  <c r="AA1523" i="16"/>
  <c r="AA516" i="16"/>
  <c r="P471" i="16"/>
  <c r="AA842" i="16"/>
  <c r="P106" i="16"/>
  <c r="P234" i="16"/>
  <c r="U2047" i="16"/>
  <c r="U1323" i="16"/>
  <c r="AA1295" i="16"/>
  <c r="N871" i="16"/>
  <c r="AE1818" i="16"/>
  <c r="U1144" i="16"/>
  <c r="P674" i="16"/>
  <c r="AC1631" i="16"/>
  <c r="AA771" i="16"/>
  <c r="Y50" i="16"/>
  <c r="AA676" i="16"/>
  <c r="L974" i="16"/>
  <c r="P940" i="16"/>
  <c r="U733" i="16"/>
  <c r="L1757" i="16"/>
  <c r="W1227" i="16"/>
  <c r="AA1039" i="16"/>
  <c r="Y266" i="16"/>
  <c r="AC1111" i="16"/>
  <c r="W222" i="16"/>
  <c r="Y397" i="16"/>
  <c r="U411" i="16"/>
  <c r="Y340" i="16"/>
  <c r="P1188" i="16"/>
  <c r="L587" i="16"/>
  <c r="AA1068" i="16"/>
  <c r="Y1486" i="16"/>
  <c r="AA1650" i="16"/>
  <c r="U1951" i="16"/>
  <c r="U416" i="16"/>
  <c r="AA638" i="16"/>
  <c r="AC104" i="16"/>
  <c r="N1162" i="16"/>
  <c r="U1355" i="16"/>
  <c r="P604" i="16"/>
  <c r="Y828" i="16"/>
  <c r="P1595" i="16"/>
  <c r="AA292" i="16"/>
  <c r="P1166" i="16"/>
  <c r="P1045" i="16"/>
  <c r="U746" i="16"/>
  <c r="AC248" i="16"/>
  <c r="AA917" i="16"/>
  <c r="L759" i="16"/>
  <c r="N1467" i="16"/>
  <c r="N1573" i="16"/>
  <c r="Y682" i="16"/>
  <c r="P740" i="16"/>
  <c r="U1722" i="16"/>
  <c r="P1199" i="16"/>
  <c r="W1744" i="16"/>
  <c r="P249" i="16"/>
  <c r="N448" i="16"/>
  <c r="W627" i="16"/>
  <c r="L313" i="16"/>
  <c r="U1483" i="16"/>
  <c r="W392" i="16"/>
  <c r="AA533" i="16"/>
  <c r="AA290" i="16"/>
  <c r="AA503" i="16"/>
  <c r="U292" i="16"/>
  <c r="N1577" i="16"/>
  <c r="AC732" i="16"/>
  <c r="U1680" i="16"/>
  <c r="L527" i="16"/>
  <c r="W111" i="16"/>
  <c r="P242" i="16"/>
  <c r="P1034" i="16"/>
  <c r="U105" i="16"/>
  <c r="AC72" i="16"/>
  <c r="P594" i="16"/>
  <c r="AC1003" i="16"/>
  <c r="W270" i="16"/>
  <c r="L1545" i="16"/>
  <c r="Y733" i="16"/>
  <c r="N836" i="16"/>
  <c r="U816" i="16"/>
  <c r="W238" i="16"/>
  <c r="AA215" i="16"/>
  <c r="L979" i="16"/>
  <c r="P125" i="16"/>
  <c r="AA526" i="16"/>
  <c r="U1782" i="16"/>
  <c r="P1129" i="16"/>
  <c r="AA989" i="16"/>
  <c r="Y1536" i="16"/>
  <c r="L1332" i="16"/>
  <c r="N64" i="16"/>
  <c r="AC833" i="16"/>
  <c r="Y1304" i="16"/>
  <c r="AC1757" i="16"/>
  <c r="AC163" i="16"/>
  <c r="P1610" i="16"/>
  <c r="W1092" i="16"/>
  <c r="AC178" i="16"/>
  <c r="L855" i="16"/>
  <c r="Y1359" i="16"/>
  <c r="W337" i="16"/>
  <c r="P384" i="16"/>
  <c r="U1562" i="16"/>
  <c r="AC355" i="16"/>
  <c r="U177" i="16"/>
  <c r="AC1063" i="16"/>
  <c r="N137" i="16"/>
  <c r="W1134" i="16"/>
  <c r="U217" i="16"/>
  <c r="W38" i="16"/>
  <c r="Y785" i="16"/>
  <c r="AA185" i="16"/>
  <c r="L1230" i="16"/>
  <c r="AE1919" i="16"/>
  <c r="L552" i="16"/>
  <c r="U1166" i="16"/>
  <c r="P1837" i="16"/>
  <c r="AC708" i="16"/>
  <c r="Y1317" i="16"/>
  <c r="P1304" i="16"/>
  <c r="AC1220" i="16"/>
  <c r="L2125" i="16"/>
  <c r="U1221" i="16"/>
  <c r="P235" i="16"/>
  <c r="Y1402" i="16"/>
  <c r="U477" i="16"/>
  <c r="AC1037" i="16"/>
  <c r="W1803" i="16"/>
  <c r="N291" i="16"/>
  <c r="L1560" i="16"/>
  <c r="AC1285" i="16"/>
  <c r="Y1494" i="16"/>
  <c r="N235" i="16"/>
  <c r="Y312" i="16"/>
  <c r="N1352" i="16"/>
  <c r="AC2018" i="16"/>
  <c r="L1687" i="16"/>
  <c r="Y1456" i="16"/>
  <c r="N1943" i="16"/>
  <c r="N1170" i="16"/>
  <c r="U656" i="16"/>
  <c r="AC1948" i="16"/>
  <c r="W1618" i="16"/>
  <c r="U993" i="16"/>
  <c r="L1048" i="16"/>
  <c r="U1082" i="16"/>
  <c r="Y221" i="16"/>
  <c r="P816" i="16"/>
  <c r="AA457" i="16"/>
  <c r="N224" i="16"/>
  <c r="W169" i="16"/>
  <c r="P1397" i="16"/>
  <c r="W727" i="16"/>
  <c r="W1788" i="16"/>
  <c r="U1010" i="16"/>
  <c r="P1054" i="16"/>
  <c r="N1109" i="16"/>
  <c r="W110" i="16"/>
  <c r="AA779" i="16"/>
  <c r="AC269" i="16"/>
  <c r="L799" i="16"/>
  <c r="Y1273" i="16"/>
  <c r="AC156" i="16"/>
  <c r="AC1190" i="16"/>
  <c r="AC824" i="16"/>
  <c r="P243" i="16"/>
  <c r="N893" i="16"/>
  <c r="N1586" i="16"/>
  <c r="N1438" i="16"/>
  <c r="W276" i="16"/>
  <c r="U1062" i="16"/>
  <c r="N805" i="16"/>
  <c r="AC1314" i="16"/>
  <c r="Y1113" i="16"/>
  <c r="N772" i="16"/>
  <c r="AA932" i="16"/>
  <c r="AC1066" i="16"/>
  <c r="U1632" i="16"/>
  <c r="AA110" i="16"/>
  <c r="U664" i="16"/>
  <c r="AC496" i="16"/>
  <c r="AA944" i="16"/>
  <c r="U595" i="16"/>
  <c r="L724" i="16"/>
  <c r="U888" i="16"/>
  <c r="P465" i="16"/>
  <c r="U486" i="16"/>
  <c r="W63" i="16"/>
  <c r="AC876" i="16"/>
  <c r="AA1143" i="16"/>
  <c r="AC99" i="16"/>
  <c r="W1285" i="16"/>
  <c r="AC1112" i="16"/>
  <c r="L543" i="16"/>
  <c r="AC271" i="16"/>
  <c r="P340" i="16"/>
  <c r="Y1705" i="16"/>
  <c r="N356" i="16"/>
  <c r="L611" i="16"/>
  <c r="U257" i="16"/>
  <c r="Y1306" i="16"/>
  <c r="N746" i="16"/>
  <c r="Y261" i="16"/>
  <c r="N534" i="16"/>
  <c r="W558" i="16"/>
  <c r="AC68" i="16"/>
  <c r="AC545" i="16"/>
  <c r="AA1180" i="16"/>
  <c r="N1506" i="16"/>
  <c r="L1350" i="16"/>
  <c r="W1123" i="16"/>
  <c r="AA1241" i="16"/>
  <c r="W1733" i="16"/>
  <c r="P712" i="16"/>
  <c r="AC321" i="16"/>
  <c r="AA53" i="16"/>
  <c r="AC164" i="16"/>
  <c r="N1007" i="16"/>
  <c r="AC43" i="16"/>
  <c r="AA1292" i="16"/>
  <c r="Y1465" i="16"/>
  <c r="Y816" i="16"/>
  <c r="U1526" i="16"/>
  <c r="W832" i="16"/>
  <c r="AC1341" i="16"/>
  <c r="W987" i="16"/>
  <c r="Y1222" i="16"/>
  <c r="L435" i="16"/>
  <c r="U1427" i="16"/>
  <c r="AA1357" i="16"/>
  <c r="AC1060" i="16"/>
  <c r="L361" i="16"/>
  <c r="AA39" i="16"/>
  <c r="N378" i="16"/>
  <c r="U238" i="16"/>
  <c r="AA1418" i="16"/>
  <c r="U443" i="16"/>
  <c r="AA902" i="16"/>
  <c r="AC2149" i="16"/>
  <c r="AC1444" i="16"/>
  <c r="P409" i="16"/>
  <c r="AC706" i="16"/>
  <c r="N1346" i="16"/>
  <c r="L988" i="16"/>
  <c r="P163" i="16"/>
  <c r="AA1410" i="16"/>
  <c r="AA637" i="16"/>
  <c r="N143" i="16"/>
  <c r="N1374" i="16"/>
  <c r="W308" i="16"/>
  <c r="P1267" i="16"/>
  <c r="N1839" i="16"/>
  <c r="AA1048" i="16"/>
  <c r="N157" i="16"/>
  <c r="AC16" i="16"/>
  <c r="L1349" i="16"/>
  <c r="Y204" i="16"/>
  <c r="L487" i="16"/>
  <c r="P1226" i="16"/>
  <c r="N972" i="16"/>
  <c r="L909" i="16"/>
  <c r="L295" i="16"/>
  <c r="AA1009" i="16"/>
  <c r="W1666" i="16"/>
  <c r="P390" i="16"/>
  <c r="P539" i="16"/>
  <c r="L619" i="16"/>
  <c r="AA813" i="16"/>
  <c r="AC705" i="16"/>
  <c r="AC666" i="16"/>
  <c r="N40" i="16"/>
  <c r="U504" i="16"/>
  <c r="AA1049" i="16"/>
  <c r="U801" i="16"/>
  <c r="W1122" i="16"/>
  <c r="W553" i="16"/>
  <c r="U377" i="16"/>
  <c r="N758" i="16"/>
  <c r="L1114" i="16"/>
  <c r="L330" i="16"/>
  <c r="P794" i="16"/>
  <c r="Y832" i="16"/>
  <c r="U652" i="16"/>
  <c r="L232" i="16"/>
  <c r="L964" i="16"/>
  <c r="P80" i="16"/>
  <c r="AC750" i="16"/>
  <c r="W1612" i="16"/>
  <c r="Y251" i="16"/>
  <c r="N1487" i="16"/>
  <c r="U164" i="16"/>
  <c r="Y564" i="16"/>
  <c r="W1245" i="16"/>
  <c r="AA256" i="16"/>
  <c r="P1169" i="16"/>
  <c r="L309" i="16"/>
  <c r="N273" i="16"/>
  <c r="AA963" i="16"/>
  <c r="W654" i="16"/>
  <c r="W1669" i="16"/>
  <c r="Y361" i="16"/>
  <c r="AC569" i="16"/>
  <c r="U670" i="16"/>
  <c r="P671" i="16"/>
  <c r="U1698" i="16"/>
  <c r="Y1411" i="16"/>
  <c r="U1014" i="16"/>
  <c r="AA1313" i="16"/>
  <c r="W596" i="16"/>
  <c r="P854" i="16"/>
  <c r="W161" i="16"/>
  <c r="L1033" i="16"/>
  <c r="L557" i="16"/>
  <c r="AC1987" i="16"/>
  <c r="U1075" i="16"/>
  <c r="W386" i="16"/>
  <c r="AA16" i="16"/>
  <c r="AC414" i="16"/>
  <c r="P224" i="16"/>
  <c r="N631" i="16"/>
  <c r="AC1363" i="16"/>
  <c r="AC143" i="16"/>
  <c r="P914" i="16"/>
  <c r="N760" i="16"/>
  <c r="P623" i="16"/>
  <c r="AC713" i="16"/>
  <c r="N694" i="16"/>
  <c r="AC951" i="16"/>
  <c r="AA317" i="16"/>
  <c r="P1219" i="16"/>
  <c r="AA710" i="16"/>
  <c r="P933" i="16"/>
  <c r="W1425" i="16"/>
  <c r="AA617" i="16"/>
  <c r="W495" i="16"/>
  <c r="AA411" i="16"/>
  <c r="U2151" i="16"/>
  <c r="U251" i="16"/>
  <c r="W2063" i="16"/>
  <c r="P2153" i="16"/>
  <c r="N1636" i="16"/>
  <c r="N1153" i="16"/>
  <c r="AA1553" i="16"/>
  <c r="L1995" i="16"/>
  <c r="L975" i="16"/>
  <c r="P731" i="16"/>
  <c r="AA1495" i="16"/>
  <c r="N911" i="16"/>
  <c r="U541" i="16"/>
  <c r="P360" i="16"/>
  <c r="L1661" i="16"/>
  <c r="P1649" i="16"/>
  <c r="Y1013" i="16"/>
  <c r="Y1258" i="16"/>
  <c r="P1008" i="16"/>
  <c r="U1791" i="16"/>
  <c r="Y1242" i="16"/>
  <c r="P1844" i="16"/>
  <c r="W754" i="16"/>
  <c r="N12" i="16"/>
  <c r="AA15" i="16"/>
  <c r="AC1237" i="16"/>
  <c r="Y1517" i="16"/>
  <c r="AC1772" i="16"/>
  <c r="N841" i="16"/>
  <c r="L497" i="16"/>
  <c r="AA535" i="16"/>
  <c r="L560" i="16"/>
  <c r="W1271" i="16"/>
  <c r="Y1343" i="16"/>
  <c r="N697" i="16"/>
  <c r="U1609" i="16"/>
  <c r="N575" i="16"/>
  <c r="AA611" i="16"/>
  <c r="L851" i="16"/>
  <c r="Y420" i="16"/>
  <c r="U253" i="16"/>
  <c r="L217" i="16"/>
  <c r="AC102" i="16"/>
  <c r="AC731" i="16"/>
  <c r="U60" i="16"/>
  <c r="W1309" i="16"/>
  <c r="AA138" i="16"/>
  <c r="U820" i="16"/>
  <c r="U973" i="16"/>
  <c r="AA918" i="16"/>
  <c r="P1121" i="16"/>
  <c r="L443" i="16"/>
  <c r="P584" i="16"/>
  <c r="U355" i="16"/>
  <c r="AA910" i="16"/>
  <c r="L315" i="16"/>
  <c r="U750" i="16"/>
  <c r="L218" i="16"/>
  <c r="W445" i="16"/>
  <c r="P907" i="16"/>
  <c r="AA1377" i="16"/>
  <c r="AA754" i="16"/>
  <c r="W862" i="16"/>
  <c r="AA1157" i="16"/>
  <c r="L1220" i="16"/>
  <c r="AC931" i="16"/>
  <c r="W762" i="16"/>
  <c r="Y1303" i="16"/>
  <c r="AA1010" i="16"/>
  <c r="AA501" i="16"/>
  <c r="AA464" i="16"/>
  <c r="Y429" i="16"/>
  <c r="W1114" i="16"/>
  <c r="U936" i="16"/>
  <c r="P637" i="16"/>
  <c r="U509" i="16"/>
  <c r="Y484" i="16"/>
  <c r="AA1031" i="16"/>
  <c r="L815" i="16"/>
  <c r="W1143" i="16"/>
  <c r="AC847" i="16"/>
  <c r="AC2106" i="16"/>
  <c r="L1272" i="16"/>
  <c r="U534" i="16"/>
  <c r="N571" i="16"/>
  <c r="L1731" i="16"/>
  <c r="P148" i="16"/>
  <c r="P114" i="16"/>
  <c r="U822" i="16"/>
  <c r="W4" i="16"/>
  <c r="U1375" i="16"/>
  <c r="AA128" i="16"/>
  <c r="P1190" i="16"/>
  <c r="W826" i="16"/>
  <c r="Y403" i="16"/>
  <c r="W994" i="16"/>
  <c r="W1699" i="16"/>
  <c r="L741" i="16"/>
  <c r="AC744" i="16"/>
  <c r="Y554" i="16"/>
  <c r="AA1110" i="16"/>
  <c r="Y819" i="16"/>
  <c r="W1481" i="16"/>
  <c r="P1408" i="16"/>
  <c r="N483" i="16"/>
  <c r="Y111" i="16"/>
  <c r="AA1330" i="16"/>
  <c r="Y1079" i="16"/>
  <c r="P1430" i="16"/>
  <c r="AC1279" i="16"/>
  <c r="Y764" i="16"/>
  <c r="P1442" i="16"/>
  <c r="AC616" i="16"/>
  <c r="W758" i="16"/>
  <c r="AC859" i="16"/>
  <c r="AA62" i="16"/>
  <c r="P1482" i="16"/>
  <c r="W2119" i="16"/>
  <c r="U696" i="16"/>
  <c r="L1244" i="16"/>
  <c r="N159" i="16"/>
  <c r="L1036" i="16"/>
  <c r="P149" i="16"/>
  <c r="U1401" i="16"/>
  <c r="AC457" i="16"/>
  <c r="P233" i="16"/>
  <c r="AC1511" i="16"/>
  <c r="W967" i="16"/>
  <c r="Y994" i="16"/>
  <c r="AC2058" i="16"/>
  <c r="AC761" i="16"/>
  <c r="N614" i="16"/>
  <c r="W219" i="16"/>
  <c r="N1497" i="16"/>
  <c r="AC511" i="16"/>
  <c r="U395" i="16"/>
  <c r="P1704" i="16"/>
  <c r="AA409" i="16"/>
  <c r="P1608" i="16"/>
  <c r="AC589" i="16"/>
  <c r="U1004" i="16"/>
  <c r="W840" i="16"/>
  <c r="AC1080" i="16"/>
  <c r="U507" i="16"/>
  <c r="L933" i="16"/>
  <c r="N738" i="16"/>
  <c r="W715" i="16"/>
  <c r="AA312" i="16"/>
  <c r="Y631" i="16"/>
  <c r="Y761" i="16"/>
  <c r="Y485" i="16"/>
  <c r="AA1188" i="16"/>
  <c r="AA666" i="16"/>
  <c r="U1414" i="16"/>
  <c r="W489" i="16"/>
  <c r="L2091" i="16"/>
  <c r="N975" i="16"/>
  <c r="U1688" i="16"/>
  <c r="Y960" i="16"/>
  <c r="L446" i="16"/>
  <c r="L1094" i="16"/>
  <c r="AA1605" i="16"/>
  <c r="AC1067" i="16"/>
  <c r="W1477" i="16"/>
  <c r="AC1982" i="16"/>
  <c r="AA833" i="16"/>
  <c r="U281" i="16"/>
  <c r="AC197" i="16"/>
  <c r="P1485" i="16"/>
  <c r="W316" i="16"/>
  <c r="U1754" i="16"/>
  <c r="L1398" i="16"/>
  <c r="AC1847" i="16"/>
  <c r="N432" i="16"/>
  <c r="AA60" i="16"/>
  <c r="AA306" i="16"/>
  <c r="Y235" i="16"/>
  <c r="P253" i="16"/>
  <c r="Y1174" i="16"/>
  <c r="P1116" i="16"/>
  <c r="P920" i="16"/>
  <c r="L1038" i="16"/>
  <c r="L771" i="16"/>
  <c r="P575" i="16"/>
  <c r="N1570" i="16"/>
  <c r="L1093" i="16"/>
  <c r="U926" i="16"/>
  <c r="AA1393" i="16"/>
  <c r="AE1846" i="16"/>
  <c r="P260" i="16"/>
  <c r="N1022" i="16"/>
  <c r="Y918" i="16"/>
  <c r="AA1227" i="16"/>
  <c r="L1404" i="16"/>
  <c r="AC1254" i="16"/>
  <c r="P397" i="16"/>
  <c r="L430" i="16"/>
  <c r="W2135" i="16"/>
  <c r="Y442" i="16"/>
  <c r="P1483" i="16"/>
  <c r="W670" i="16"/>
  <c r="L452" i="16"/>
  <c r="P1306" i="16"/>
  <c r="Y555" i="16"/>
  <c r="W960" i="16"/>
  <c r="AC2" i="16"/>
  <c r="AC12" i="16"/>
  <c r="Y127" i="16"/>
  <c r="U718" i="16"/>
  <c r="U1163" i="16"/>
  <c r="P259" i="16"/>
  <c r="L570" i="16"/>
  <c r="P450" i="16"/>
  <c r="W205" i="16"/>
  <c r="AC324" i="16"/>
  <c r="W805" i="16"/>
  <c r="L1176" i="16"/>
  <c r="L19" i="16"/>
  <c r="P1406" i="16"/>
  <c r="AA1000" i="16"/>
  <c r="L325" i="16"/>
  <c r="Y1496" i="16"/>
  <c r="U1422" i="16"/>
  <c r="W1188" i="16"/>
  <c r="L581" i="16"/>
  <c r="Y1030" i="16"/>
  <c r="W1809" i="16"/>
  <c r="P754" i="16"/>
  <c r="Y571" i="16"/>
  <c r="AA1064" i="16"/>
  <c r="N1668" i="16"/>
  <c r="Y1300" i="16"/>
  <c r="Y169" i="16"/>
  <c r="AA730" i="16"/>
  <c r="U945" i="16"/>
  <c r="L216" i="16"/>
  <c r="N1395" i="16"/>
  <c r="N538" i="16"/>
  <c r="L1481" i="16"/>
  <c r="AC1117" i="16"/>
  <c r="U638" i="16"/>
  <c r="U1378" i="16"/>
  <c r="AC952" i="16"/>
  <c r="L1059" i="16"/>
  <c r="P1390" i="16"/>
  <c r="U1425" i="16"/>
  <c r="Y1345" i="16"/>
  <c r="W1337" i="16"/>
  <c r="W160" i="16"/>
  <c r="L1487" i="16"/>
  <c r="U1046" i="16"/>
  <c r="W733" i="16"/>
  <c r="AC725" i="16"/>
  <c r="P370" i="16"/>
  <c r="L1467" i="16"/>
  <c r="L1241" i="16"/>
  <c r="AA810" i="16"/>
  <c r="W1246" i="16"/>
  <c r="U1041" i="16"/>
  <c r="AA955" i="16"/>
  <c r="AA585" i="16"/>
  <c r="AA1060" i="16"/>
  <c r="P641" i="16"/>
  <c r="Y1033" i="16"/>
  <c r="N705" i="16"/>
  <c r="Y97" i="16"/>
  <c r="AA1232" i="16"/>
  <c r="U1314" i="16"/>
  <c r="AC95" i="16"/>
  <c r="U203" i="16"/>
  <c r="AC353" i="16"/>
  <c r="L1319" i="16"/>
  <c r="W1792" i="16"/>
  <c r="N1654" i="16"/>
  <c r="L1541" i="16"/>
  <c r="U755" i="16"/>
  <c r="L534" i="16"/>
  <c r="AC1283" i="16"/>
  <c r="U1763" i="16"/>
  <c r="N1479" i="16"/>
  <c r="W209" i="16"/>
  <c r="AC937" i="16"/>
  <c r="P770" i="16"/>
  <c r="L1066" i="16"/>
  <c r="P1071" i="16"/>
  <c r="P379" i="16"/>
  <c r="Y802" i="16"/>
  <c r="W12" i="16"/>
  <c r="AA1507" i="16"/>
  <c r="P1410" i="16"/>
  <c r="AA250" i="16"/>
  <c r="AC224" i="16"/>
  <c r="W1035" i="16"/>
  <c r="L1054" i="16"/>
  <c r="W642" i="16"/>
  <c r="P1459" i="16"/>
  <c r="Y846" i="16"/>
  <c r="AC274" i="16"/>
  <c r="Y1330" i="16"/>
  <c r="AC1180" i="16"/>
  <c r="W923" i="16"/>
  <c r="N626" i="16"/>
  <c r="AC428" i="16"/>
  <c r="P1604" i="16"/>
  <c r="L1379" i="16"/>
  <c r="P1181" i="16"/>
  <c r="U1535" i="16"/>
  <c r="AA539" i="16"/>
  <c r="P1538" i="16"/>
  <c r="N1295" i="16"/>
  <c r="AC1070" i="16"/>
  <c r="Y129" i="16"/>
  <c r="Y989" i="16"/>
  <c r="Y595" i="16"/>
  <c r="P659" i="16"/>
  <c r="P1395" i="16"/>
  <c r="N679" i="16"/>
  <c r="AC1224" i="16"/>
  <c r="AA780" i="16"/>
  <c r="AA1152" i="16"/>
  <c r="W255" i="16"/>
  <c r="U758" i="16"/>
  <c r="AC839" i="16"/>
  <c r="L1008" i="16"/>
  <c r="AC595" i="16"/>
  <c r="W185" i="16"/>
  <c r="W1234" i="16"/>
  <c r="N1444" i="16"/>
  <c r="P1566" i="16"/>
  <c r="W1146" i="16"/>
  <c r="U295" i="16"/>
  <c r="Y371" i="16"/>
  <c r="P1415" i="16"/>
  <c r="W1865" i="16"/>
  <c r="N1203" i="16"/>
  <c r="AA1631" i="16"/>
  <c r="N251" i="16"/>
  <c r="W141" i="16"/>
  <c r="U748" i="16"/>
  <c r="AC592" i="16"/>
  <c r="U1274" i="16"/>
  <c r="N564" i="16"/>
  <c r="P62" i="16"/>
  <c r="Y236" i="16"/>
  <c r="AC1347" i="16"/>
  <c r="L625" i="16"/>
  <c r="L1007" i="16"/>
  <c r="Y16" i="16"/>
  <c r="P1168" i="16"/>
  <c r="Y1090" i="16"/>
  <c r="P1394" i="16"/>
  <c r="U1468" i="16"/>
  <c r="AA1431" i="16"/>
  <c r="L674" i="16"/>
  <c r="N1458" i="16"/>
  <c r="U1999" i="16"/>
  <c r="N1265" i="16"/>
  <c r="W1729" i="16"/>
  <c r="L322" i="16"/>
  <c r="U277" i="16"/>
  <c r="W540" i="16"/>
  <c r="W628" i="16"/>
  <c r="W191" i="16"/>
  <c r="AC1204" i="16"/>
  <c r="Y1294" i="16"/>
  <c r="W722" i="16"/>
  <c r="U1761" i="16"/>
  <c r="U1225" i="16"/>
  <c r="AA498" i="16"/>
  <c r="U596" i="16"/>
  <c r="AC468" i="16"/>
  <c r="P102" i="16"/>
  <c r="AC1439" i="16"/>
  <c r="P436" i="16"/>
  <c r="Y837" i="16"/>
  <c r="L1530" i="16"/>
  <c r="P554" i="16"/>
  <c r="AA220" i="16"/>
  <c r="N1091" i="16"/>
  <c r="W563" i="16"/>
  <c r="U2" i="16"/>
  <c r="P705" i="16"/>
  <c r="U1224" i="16"/>
  <c r="L738" i="16"/>
  <c r="N149" i="16"/>
  <c r="U1136" i="16"/>
  <c r="L1325" i="16"/>
  <c r="Y590" i="16"/>
  <c r="Y280" i="16"/>
  <c r="U223" i="16"/>
  <c r="W1133" i="16"/>
  <c r="Y288" i="16"/>
  <c r="W60" i="16"/>
  <c r="N826" i="16"/>
  <c r="N325" i="16"/>
  <c r="W1000" i="16"/>
  <c r="N1334" i="16"/>
  <c r="U497" i="16"/>
  <c r="U751" i="16"/>
  <c r="N232" i="16"/>
  <c r="AA241" i="16"/>
  <c r="U122" i="16"/>
  <c r="Y1231" i="16"/>
  <c r="AC223" i="16"/>
  <c r="AC981" i="16"/>
  <c r="U1785" i="16"/>
  <c r="P693" i="16"/>
  <c r="N5" i="16"/>
  <c r="AC1446" i="16"/>
  <c r="AC170" i="16"/>
  <c r="L17" i="16"/>
  <c r="Y1244" i="16"/>
  <c r="W698" i="16"/>
  <c r="L669" i="16"/>
  <c r="AC800" i="16"/>
  <c r="U1444" i="16"/>
  <c r="W1394" i="16"/>
  <c r="AA709" i="16"/>
  <c r="W274" i="16"/>
  <c r="P719" i="16"/>
  <c r="L770" i="16"/>
  <c r="AA574" i="16"/>
  <c r="U965" i="16"/>
  <c r="L1660" i="16"/>
  <c r="Y941" i="16"/>
  <c r="N855" i="16"/>
  <c r="P394" i="16"/>
  <c r="AA1025" i="16"/>
  <c r="AA908" i="16"/>
  <c r="N320" i="16"/>
  <c r="U798" i="16"/>
  <c r="Y882" i="16"/>
  <c r="P1640" i="16"/>
  <c r="P1699" i="16"/>
  <c r="U1806" i="16"/>
  <c r="W882" i="16"/>
  <c r="AC822" i="16"/>
  <c r="AA304" i="16"/>
  <c r="U1353" i="16"/>
  <c r="N1511" i="16"/>
  <c r="AC904" i="16"/>
  <c r="U423" i="16"/>
  <c r="Y1161" i="16"/>
  <c r="L87" i="16"/>
  <c r="W1787" i="16"/>
  <c r="AC64" i="16"/>
  <c r="U2139" i="16"/>
  <c r="U1406" i="16"/>
  <c r="P110" i="16"/>
  <c r="AA782" i="16"/>
  <c r="U929" i="16"/>
  <c r="W995" i="16"/>
  <c r="Y126" i="16"/>
  <c r="N1050" i="16"/>
  <c r="N857" i="16"/>
  <c r="L1056" i="16"/>
  <c r="P926" i="16"/>
  <c r="P346" i="16"/>
  <c r="AA872" i="16"/>
  <c r="L904" i="16"/>
  <c r="U1507" i="16"/>
  <c r="W1355" i="16"/>
  <c r="W620" i="16"/>
  <c r="U930" i="16"/>
  <c r="AA1338" i="16"/>
  <c r="Y800" i="16"/>
  <c r="N981" i="16"/>
  <c r="P1214" i="16"/>
  <c r="N1568" i="16"/>
  <c r="AC968" i="16"/>
  <c r="AC1146" i="16"/>
  <c r="AA186" i="16"/>
  <c r="AA556" i="16"/>
  <c r="U90" i="16"/>
  <c r="N1505" i="16"/>
  <c r="W718" i="16"/>
  <c r="L163" i="16"/>
  <c r="AC1324" i="16"/>
  <c r="N355" i="16"/>
  <c r="N479" i="16"/>
  <c r="Y1290" i="16"/>
  <c r="P1715" i="16"/>
  <c r="U125" i="16"/>
  <c r="W1300" i="16"/>
  <c r="Y130" i="16"/>
  <c r="N1325" i="16"/>
  <c r="L422" i="16"/>
  <c r="AA919" i="16"/>
  <c r="P661" i="16"/>
  <c r="AA620" i="16"/>
  <c r="N298" i="16"/>
  <c r="AA1391" i="16"/>
  <c r="N1427" i="16"/>
  <c r="AE1993" i="16"/>
  <c r="AA1041" i="16"/>
  <c r="W468" i="16"/>
  <c r="L564" i="16"/>
  <c r="Y206" i="16"/>
  <c r="Y1106" i="16"/>
  <c r="U1308" i="16"/>
  <c r="L132" i="16"/>
  <c r="L228" i="16"/>
  <c r="L1392" i="16"/>
  <c r="P514" i="16"/>
  <c r="AA424" i="16"/>
  <c r="P1293" i="16"/>
  <c r="AA130" i="16"/>
  <c r="AA758" i="16"/>
  <c r="U261" i="16"/>
  <c r="P1418" i="16"/>
  <c r="AC1286" i="16"/>
  <c r="U1738" i="16"/>
  <c r="W2039" i="16"/>
  <c r="L73" i="16"/>
  <c r="W2079" i="16"/>
  <c r="L1196" i="16"/>
  <c r="AC235" i="16"/>
  <c r="L514" i="16"/>
  <c r="N751" i="16"/>
  <c r="AA816" i="16"/>
  <c r="U875" i="16"/>
  <c r="AA142" i="16"/>
  <c r="N763" i="16"/>
  <c r="Y1685" i="16"/>
  <c r="L959" i="16"/>
  <c r="AA940" i="16"/>
  <c r="L1192" i="16"/>
  <c r="W95" i="16"/>
  <c r="Y998" i="16"/>
  <c r="L224" i="16"/>
  <c r="L230" i="16"/>
  <c r="U598" i="16"/>
  <c r="N181" i="16"/>
  <c r="N1070" i="16"/>
  <c r="N1185" i="16"/>
  <c r="N1093" i="16"/>
  <c r="Y136" i="16"/>
  <c r="U1522" i="16"/>
  <c r="W723" i="16"/>
  <c r="W1461" i="16"/>
  <c r="N383" i="16"/>
  <c r="L281" i="16"/>
  <c r="AC832" i="16"/>
  <c r="W383" i="16"/>
  <c r="W1778" i="16"/>
  <c r="L300" i="16"/>
  <c r="W1912" i="16"/>
  <c r="U499" i="16"/>
  <c r="U1804" i="16"/>
  <c r="W2047" i="16"/>
  <c r="W176" i="16"/>
  <c r="AC1020" i="16"/>
  <c r="L808" i="16"/>
  <c r="W1657" i="16"/>
  <c r="U440" i="16"/>
  <c r="W266" i="16"/>
  <c r="AA149" i="16"/>
  <c r="W1105" i="16"/>
  <c r="U529" i="16"/>
  <c r="P1581" i="16"/>
  <c r="U220" i="16"/>
  <c r="N673" i="16"/>
  <c r="U784" i="16"/>
  <c r="AC507" i="16"/>
  <c r="W576" i="16"/>
  <c r="U276" i="16"/>
  <c r="W802" i="16"/>
  <c r="P1799" i="16"/>
  <c r="U775" i="16"/>
  <c r="W1046" i="16"/>
  <c r="W867" i="16"/>
  <c r="L375" i="16"/>
  <c r="N668" i="16"/>
  <c r="Y1145" i="16"/>
  <c r="W32" i="16"/>
  <c r="U1597" i="16"/>
  <c r="AC306" i="16"/>
  <c r="W43" i="16"/>
  <c r="N1006" i="16"/>
  <c r="P902" i="16"/>
  <c r="W134" i="16"/>
  <c r="W1332" i="16"/>
  <c r="U919" i="16"/>
  <c r="Y83" i="16"/>
  <c r="U1991" i="16"/>
  <c r="P599" i="16"/>
  <c r="Y737" i="16"/>
  <c r="N54" i="16"/>
  <c r="U1284" i="16"/>
  <c r="Y345" i="16"/>
  <c r="W1621" i="16"/>
  <c r="AC381" i="16"/>
  <c r="AC283" i="16"/>
  <c r="U405" i="16"/>
  <c r="Y674" i="16"/>
  <c r="W1754" i="16"/>
  <c r="W1294" i="16"/>
  <c r="W947" i="16"/>
  <c r="AA1140" i="16"/>
  <c r="W234" i="16"/>
  <c r="L257" i="16"/>
  <c r="U128" i="16"/>
  <c r="W1495" i="16"/>
  <c r="W115" i="16"/>
  <c r="U1797" i="16"/>
  <c r="L16" i="16"/>
  <c r="Y190" i="16"/>
  <c r="U995" i="16"/>
  <c r="AC594" i="16"/>
  <c r="AC335" i="16"/>
  <c r="Y43" i="16"/>
  <c r="U1393" i="16"/>
  <c r="N1398" i="16"/>
  <c r="AC586" i="16"/>
  <c r="AC1216" i="16"/>
  <c r="L1103" i="16"/>
  <c r="L139" i="16"/>
  <c r="Y545" i="16"/>
  <c r="P497" i="16"/>
  <c r="Y342" i="16"/>
  <c r="L1206" i="16"/>
  <c r="Y899" i="16"/>
  <c r="W892" i="16"/>
  <c r="AC786" i="16"/>
  <c r="U833" i="16"/>
  <c r="U306" i="16"/>
  <c r="L456" i="16"/>
  <c r="Y92" i="16"/>
  <c r="Y1005" i="16"/>
  <c r="Y540" i="16"/>
  <c r="P550" i="16"/>
  <c r="Y492" i="16"/>
  <c r="AC1496" i="16"/>
  <c r="AC653" i="16"/>
  <c r="W547" i="16"/>
  <c r="AC282" i="16"/>
  <c r="P29" i="16"/>
  <c r="U1617" i="16"/>
  <c r="N913" i="16"/>
  <c r="Y744" i="16"/>
  <c r="L836" i="16"/>
  <c r="L250" i="16"/>
  <c r="Y147" i="16"/>
  <c r="AC213" i="16"/>
  <c r="L314" i="16"/>
  <c r="N100" i="16"/>
  <c r="P164" i="16"/>
  <c r="P399" i="16"/>
  <c r="P5" i="16"/>
  <c r="W699" i="16"/>
  <c r="U1987" i="16"/>
  <c r="AA59" i="16"/>
  <c r="N771" i="16"/>
  <c r="W787" i="16"/>
  <c r="W747" i="16"/>
  <c r="U815" i="16"/>
  <c r="L1070" i="16"/>
  <c r="AC497" i="16"/>
  <c r="N901" i="16"/>
  <c r="U1156" i="16"/>
  <c r="W931" i="16"/>
  <c r="AA43" i="16"/>
  <c r="AC69" i="16"/>
  <c r="U1798" i="16"/>
  <c r="L565" i="16"/>
  <c r="Y1398" i="16"/>
  <c r="W385" i="16"/>
  <c r="P784" i="16"/>
  <c r="Y560" i="16"/>
  <c r="P434" i="16"/>
  <c r="L294" i="16"/>
  <c r="U659" i="16"/>
  <c r="AA155" i="16"/>
  <c r="AC884" i="16"/>
  <c r="AA170" i="16"/>
  <c r="L305" i="16"/>
  <c r="W1039" i="16"/>
  <c r="W423" i="16"/>
  <c r="W600" i="16"/>
  <c r="P672" i="16"/>
  <c r="P1002" i="16"/>
  <c r="AA534" i="16"/>
  <c r="P334" i="16"/>
  <c r="L807" i="16"/>
  <c r="AA911" i="16"/>
  <c r="L318" i="16"/>
  <c r="U544" i="16"/>
  <c r="N522" i="16"/>
  <c r="P1325" i="16"/>
  <c r="AA1237" i="16"/>
  <c r="Y29" i="16"/>
  <c r="P262" i="16"/>
  <c r="U1275" i="16"/>
  <c r="Y174" i="16"/>
  <c r="L1242" i="16"/>
  <c r="AC378" i="16"/>
  <c r="W1071" i="16"/>
  <c r="Y259" i="16"/>
  <c r="U940" i="16"/>
  <c r="W175" i="16"/>
  <c r="L879" i="16"/>
  <c r="Y865" i="16"/>
  <c r="W1106" i="16"/>
  <c r="Y673" i="16"/>
  <c r="L229" i="16"/>
  <c r="W449" i="16"/>
  <c r="L154" i="16"/>
  <c r="Y666" i="16"/>
  <c r="U1292" i="16"/>
  <c r="U1380" i="16"/>
  <c r="P301" i="16"/>
  <c r="W1641" i="16"/>
  <c r="AC513" i="16"/>
  <c r="L718" i="16"/>
  <c r="L494" i="16"/>
  <c r="W508" i="16"/>
  <c r="P669" i="16"/>
  <c r="N381" i="16"/>
  <c r="W1731" i="16"/>
  <c r="AA311" i="16"/>
  <c r="AC816" i="16"/>
  <c r="U999" i="16"/>
  <c r="AA2" i="16"/>
  <c r="Y611" i="16"/>
  <c r="AA194" i="16"/>
  <c r="W767" i="16"/>
  <c r="N6" i="16"/>
  <c r="P1372" i="16"/>
  <c r="W1670" i="16"/>
  <c r="U519" i="16"/>
  <c r="W520" i="16"/>
  <c r="L251" i="16"/>
  <c r="Y497" i="16"/>
  <c r="L32" i="16"/>
  <c r="Y695" i="16"/>
  <c r="L245" i="16"/>
  <c r="P2069" i="16"/>
  <c r="AA1189" i="16"/>
  <c r="AC1545" i="16"/>
  <c r="N604" i="16"/>
  <c r="AC752" i="16"/>
  <c r="Y950" i="16"/>
  <c r="W857" i="16"/>
  <c r="Y966" i="16"/>
  <c r="L540" i="16"/>
  <c r="L1803" i="16"/>
  <c r="U317" i="16"/>
  <c r="W970" i="16"/>
  <c r="AC846" i="16"/>
  <c r="W872" i="16"/>
  <c r="U436" i="16"/>
  <c r="N1254" i="16"/>
  <c r="AC656" i="16"/>
  <c r="N722" i="16"/>
  <c r="L399" i="16"/>
  <c r="L638" i="16"/>
  <c r="P724" i="16"/>
  <c r="Y243" i="16"/>
  <c r="U665" i="16"/>
  <c r="Y348" i="16"/>
  <c r="N117" i="16"/>
  <c r="Y811" i="16"/>
  <c r="W1135" i="16"/>
  <c r="N973" i="16"/>
  <c r="P1499" i="16"/>
  <c r="AA524" i="16"/>
  <c r="N618" i="16"/>
  <c r="U1271" i="16"/>
  <c r="AC155" i="16"/>
  <c r="U630" i="16"/>
  <c r="L633" i="16"/>
  <c r="L1683" i="16"/>
  <c r="U1661" i="16"/>
  <c r="W566" i="16"/>
  <c r="L548" i="16"/>
  <c r="L1002" i="16"/>
  <c r="AA1204" i="16"/>
  <c r="U1243" i="16"/>
  <c r="N684" i="16"/>
  <c r="N1096" i="16"/>
  <c r="P1663" i="16"/>
  <c r="Y1140" i="16"/>
  <c r="N732" i="16"/>
  <c r="U1765" i="16"/>
  <c r="P70" i="16"/>
  <c r="N835" i="16"/>
  <c r="W378" i="16"/>
  <c r="Y1270" i="16"/>
  <c r="W126" i="16"/>
  <c r="W1588" i="16"/>
  <c r="AA1311" i="16"/>
  <c r="N730" i="16"/>
  <c r="N982" i="16"/>
  <c r="U1188" i="16"/>
  <c r="L1130" i="16"/>
  <c r="P1327" i="16"/>
  <c r="P1674" i="16"/>
  <c r="L1083" i="16"/>
  <c r="Y1610" i="16"/>
  <c r="AC202" i="16"/>
  <c r="W1326" i="16"/>
  <c r="U471" i="16"/>
  <c r="W502" i="16"/>
  <c r="P537" i="16"/>
  <c r="L149" i="16"/>
  <c r="U925" i="16"/>
  <c r="N32" i="16"/>
  <c r="AA1392" i="16"/>
  <c r="U910" i="16"/>
  <c r="U260" i="16"/>
  <c r="N666" i="16"/>
  <c r="AC438" i="16"/>
  <c r="Y617" i="16"/>
  <c r="N1119" i="16"/>
  <c r="Y1169" i="16"/>
  <c r="Y376" i="16"/>
  <c r="AC106" i="16"/>
  <c r="AA1003" i="16"/>
  <c r="U1689" i="16"/>
  <c r="AC461" i="16"/>
  <c r="P993" i="16"/>
  <c r="N1379" i="16"/>
  <c r="AA1184" i="16"/>
  <c r="U1980" i="16"/>
  <c r="N817" i="16"/>
  <c r="W971" i="16"/>
  <c r="N1390" i="16"/>
  <c r="P1077" i="16"/>
  <c r="Y676" i="16"/>
  <c r="P573" i="16"/>
  <c r="W1017" i="16"/>
  <c r="Y714" i="16"/>
  <c r="P1339" i="16"/>
  <c r="AA350" i="16"/>
  <c r="P1124" i="16"/>
  <c r="AC247" i="16"/>
  <c r="AA93" i="16"/>
  <c r="N622" i="16"/>
  <c r="AA508" i="16"/>
  <c r="Y200" i="16"/>
  <c r="AA126" i="16"/>
  <c r="U575" i="16"/>
  <c r="AC158" i="16"/>
  <c r="L800" i="16"/>
  <c r="N53" i="16"/>
  <c r="L157" i="16"/>
  <c r="AC1691" i="16"/>
  <c r="L1504" i="16"/>
  <c r="AC57" i="16"/>
  <c r="Y149" i="16"/>
  <c r="Y1058" i="16"/>
  <c r="U1197" i="16"/>
  <c r="L923" i="16"/>
  <c r="P660" i="16"/>
  <c r="W1072" i="16"/>
  <c r="Y253" i="16"/>
  <c r="W1026" i="16"/>
  <c r="P146" i="16"/>
  <c r="AA413" i="16"/>
  <c r="W1506" i="16"/>
  <c r="N1302" i="16"/>
  <c r="W815" i="16"/>
  <c r="N960" i="16"/>
  <c r="N1873" i="16"/>
  <c r="U1185" i="16"/>
  <c r="U1748" i="16"/>
  <c r="AC131" i="16"/>
  <c r="P371" i="16"/>
  <c r="P281" i="16"/>
  <c r="W1241" i="16"/>
  <c r="U729" i="16"/>
  <c r="U69" i="16"/>
  <c r="N49" i="16"/>
  <c r="N1294" i="16"/>
  <c r="L27" i="16"/>
  <c r="U214" i="16"/>
  <c r="L378" i="16"/>
  <c r="AA1160" i="16"/>
  <c r="U1151" i="16"/>
  <c r="N302" i="16"/>
  <c r="U352" i="16"/>
  <c r="Y269" i="16"/>
  <c r="AC956" i="16"/>
  <c r="N1466" i="16"/>
  <c r="N897" i="16"/>
  <c r="AA74" i="16"/>
  <c r="P2014" i="16"/>
  <c r="N362" i="16"/>
  <c r="AC1412" i="16"/>
  <c r="Y805" i="16"/>
  <c r="Y1367" i="16"/>
  <c r="P446" i="16"/>
  <c r="L987" i="16"/>
  <c r="P216" i="16"/>
  <c r="AA592" i="16"/>
  <c r="AA807" i="16"/>
  <c r="Y558" i="16"/>
  <c r="AC112" i="16"/>
  <c r="L1643" i="16"/>
  <c r="AA372" i="16"/>
  <c r="L12" i="16"/>
  <c r="AA764" i="16"/>
  <c r="W1610" i="16"/>
  <c r="AC543" i="16"/>
  <c r="W220" i="16"/>
  <c r="N373" i="16"/>
  <c r="AA735" i="16"/>
  <c r="Y1126" i="16"/>
  <c r="L713" i="16"/>
  <c r="W410" i="16"/>
  <c r="U1695" i="16"/>
  <c r="L29" i="16"/>
  <c r="P269" i="16"/>
  <c r="U2017" i="16"/>
  <c r="P1365" i="16"/>
  <c r="AC128" i="16"/>
  <c r="W1248" i="16"/>
  <c r="U1990" i="16"/>
  <c r="AA455" i="16"/>
  <c r="U25" i="16"/>
  <c r="AA1212" i="16"/>
  <c r="P280" i="16"/>
  <c r="U259" i="16"/>
  <c r="AA469" i="16"/>
  <c r="U28" i="16"/>
  <c r="N630" i="16"/>
  <c r="U591" i="16"/>
  <c r="W984" i="16"/>
  <c r="W2027" i="16"/>
  <c r="AC108" i="16"/>
  <c r="U555" i="16"/>
  <c r="P312" i="16"/>
  <c r="U1979" i="16"/>
  <c r="W743" i="16"/>
  <c r="AA160" i="16"/>
  <c r="N572" i="16"/>
  <c r="P1515" i="16"/>
  <c r="AC90" i="16"/>
  <c r="U329" i="16"/>
  <c r="W1089" i="16"/>
  <c r="U1855" i="16"/>
  <c r="N1581" i="16"/>
  <c r="W1561" i="16"/>
  <c r="L920" i="16"/>
  <c r="AA753" i="16"/>
  <c r="W1429" i="16"/>
  <c r="AC208" i="16"/>
  <c r="AA568" i="16"/>
  <c r="W71" i="16"/>
  <c r="L1286" i="16"/>
  <c r="N41" i="16"/>
  <c r="P1036" i="16"/>
  <c r="Y824" i="16"/>
  <c r="Y112" i="16"/>
  <c r="U628" i="16"/>
  <c r="W1763" i="16"/>
  <c r="W1802" i="16"/>
  <c r="AC41" i="16"/>
  <c r="W469" i="16"/>
  <c r="Y1678" i="16"/>
  <c r="W273" i="16"/>
  <c r="N214" i="16"/>
  <c r="N430" i="16"/>
  <c r="N256" i="16"/>
  <c r="L736" i="16"/>
  <c r="N1225" i="16"/>
  <c r="U1992" i="16"/>
  <c r="P1354" i="16"/>
  <c r="N628" i="16"/>
  <c r="AC429" i="16"/>
  <c r="W2087" i="16"/>
  <c r="P562" i="16"/>
  <c r="Y124" i="16"/>
  <c r="AA1499" i="16"/>
  <c r="W430" i="16"/>
  <c r="AC160" i="16"/>
  <c r="AA40" i="16"/>
  <c r="Y762" i="16"/>
  <c r="AC774" i="16"/>
  <c r="U172" i="16"/>
  <c r="W847" i="16"/>
  <c r="L207" i="16"/>
  <c r="Y1474" i="16"/>
  <c r="U637" i="16"/>
  <c r="L111" i="16"/>
  <c r="L427" i="16"/>
  <c r="N1449" i="16"/>
  <c r="U227" i="16"/>
  <c r="U1181" i="16"/>
  <c r="N597" i="16"/>
  <c r="U155" i="16"/>
  <c r="L532" i="16"/>
  <c r="U687" i="16"/>
  <c r="AC514" i="16"/>
  <c r="P721" i="16"/>
  <c r="U675" i="16"/>
  <c r="L1386" i="16"/>
  <c r="N202" i="16"/>
  <c r="AA986" i="16"/>
  <c r="P261" i="16"/>
  <c r="P196" i="16"/>
  <c r="P205" i="16"/>
  <c r="AC326" i="16"/>
  <c r="AC1047" i="16"/>
  <c r="N608" i="16"/>
  <c r="P171" i="16"/>
  <c r="W1796" i="16"/>
  <c r="N1484" i="16"/>
  <c r="L1413" i="16"/>
  <c r="N486" i="16"/>
  <c r="N715" i="16"/>
  <c r="AC1300" i="16"/>
  <c r="AA836" i="16"/>
  <c r="AC52" i="16"/>
  <c r="AA1268" i="16"/>
  <c r="L1526" i="16"/>
  <c r="Y856" i="16"/>
  <c r="N33" i="16"/>
  <c r="AC814" i="16"/>
  <c r="U1252" i="16"/>
  <c r="AA583" i="16"/>
  <c r="L99" i="16"/>
  <c r="P1108" i="16"/>
  <c r="L1296" i="16"/>
  <c r="P625" i="16"/>
  <c r="N1107" i="16"/>
  <c r="N1200" i="16"/>
  <c r="Y654" i="16"/>
  <c r="AC1040" i="16"/>
  <c r="L1160" i="16"/>
  <c r="AC914" i="16"/>
  <c r="AC146" i="16"/>
  <c r="Y208" i="16"/>
  <c r="Y1029" i="16"/>
  <c r="L448" i="16"/>
  <c r="W66" i="16"/>
  <c r="W477" i="16"/>
  <c r="AC1240" i="16"/>
  <c r="U123" i="16"/>
  <c r="U40" i="16"/>
  <c r="W1312" i="16"/>
  <c r="L1269" i="16"/>
  <c r="U866" i="16"/>
  <c r="P885" i="16"/>
  <c r="N388" i="16"/>
  <c r="Y1334" i="16"/>
  <c r="L96" i="16"/>
  <c r="U897" i="16"/>
  <c r="P473" i="16"/>
  <c r="N1235" i="16"/>
  <c r="L385" i="16"/>
  <c r="P841" i="16"/>
  <c r="Y626" i="16"/>
  <c r="L821" i="16"/>
  <c r="W564" i="16"/>
  <c r="U1137" i="16"/>
  <c r="U124" i="16"/>
  <c r="AA805" i="16"/>
  <c r="W271" i="16"/>
  <c r="U413" i="16"/>
  <c r="W561" i="16"/>
  <c r="P1468" i="16"/>
  <c r="U2026" i="16"/>
  <c r="AC788" i="16"/>
  <c r="P1484" i="16"/>
  <c r="N945" i="16"/>
  <c r="U1043" i="16"/>
  <c r="AC442" i="16"/>
  <c r="U1892" i="16"/>
  <c r="U1807" i="16"/>
  <c r="W1424" i="16"/>
  <c r="P893" i="16"/>
  <c r="AA1445" i="16"/>
  <c r="P486" i="16"/>
  <c r="AA1465" i="16"/>
  <c r="L861" i="16"/>
  <c r="Y649" i="16"/>
  <c r="L24" i="16"/>
  <c r="AC1514" i="16"/>
  <c r="AA423" i="16"/>
  <c r="N1359" i="16"/>
  <c r="W941" i="16"/>
  <c r="L1032" i="16"/>
  <c r="AA512" i="16"/>
  <c r="P1580" i="16"/>
  <c r="P1648" i="16"/>
  <c r="P900" i="16"/>
  <c r="AC1364" i="16"/>
  <c r="P988" i="16"/>
  <c r="AC167" i="16"/>
  <c r="L1362" i="16"/>
  <c r="P826" i="16"/>
  <c r="AA1062" i="16"/>
  <c r="U68" i="16"/>
  <c r="AC203" i="16"/>
  <c r="W1469" i="16"/>
  <c r="Y603" i="16"/>
  <c r="P971" i="16"/>
  <c r="P995" i="16"/>
  <c r="N565" i="16"/>
  <c r="W406" i="16"/>
  <c r="N540" i="16"/>
  <c r="AA632" i="16"/>
  <c r="L1211" i="16"/>
  <c r="AA1647" i="16"/>
  <c r="W1195" i="16"/>
  <c r="N1149" i="16"/>
  <c r="P654" i="16"/>
  <c r="Y889" i="16"/>
  <c r="AC682" i="16"/>
  <c r="U514" i="16"/>
  <c r="P1017" i="16"/>
  <c r="AA506" i="16"/>
  <c r="AA313" i="16"/>
  <c r="Y1655" i="16"/>
  <c r="AA1333" i="16"/>
  <c r="U1059" i="16"/>
  <c r="C861" i="16" l="1"/>
  <c r="A945" i="16"/>
  <c r="C945" i="16"/>
  <c r="C821" i="16"/>
  <c r="A1484" i="16"/>
  <c r="C1484" i="16"/>
  <c r="C1449" i="16"/>
  <c r="A1449" i="16"/>
  <c r="C897" i="16"/>
  <c r="A897" i="16"/>
  <c r="A1466" i="16"/>
  <c r="C1466" i="16"/>
  <c r="A960" i="16"/>
  <c r="C960" i="16"/>
  <c r="C800" i="16"/>
  <c r="A817" i="16"/>
  <c r="C982" i="16"/>
  <c r="A982" i="16"/>
  <c r="A835" i="16"/>
  <c r="A973" i="16"/>
  <c r="C973" i="16"/>
  <c r="C807" i="16"/>
  <c r="C901" i="16"/>
  <c r="A901" i="16"/>
  <c r="C836" i="16"/>
  <c r="C913" i="16"/>
  <c r="A913" i="16"/>
  <c r="C1006" i="16"/>
  <c r="A1006" i="16"/>
  <c r="C808" i="16"/>
  <c r="C1505" i="16"/>
  <c r="A1505" i="16"/>
  <c r="A981" i="16"/>
  <c r="C981" i="16"/>
  <c r="A857" i="16"/>
  <c r="C1511" i="16"/>
  <c r="A1511" i="16"/>
  <c r="A855" i="16"/>
  <c r="A826" i="16"/>
  <c r="A1458" i="16"/>
  <c r="C1458" i="16"/>
  <c r="A1444" i="16"/>
  <c r="C1444" i="16"/>
  <c r="C1479" i="16"/>
  <c r="A1479" i="16"/>
  <c r="A1654" i="16"/>
  <c r="C1654" i="16"/>
  <c r="A1668" i="16"/>
  <c r="C1668" i="16"/>
  <c r="A1022" i="16"/>
  <c r="C1022" i="16"/>
  <c r="A975" i="16"/>
  <c r="C975" i="16"/>
  <c r="A1497" i="16"/>
  <c r="C1497" i="16"/>
  <c r="C815" i="16"/>
  <c r="C851" i="16"/>
  <c r="A841" i="16"/>
  <c r="A911" i="16"/>
  <c r="C911" i="16"/>
  <c r="C1636" i="16"/>
  <c r="A1636" i="16"/>
  <c r="C1487" i="16"/>
  <c r="A1487" i="16"/>
  <c r="C972" i="16"/>
  <c r="A972" i="16"/>
  <c r="C1007" i="16"/>
  <c r="A1007" i="16"/>
  <c r="A1506" i="16"/>
  <c r="C1506" i="16"/>
  <c r="A805" i="16"/>
  <c r="C893" i="16"/>
  <c r="A893" i="16"/>
  <c r="C799" i="16"/>
  <c r="C855" i="16"/>
  <c r="A836" i="16"/>
  <c r="C1467" i="16"/>
  <c r="A1467" i="16"/>
  <c r="A871" i="16"/>
  <c r="C1002" i="16"/>
  <c r="A1002" i="16"/>
  <c r="C1465" i="16"/>
  <c r="A1465" i="16"/>
  <c r="C1010" i="16"/>
  <c r="A1010" i="16"/>
  <c r="A1633" i="16"/>
  <c r="C1633" i="16"/>
  <c r="A794" i="16"/>
  <c r="A1670" i="16"/>
  <c r="C1670" i="16"/>
  <c r="C2028" i="16"/>
  <c r="A2028" i="16"/>
  <c r="C1620" i="16"/>
  <c r="A1620" i="16"/>
  <c r="A2136" i="16"/>
  <c r="C2136" i="16"/>
  <c r="A1498" i="16"/>
  <c r="C1498" i="16"/>
  <c r="A1031" i="16"/>
  <c r="C1031" i="16"/>
  <c r="A1637" i="16"/>
  <c r="C1637" i="16"/>
  <c r="C921" i="16"/>
  <c r="A921" i="16"/>
  <c r="A796" i="16"/>
  <c r="C1023" i="16"/>
  <c r="A1023" i="16"/>
  <c r="C833" i="16"/>
  <c r="A995" i="16"/>
  <c r="C995" i="16"/>
  <c r="A878" i="16"/>
  <c r="A818" i="16"/>
  <c r="C910" i="16"/>
  <c r="A910" i="16"/>
  <c r="C829" i="16"/>
  <c r="A874" i="16"/>
  <c r="C898" i="16"/>
  <c r="A898" i="16"/>
  <c r="A992" i="16"/>
  <c r="C992" i="16"/>
  <c r="A924" i="16"/>
  <c r="C924" i="16"/>
  <c r="A1027" i="16"/>
  <c r="C1027" i="16"/>
  <c r="A890" i="16"/>
  <c r="C890" i="16"/>
  <c r="A947" i="16"/>
  <c r="C947" i="16"/>
  <c r="C827" i="16"/>
  <c r="C1457" i="16"/>
  <c r="A1457" i="16"/>
  <c r="C1473" i="16"/>
  <c r="A1473" i="16"/>
  <c r="A860" i="16"/>
  <c r="A1718" i="16"/>
  <c r="C1718" i="16"/>
  <c r="C998" i="16"/>
  <c r="A998" i="16"/>
  <c r="A2043" i="16"/>
  <c r="C2043" i="16"/>
  <c r="A881" i="16"/>
  <c r="C881" i="16"/>
  <c r="C880" i="16"/>
  <c r="A880" i="16"/>
  <c r="A1517" i="16"/>
  <c r="C1517" i="16"/>
  <c r="C1611" i="16"/>
  <c r="A1611" i="16"/>
  <c r="C1617" i="16"/>
  <c r="A1617" i="16"/>
  <c r="C840" i="16"/>
  <c r="A838" i="16"/>
  <c r="C887" i="16"/>
  <c r="A887" i="16"/>
  <c r="C1443" i="16"/>
  <c r="A1443" i="16"/>
  <c r="A2094" i="16"/>
  <c r="C2094" i="16"/>
  <c r="C845" i="16"/>
  <c r="A929" i="16"/>
  <c r="C929" i="16"/>
  <c r="A953" i="16"/>
  <c r="C953" i="16"/>
  <c r="A824" i="16"/>
  <c r="A1450" i="16"/>
  <c r="C1450" i="16"/>
  <c r="C1693" i="16"/>
  <c r="A1693" i="16"/>
  <c r="A864" i="16"/>
  <c r="C862" i="16"/>
  <c r="C848" i="16"/>
  <c r="C2149" i="16"/>
  <c r="A2149" i="16"/>
  <c r="A971" i="16"/>
  <c r="C971" i="16"/>
  <c r="A816" i="16"/>
  <c r="A1477" i="16"/>
  <c r="C1477" i="16"/>
  <c r="C989" i="16"/>
  <c r="A989" i="16"/>
  <c r="C813" i="16"/>
  <c r="C1685" i="16"/>
  <c r="A1685" i="16"/>
  <c r="C2075" i="16"/>
  <c r="A2075" i="16"/>
  <c r="A1684" i="16"/>
  <c r="C1684" i="16"/>
  <c r="C1035" i="16"/>
  <c r="A1035" i="16"/>
  <c r="C1589" i="16"/>
  <c r="A1589" i="16"/>
  <c r="C824" i="16"/>
  <c r="A827" i="16"/>
  <c r="C1476" i="16"/>
  <c r="A1476" i="16"/>
  <c r="C1696" i="16"/>
  <c r="A1696" i="16"/>
  <c r="C930" i="16"/>
  <c r="A930" i="16"/>
  <c r="C996" i="16"/>
  <c r="A996" i="16"/>
  <c r="A882" i="16"/>
  <c r="C882" i="16"/>
  <c r="C912" i="16"/>
  <c r="A912" i="16"/>
  <c r="C859" i="16"/>
  <c r="A798" i="16"/>
  <c r="C1725" i="16"/>
  <c r="A1725" i="16"/>
  <c r="A988" i="16"/>
  <c r="C988" i="16"/>
  <c r="A1715" i="16"/>
  <c r="C1715" i="16"/>
  <c r="A2098" i="16"/>
  <c r="C2098" i="16"/>
  <c r="A903" i="16"/>
  <c r="C903" i="16"/>
  <c r="C884" i="16"/>
  <c r="A884" i="16"/>
  <c r="A811" i="16"/>
  <c r="C864" i="16"/>
  <c r="A917" i="16"/>
  <c r="C917" i="16"/>
  <c r="C860" i="16"/>
  <c r="A1623" i="16"/>
  <c r="C1623" i="16"/>
  <c r="A1029" i="16"/>
  <c r="C1029" i="16"/>
  <c r="C818" i="16"/>
  <c r="C1500" i="16"/>
  <c r="A1500" i="16"/>
  <c r="C955" i="16"/>
  <c r="A955" i="16"/>
  <c r="A885" i="16"/>
  <c r="C885" i="16"/>
  <c r="A1717" i="16"/>
  <c r="C1717" i="16"/>
  <c r="A865" i="16"/>
  <c r="A1695" i="16"/>
  <c r="C1695" i="16"/>
  <c r="A854" i="16"/>
  <c r="A1643" i="16"/>
  <c r="C1643" i="16"/>
  <c r="C1000" i="16"/>
  <c r="A1000" i="16"/>
  <c r="A1640" i="16"/>
  <c r="C1640" i="16"/>
  <c r="C939" i="16"/>
  <c r="A939" i="16"/>
  <c r="A1009" i="16"/>
  <c r="C1009" i="16"/>
  <c r="C1501" i="16"/>
  <c r="A1501" i="16"/>
  <c r="C1634" i="16"/>
  <c r="A1634" i="16"/>
  <c r="A907" i="16"/>
  <c r="C907" i="16"/>
  <c r="A902" i="16"/>
  <c r="C902" i="16"/>
  <c r="A863" i="16"/>
  <c r="C852" i="16"/>
  <c r="C888" i="16"/>
  <c r="A888" i="16"/>
  <c r="A861" i="16"/>
  <c r="C968" i="16"/>
  <c r="A968" i="16"/>
  <c r="C1491" i="16"/>
  <c r="A1491" i="16"/>
  <c r="A858" i="16"/>
  <c r="A2103" i="16"/>
  <c r="C2103" i="16"/>
  <c r="A852" i="16"/>
  <c r="C866" i="16"/>
  <c r="A931" i="16"/>
  <c r="C931" i="16"/>
  <c r="A1683" i="16"/>
  <c r="C1683" i="16"/>
  <c r="A862" i="16"/>
  <c r="C920" i="16"/>
  <c r="A920" i="16"/>
  <c r="A1649" i="16"/>
  <c r="C1649" i="16"/>
  <c r="A808" i="16"/>
  <c r="A820" i="16"/>
  <c r="C819" i="16"/>
  <c r="A845" i="16"/>
  <c r="A840" i="16"/>
  <c r="C873" i="16"/>
  <c r="A1672" i="16"/>
  <c r="C1672" i="16"/>
  <c r="C795" i="16"/>
  <c r="C878" i="16"/>
  <c r="A795" i="16"/>
  <c r="A1461" i="16"/>
  <c r="C1461" i="16"/>
  <c r="A814" i="16"/>
  <c r="A1496" i="16"/>
  <c r="C1496" i="16"/>
  <c r="A896" i="16"/>
  <c r="C896" i="16"/>
  <c r="C849" i="16"/>
  <c r="A891" i="16"/>
  <c r="C891" i="16"/>
  <c r="A803" i="16"/>
  <c r="A997" i="16"/>
  <c r="C997" i="16"/>
  <c r="C1514" i="16"/>
  <c r="A1514" i="16"/>
  <c r="C1474" i="16"/>
  <c r="A1474" i="16"/>
  <c r="A1490" i="16"/>
  <c r="C1490" i="16"/>
  <c r="A839" i="16"/>
  <c r="A868" i="16"/>
  <c r="A938" i="16"/>
  <c r="C938" i="16"/>
  <c r="C1520" i="16"/>
  <c r="A1520" i="16"/>
  <c r="C826" i="16"/>
  <c r="C857" i="16"/>
  <c r="C935" i="16"/>
  <c r="A935" i="16"/>
  <c r="A904" i="16"/>
  <c r="C904" i="16"/>
  <c r="A1463" i="16"/>
  <c r="C1463" i="16"/>
  <c r="C1707" i="16"/>
  <c r="A1707" i="16"/>
  <c r="A1705" i="16"/>
  <c r="C1705" i="16"/>
  <c r="A2128" i="16"/>
  <c r="C2128" i="16"/>
  <c r="C1658" i="16"/>
  <c r="A1658" i="16"/>
  <c r="A2110" i="16"/>
  <c r="C2110" i="16"/>
  <c r="C825" i="16"/>
  <c r="A943" i="16"/>
  <c r="C943" i="16"/>
  <c r="C839" i="16"/>
  <c r="C894" i="16"/>
  <c r="A894" i="16"/>
  <c r="A1480" i="16"/>
  <c r="C1480" i="16"/>
  <c r="A1508" i="16"/>
  <c r="C1508" i="16"/>
  <c r="C985" i="16"/>
  <c r="A985" i="16"/>
  <c r="A1679" i="16"/>
  <c r="C1679" i="16"/>
  <c r="C1729" i="16"/>
  <c r="A1729" i="16"/>
  <c r="C1615" i="16"/>
  <c r="A1615" i="16"/>
  <c r="A963" i="16"/>
  <c r="C963" i="16"/>
  <c r="C1699" i="16"/>
  <c r="A1699" i="16"/>
  <c r="C949" i="16"/>
  <c r="A949" i="16"/>
  <c r="C1017" i="16"/>
  <c r="A1017" i="16"/>
  <c r="C1607" i="16"/>
  <c r="A1607" i="16"/>
  <c r="A957" i="16"/>
  <c r="C957" i="16"/>
  <c r="C1713" i="16"/>
  <c r="A1713" i="16"/>
  <c r="A1651" i="16"/>
  <c r="C1651" i="16"/>
  <c r="C1638" i="16"/>
  <c r="A1638" i="16"/>
  <c r="A952" i="16"/>
  <c r="C952" i="16"/>
  <c r="C1445" i="16"/>
  <c r="A1445" i="16"/>
  <c r="C865" i="16"/>
  <c r="A866" i="16"/>
  <c r="A1723" i="16"/>
  <c r="C1723" i="16"/>
  <c r="C1594" i="16"/>
  <c r="A1594" i="16"/>
  <c r="A966" i="16"/>
  <c r="C966" i="16"/>
  <c r="C2118" i="16"/>
  <c r="A2118" i="16"/>
  <c r="A1601" i="16"/>
  <c r="C1601" i="16"/>
  <c r="C817" i="16"/>
  <c r="A859" i="16"/>
  <c r="A821" i="16"/>
  <c r="C837" i="16"/>
  <c r="A925" i="16"/>
  <c r="C925" i="16"/>
  <c r="A984" i="16"/>
  <c r="C984" i="16"/>
  <c r="C1489" i="16"/>
  <c r="A1489" i="16"/>
  <c r="C1596" i="16"/>
  <c r="A1596" i="16"/>
  <c r="A1728" i="16"/>
  <c r="C1728" i="16"/>
  <c r="C1518" i="16"/>
  <c r="A1518" i="16"/>
  <c r="C1712" i="16"/>
  <c r="A1712" i="16"/>
  <c r="A1612" i="16"/>
  <c r="C1612" i="16"/>
  <c r="A800" i="16"/>
  <c r="A2095" i="16"/>
  <c r="C2095" i="16"/>
  <c r="A1727" i="16"/>
  <c r="C1727" i="16"/>
  <c r="A2157" i="16"/>
  <c r="C2157" i="16"/>
  <c r="A1460" i="16"/>
  <c r="C1460" i="16"/>
  <c r="A1032" i="16"/>
  <c r="C1032" i="16"/>
  <c r="A1469" i="16"/>
  <c r="C1469" i="16"/>
  <c r="C1671" i="16"/>
  <c r="A1671" i="16"/>
  <c r="A830" i="16"/>
  <c r="A1005" i="16"/>
  <c r="C1005" i="16"/>
  <c r="A846" i="16"/>
  <c r="C1504" i="16"/>
  <c r="A1504" i="16"/>
  <c r="A1653" i="16"/>
  <c r="C1653" i="16"/>
  <c r="A2061" i="16"/>
  <c r="C2061" i="16"/>
  <c r="A1493" i="16"/>
  <c r="C1493" i="16"/>
  <c r="C1690" i="16"/>
  <c r="A1690" i="16"/>
  <c r="C853" i="16"/>
  <c r="A1625" i="16"/>
  <c r="C1625" i="16"/>
  <c r="A1605" i="16"/>
  <c r="C1605" i="16"/>
  <c r="A1492" i="16"/>
  <c r="C1492" i="16"/>
  <c r="A2130" i="16"/>
  <c r="C2130" i="16"/>
  <c r="A1626" i="16"/>
  <c r="C1626" i="16"/>
  <c r="C2141" i="16"/>
  <c r="A2141" i="16"/>
  <c r="C1665" i="16"/>
  <c r="A1665" i="16"/>
  <c r="A2109" i="16"/>
  <c r="C2109" i="16"/>
  <c r="A2108" i="16"/>
  <c r="C2108" i="16"/>
  <c r="C1702" i="16"/>
  <c r="A1702" i="16"/>
  <c r="C1454" i="16"/>
  <c r="A1454" i="16"/>
  <c r="C867" i="16"/>
  <c r="A1604" i="16"/>
  <c r="C1604" i="16"/>
  <c r="C1676" i="16"/>
  <c r="A1676" i="16"/>
  <c r="A1644" i="16"/>
  <c r="C1644" i="16"/>
  <c r="C1669" i="16"/>
  <c r="A1669" i="16"/>
  <c r="A986" i="16"/>
  <c r="C986" i="16"/>
  <c r="A2097" i="16"/>
  <c r="C2097" i="16"/>
  <c r="A2112" i="16"/>
  <c r="C2112" i="16"/>
  <c r="C877" i="16"/>
  <c r="A2066" i="16"/>
  <c r="C2066" i="16"/>
  <c r="C834" i="16"/>
  <c r="A856" i="16"/>
  <c r="C2129" i="16"/>
  <c r="A2129" i="16"/>
  <c r="C1661" i="16"/>
  <c r="A1661" i="16"/>
  <c r="C2055" i="16"/>
  <c r="A2055" i="16"/>
  <c r="A1645" i="16"/>
  <c r="C1645" i="16"/>
  <c r="A922" i="16"/>
  <c r="C922" i="16"/>
  <c r="A946" i="16"/>
  <c r="C946" i="16"/>
  <c r="C1619" i="16"/>
  <c r="A1619" i="16"/>
  <c r="C1459" i="16"/>
  <c r="A1459" i="16"/>
  <c r="A915" i="16"/>
  <c r="C915" i="16"/>
  <c r="A970" i="16"/>
  <c r="C970" i="16"/>
  <c r="C934" i="16"/>
  <c r="A934" i="16"/>
  <c r="C1011" i="16"/>
  <c r="A1011" i="16"/>
  <c r="C1464" i="16"/>
  <c r="A1464" i="16"/>
  <c r="A870" i="16"/>
  <c r="A1455" i="16"/>
  <c r="C1455" i="16"/>
  <c r="A2040" i="16"/>
  <c r="C2040" i="16"/>
  <c r="A1595" i="16"/>
  <c r="C1595" i="16"/>
  <c r="C1719" i="16"/>
  <c r="A1719" i="16"/>
  <c r="A2031" i="16"/>
  <c r="C2031" i="16"/>
  <c r="A2089" i="16"/>
  <c r="C2089" i="16"/>
  <c r="C1646" i="16"/>
  <c r="A1646" i="16"/>
  <c r="C979" i="16"/>
  <c r="A979" i="16"/>
  <c r="A2072" i="16"/>
  <c r="C2072" i="16"/>
  <c r="C2085" i="16"/>
  <c r="A2085" i="16"/>
  <c r="C2131" i="16"/>
  <c r="A2131" i="16"/>
  <c r="C944" i="16"/>
  <c r="A944" i="16"/>
  <c r="A1014" i="16"/>
  <c r="C1014" i="16"/>
  <c r="C1472" i="16"/>
  <c r="A1472" i="16"/>
  <c r="C1613" i="16"/>
  <c r="A1613" i="16"/>
  <c r="C1730" i="16"/>
  <c r="A1730" i="16"/>
  <c r="A1677" i="16"/>
  <c r="C1677" i="16"/>
  <c r="C2150" i="16"/>
  <c r="A2150" i="16"/>
  <c r="C1657" i="16"/>
  <c r="A1657" i="16"/>
  <c r="C1630" i="16"/>
  <c r="A1630" i="16"/>
  <c r="A2111" i="16"/>
  <c r="C2111" i="16"/>
  <c r="A2139" i="16"/>
  <c r="C2139" i="16"/>
  <c r="C1666" i="16"/>
  <c r="A1666" i="16"/>
  <c r="A2115" i="16"/>
  <c r="C2115" i="16"/>
  <c r="A2071" i="16"/>
  <c r="C2071" i="16"/>
  <c r="A1456" i="16"/>
  <c r="C1456" i="16"/>
  <c r="A977" i="16"/>
  <c r="C977" i="16"/>
  <c r="C2120" i="16"/>
  <c r="A2120" i="16"/>
  <c r="C796" i="16"/>
  <c r="C1447" i="16"/>
  <c r="A1447" i="16"/>
  <c r="A1488" i="16"/>
  <c r="C1488" i="16"/>
  <c r="A2101" i="16"/>
  <c r="C2101" i="16"/>
  <c r="A1655" i="16"/>
  <c r="C1655" i="16"/>
  <c r="A2090" i="16"/>
  <c r="C2090" i="16"/>
  <c r="C1453" i="16"/>
  <c r="A1453" i="16"/>
  <c r="C1706" i="16"/>
  <c r="A1706" i="16"/>
  <c r="C2093" i="16"/>
  <c r="A2093" i="16"/>
  <c r="A1471" i="16"/>
  <c r="C1471" i="16"/>
  <c r="A1648" i="16"/>
  <c r="C1648" i="16"/>
  <c r="C841" i="16"/>
  <c r="C2062" i="16"/>
  <c r="A2062" i="16"/>
  <c r="C2102" i="16"/>
  <c r="A2102" i="16"/>
  <c r="A1618" i="16"/>
  <c r="C1618" i="16"/>
  <c r="A1722" i="16"/>
  <c r="C1722" i="16"/>
  <c r="C1681" i="16"/>
  <c r="A1681" i="16"/>
  <c r="A1701" i="16"/>
  <c r="C1701" i="16"/>
  <c r="A2039" i="16"/>
  <c r="C2039" i="16"/>
  <c r="C2080" i="16"/>
  <c r="A2080" i="16"/>
  <c r="C2042" i="16"/>
  <c r="A2042" i="16"/>
  <c r="C1028" i="16"/>
  <c r="A1028" i="16"/>
  <c r="C1721" i="16"/>
  <c r="A1721" i="16"/>
  <c r="A2091" i="16"/>
  <c r="C2091" i="16"/>
  <c r="A1598" i="16"/>
  <c r="C1598" i="16"/>
  <c r="A1663" i="16"/>
  <c r="C1663" i="16"/>
  <c r="C2105" i="16"/>
  <c r="A2105" i="16"/>
  <c r="C842" i="16"/>
  <c r="A2038" i="16"/>
  <c r="C2038" i="16"/>
  <c r="A1660" i="16"/>
  <c r="C1660" i="16"/>
  <c r="A1600" i="16"/>
  <c r="C1600" i="16"/>
  <c r="C1647" i="16"/>
  <c r="A1647" i="16"/>
  <c r="A1468" i="16"/>
  <c r="C1468" i="16"/>
  <c r="A1691" i="16"/>
  <c r="C1691" i="16"/>
  <c r="A873" i="16"/>
  <c r="A2027" i="16"/>
  <c r="C2027" i="16"/>
  <c r="C1507" i="16"/>
  <c r="A1507" i="16"/>
  <c r="C1515" i="16"/>
  <c r="A1515" i="16"/>
  <c r="A1675" i="16"/>
  <c r="C1675" i="16"/>
  <c r="A1019" i="16"/>
  <c r="C1019" i="16"/>
  <c r="A1678" i="16"/>
  <c r="C1678" i="16"/>
  <c r="A1622" i="16"/>
  <c r="C1622" i="16"/>
  <c r="C2058" i="16"/>
  <c r="A2058" i="16"/>
  <c r="C2056" i="16"/>
  <c r="A2056" i="16"/>
  <c r="C1628" i="16"/>
  <c r="A1628" i="16"/>
  <c r="C1597" i="16"/>
  <c r="A1597" i="16"/>
  <c r="C2033" i="16"/>
  <c r="A2033" i="16"/>
  <c r="A2106" i="16"/>
  <c r="C2106" i="16"/>
  <c r="C1674" i="16"/>
  <c r="A1674" i="16"/>
  <c r="A850" i="16"/>
  <c r="A1462" i="16"/>
  <c r="C1462" i="16"/>
  <c r="A2030" i="16"/>
  <c r="C2030" i="16"/>
  <c r="A1606" i="16"/>
  <c r="C1606" i="16"/>
  <c r="A886" i="16"/>
  <c r="C886" i="16"/>
  <c r="A1652" i="16"/>
  <c r="C1652" i="16"/>
  <c r="C1635" i="16"/>
  <c r="A1635" i="16"/>
  <c r="A849" i="16"/>
  <c r="C1609" i="16"/>
  <c r="A1609" i="16"/>
  <c r="C1616" i="16"/>
  <c r="A1616" i="16"/>
  <c r="A829" i="16"/>
  <c r="A2084" i="16"/>
  <c r="C2084" i="16"/>
  <c r="C1519" i="16"/>
  <c r="A1519" i="16"/>
  <c r="C2132" i="16"/>
  <c r="A2132" i="16"/>
  <c r="C2048" i="16"/>
  <c r="A2048" i="16"/>
  <c r="A1711" i="16"/>
  <c r="C1711" i="16"/>
  <c r="A2121" i="16"/>
  <c r="C2121" i="16"/>
  <c r="C1513" i="16"/>
  <c r="A1513" i="16"/>
  <c r="A2059" i="16"/>
  <c r="C2059" i="16"/>
  <c r="A2032" i="16"/>
  <c r="C2032" i="16"/>
  <c r="C1732" i="16"/>
  <c r="A1732" i="16"/>
  <c r="A1036" i="16"/>
  <c r="C1036" i="16"/>
  <c r="A844" i="16"/>
  <c r="A1680" i="16"/>
  <c r="C1680" i="16"/>
  <c r="A825" i="16"/>
  <c r="C1451" i="16"/>
  <c r="A1451" i="16"/>
  <c r="C1442" i="16"/>
  <c r="A1442" i="16"/>
  <c r="A1470" i="16"/>
  <c r="C1470" i="16"/>
  <c r="C2034" i="16"/>
  <c r="A2034" i="16"/>
  <c r="A2063" i="16"/>
  <c r="C2063" i="16"/>
  <c r="C1502" i="16"/>
  <c r="A1502" i="16"/>
  <c r="A2074" i="16"/>
  <c r="C2074" i="16"/>
  <c r="C1710" i="16"/>
  <c r="A1710" i="16"/>
  <c r="A1689" i="16"/>
  <c r="C1689" i="16"/>
  <c r="A1483" i="16"/>
  <c r="C1483" i="16"/>
  <c r="A2081" i="16"/>
  <c r="C2081" i="16"/>
  <c r="C1724" i="16"/>
  <c r="A1724" i="16"/>
  <c r="C2146" i="16"/>
  <c r="A2146" i="16"/>
  <c r="C1673" i="16"/>
  <c r="A1673" i="16"/>
  <c r="C2137" i="16"/>
  <c r="A2137" i="16"/>
  <c r="C2068" i="16"/>
  <c r="A2068" i="16"/>
  <c r="A1448" i="16"/>
  <c r="C1448" i="16"/>
  <c r="A1485" i="16"/>
  <c r="C1485" i="16"/>
  <c r="C1478" i="16"/>
  <c r="A1478" i="16"/>
  <c r="C1642" i="16"/>
  <c r="A1642" i="16"/>
  <c r="A1590" i="16"/>
  <c r="C1590" i="16"/>
  <c r="A2113" i="16"/>
  <c r="C2113" i="16"/>
  <c r="A1602" i="16"/>
  <c r="C1602" i="16"/>
  <c r="A1720" i="16"/>
  <c r="C1720" i="16"/>
  <c r="A1682" i="16"/>
  <c r="C1682" i="16"/>
  <c r="A1656" i="16"/>
  <c r="C1656" i="16"/>
  <c r="C2127" i="16"/>
  <c r="A2127" i="16"/>
  <c r="A2052" i="16"/>
  <c r="C2052" i="16"/>
  <c r="A2054" i="16"/>
  <c r="C2054" i="16"/>
  <c r="C2036" i="16"/>
  <c r="A2036" i="16"/>
  <c r="C959" i="16"/>
  <c r="A959" i="16"/>
  <c r="A2045" i="16"/>
  <c r="C2045" i="16"/>
  <c r="A1587" i="16"/>
  <c r="C1587" i="16"/>
  <c r="C1627" i="16"/>
  <c r="A1627" i="16"/>
  <c r="A1452" i="16"/>
  <c r="C1452" i="16"/>
  <c r="A2050" i="16"/>
  <c r="C2050" i="16"/>
  <c r="C2155" i="16"/>
  <c r="A2155" i="16"/>
  <c r="C1704" i="16"/>
  <c r="A1704" i="16"/>
  <c r="A1726" i="16"/>
  <c r="C1726" i="16"/>
  <c r="C1659" i="16"/>
  <c r="A1659" i="16"/>
  <c r="A2126" i="16"/>
  <c r="C2126" i="16"/>
  <c r="C2035" i="16"/>
  <c r="A2035" i="16"/>
  <c r="C2044" i="16"/>
  <c r="A2044" i="16"/>
  <c r="A1716" i="16"/>
  <c r="C1716" i="16"/>
  <c r="C2123" i="16"/>
  <c r="A2123" i="16"/>
  <c r="C1694" i="16"/>
  <c r="A1694" i="16"/>
  <c r="C1641" i="16"/>
  <c r="A1641" i="16"/>
  <c r="C2026" i="16"/>
  <c r="A2026" i="16"/>
  <c r="A2087" i="16"/>
  <c r="C2087" i="16"/>
  <c r="C1714" i="16"/>
  <c r="A1714" i="16"/>
  <c r="C2099" i="16"/>
  <c r="A2099" i="16"/>
  <c r="A1632" i="16"/>
  <c r="C1632" i="16"/>
  <c r="C1687" i="16"/>
  <c r="A1687" i="16"/>
  <c r="A1446" i="16"/>
  <c r="C1446" i="16"/>
  <c r="A1499" i="16"/>
  <c r="C1499" i="16"/>
  <c r="C1516" i="16"/>
  <c r="A1516" i="16"/>
  <c r="C2153" i="16"/>
  <c r="A2153" i="16"/>
  <c r="C1494" i="16"/>
  <c r="A1494" i="16"/>
  <c r="A2064" i="16"/>
  <c r="C2064" i="16"/>
  <c r="C2151" i="16"/>
  <c r="A2151" i="16"/>
  <c r="C2082" i="16"/>
  <c r="A2082" i="16"/>
  <c r="A2100" i="16"/>
  <c r="C2100" i="16"/>
  <c r="C2145" i="16"/>
  <c r="A2145" i="16"/>
  <c r="A2065" i="16"/>
  <c r="C2065" i="16"/>
  <c r="C2147" i="16"/>
  <c r="A2147" i="16"/>
  <c r="C2135" i="16"/>
  <c r="A2135" i="16"/>
  <c r="C2156" i="16"/>
  <c r="A2156" i="16"/>
  <c r="C2053" i="16"/>
  <c r="A2053" i="16"/>
  <c r="A2134" i="16"/>
  <c r="C2134" i="16"/>
  <c r="A1700" i="16"/>
  <c r="C1700" i="16"/>
  <c r="C1503" i="16"/>
  <c r="A1503" i="16"/>
  <c r="A2088" i="16"/>
  <c r="C2088" i="16"/>
  <c r="C2079" i="16"/>
  <c r="A2079" i="16"/>
  <c r="C2049" i="16"/>
  <c r="A2049" i="16"/>
  <c r="A2125" i="16"/>
  <c r="C2125" i="16"/>
  <c r="A2029" i="16"/>
  <c r="C2029" i="16"/>
  <c r="A2114" i="16"/>
  <c r="C2114" i="16"/>
  <c r="C2067" i="16"/>
  <c r="A2067" i="16"/>
  <c r="C1512" i="16"/>
  <c r="A1512" i="16"/>
  <c r="A2077" i="16"/>
  <c r="C2077" i="16"/>
  <c r="C1608" i="16"/>
  <c r="A1608" i="16"/>
  <c r="A2119" i="16"/>
  <c r="C2119" i="16"/>
  <c r="A1698" i="16"/>
  <c r="C1698" i="16"/>
  <c r="A1629" i="16"/>
  <c r="C1629" i="16"/>
  <c r="A2154" i="16"/>
  <c r="C2154" i="16"/>
  <c r="A1588" i="16"/>
  <c r="C1588" i="16"/>
  <c r="C1686" i="16"/>
  <c r="A1686" i="16"/>
  <c r="C2142" i="16"/>
  <c r="A2142" i="16"/>
  <c r="C2083" i="16"/>
  <c r="A2083" i="16"/>
  <c r="C2133" i="16"/>
  <c r="A2133" i="16"/>
  <c r="A2107" i="16"/>
  <c r="C2107" i="16"/>
  <c r="A2037" i="16"/>
  <c r="C2037" i="16"/>
  <c r="A2143" i="16"/>
  <c r="C2143" i="16"/>
  <c r="C1662" i="16"/>
  <c r="A1662" i="16"/>
  <c r="A1475" i="16"/>
  <c r="C1475" i="16"/>
  <c r="A1510" i="16"/>
  <c r="C1510" i="16"/>
  <c r="A2096" i="16"/>
  <c r="C2096" i="16"/>
  <c r="A1614" i="16"/>
  <c r="C1614" i="16"/>
  <c r="A2148" i="16"/>
  <c r="C2148" i="16"/>
  <c r="C2046" i="16"/>
  <c r="A2046" i="16"/>
  <c r="A2117" i="16"/>
  <c r="C2117" i="16"/>
  <c r="A2047" i="16"/>
  <c r="C2047" i="16"/>
  <c r="C2051" i="16"/>
  <c r="A2051" i="16"/>
  <c r="A1631" i="16"/>
  <c r="C1631" i="16"/>
  <c r="A2140" i="16"/>
  <c r="C2140" i="16"/>
  <c r="A1592" i="16"/>
  <c r="C1592" i="16"/>
  <c r="C2069" i="16"/>
  <c r="A2069" i="16"/>
  <c r="C2138" i="16"/>
  <c r="A2138" i="16"/>
  <c r="C2124" i="16"/>
  <c r="A2124" i="16"/>
  <c r="A2041" i="16"/>
  <c r="C2041" i="16"/>
  <c r="A2060" i="16"/>
  <c r="C2060" i="16"/>
  <c r="C2122" i="16"/>
  <c r="A2122" i="16"/>
  <c r="C2070" i="16"/>
  <c r="A2070" i="16"/>
  <c r="C2152" i="16"/>
  <c r="A2152" i="16"/>
  <c r="C2076" i="16"/>
  <c r="A2076" i="16"/>
  <c r="A2086" i="16"/>
  <c r="C2086" i="16"/>
  <c r="C2078" i="16"/>
  <c r="A2078" i="16"/>
  <c r="C2144" i="16"/>
  <c r="A2144" i="16"/>
  <c r="A2116" i="16"/>
  <c r="C2116" i="16"/>
  <c r="A1703" i="16"/>
  <c r="C1703" i="16"/>
  <c r="C2073" i="16"/>
  <c r="A2073" i="16"/>
  <c r="C2092" i="16"/>
  <c r="A2092" i="16"/>
  <c r="A2104" i="16"/>
  <c r="C2104" i="16"/>
  <c r="N1048" i="16"/>
  <c r="N2057" i="16"/>
  <c r="AC1107" i="16"/>
  <c r="W1454" i="16"/>
  <c r="P1961" i="16"/>
  <c r="N987" i="16"/>
  <c r="W472" i="16"/>
  <c r="U1967" i="16"/>
  <c r="L697" i="16"/>
  <c r="U832" i="16"/>
  <c r="AA247" i="16"/>
  <c r="L798" i="16"/>
  <c r="L120" i="16"/>
  <c r="N1021" i="16"/>
  <c r="W953" i="16"/>
  <c r="P931" i="16"/>
  <c r="N1037" i="16"/>
  <c r="AC151" i="16"/>
  <c r="Y1129" i="16"/>
  <c r="W673" i="16"/>
  <c r="Y586" i="16"/>
  <c r="U1789" i="16"/>
  <c r="U230" i="16"/>
  <c r="L1062" i="16"/>
  <c r="U923" i="16"/>
  <c r="AC878" i="16"/>
  <c r="Y1201" i="16"/>
  <c r="AA1167" i="16"/>
  <c r="P852" i="16"/>
  <c r="U100" i="16"/>
  <c r="Y780" i="16"/>
  <c r="AC217" i="16"/>
  <c r="AC50" i="16"/>
  <c r="U1299" i="16"/>
  <c r="P621" i="16"/>
  <c r="Y705" i="16"/>
  <c r="AA848" i="16"/>
  <c r="AA208" i="16"/>
  <c r="P630" i="16"/>
  <c r="L28" i="16"/>
  <c r="U176" i="16"/>
  <c r="AC1183" i="16"/>
  <c r="Y306" i="16"/>
  <c r="P482" i="16"/>
  <c r="AC287" i="16"/>
  <c r="AC686" i="16"/>
  <c r="AC1167" i="16"/>
  <c r="Y123" i="16"/>
  <c r="P101" i="16"/>
  <c r="Y751" i="16"/>
  <c r="Y411" i="16"/>
  <c r="W1036" i="16"/>
  <c r="AA1203" i="16"/>
  <c r="L23" i="16"/>
  <c r="P1095" i="16"/>
  <c r="W643" i="16"/>
  <c r="P574" i="16"/>
  <c r="N337" i="16"/>
  <c r="AA70" i="16"/>
  <c r="Y153" i="16"/>
  <c r="W1589" i="16"/>
  <c r="AC762" i="16"/>
  <c r="U38" i="16"/>
  <c r="L734" i="16"/>
  <c r="W1226" i="16"/>
  <c r="W497" i="16"/>
  <c r="Y604" i="16"/>
  <c r="AC575" i="16"/>
  <c r="U1387" i="16"/>
  <c r="AA699" i="16"/>
  <c r="Y546" i="16"/>
  <c r="W721" i="16"/>
  <c r="P1876" i="16"/>
  <c r="P1525" i="16"/>
  <c r="AA44" i="16"/>
  <c r="N1709" i="16"/>
  <c r="N1003" i="16"/>
  <c r="L761" i="16"/>
  <c r="AA575" i="16"/>
  <c r="Y1132" i="16"/>
  <c r="W634" i="16"/>
  <c r="N591" i="16"/>
  <c r="AA979" i="16"/>
  <c r="AC801" i="16"/>
  <c r="L388" i="16"/>
  <c r="L542" i="16"/>
  <c r="AA591" i="16"/>
  <c r="W667" i="16"/>
  <c r="P1233" i="16"/>
  <c r="U894" i="16"/>
  <c r="AC380" i="16"/>
  <c r="N1527" i="16"/>
  <c r="L721" i="16"/>
  <c r="L1113" i="16"/>
  <c r="AC1131" i="16"/>
  <c r="L297" i="16"/>
  <c r="P480" i="16"/>
  <c r="Y118" i="16"/>
  <c r="Y143" i="16"/>
  <c r="P634" i="16"/>
  <c r="L890" i="16"/>
  <c r="AA1728" i="16"/>
  <c r="AA582" i="16"/>
  <c r="P1317" i="16"/>
  <c r="Y641" i="16"/>
  <c r="AC394" i="16"/>
  <c r="W1395" i="16"/>
  <c r="P797" i="16"/>
  <c r="AC1433" i="16"/>
  <c r="AC1640" i="16"/>
  <c r="P1252" i="16"/>
  <c r="AA477" i="16"/>
  <c r="AA481" i="16"/>
  <c r="W1259" i="16"/>
  <c r="AC821" i="16"/>
  <c r="N962" i="16"/>
  <c r="L732" i="16"/>
  <c r="W1059" i="16"/>
  <c r="AA1053" i="16"/>
  <c r="N2" i="16"/>
  <c r="AC614" i="16"/>
  <c r="U570" i="16"/>
  <c r="N961" i="16"/>
  <c r="AC606" i="16"/>
  <c r="W765" i="16"/>
  <c r="AC383" i="16"/>
  <c r="AA982" i="16"/>
  <c r="U1687" i="16"/>
  <c r="L1013" i="16"/>
  <c r="U143" i="16"/>
  <c r="P966" i="16"/>
  <c r="W1102" i="16"/>
  <c r="L1437" i="16"/>
  <c r="AA84" i="16"/>
  <c r="AC463" i="16"/>
  <c r="AA1515" i="16"/>
  <c r="AC1323" i="16"/>
  <c r="N754" i="16"/>
  <c r="P407" i="16"/>
  <c r="Y686" i="16"/>
  <c r="L602" i="16"/>
  <c r="N1113" i="16"/>
  <c r="W1397" i="16"/>
  <c r="AA909" i="16"/>
  <c r="P878" i="16"/>
  <c r="AE1739" i="16"/>
  <c r="Y1544" i="16"/>
  <c r="Y400" i="16"/>
  <c r="U1097" i="16"/>
  <c r="N1406" i="16"/>
  <c r="Y1379" i="16"/>
  <c r="L504" i="16"/>
  <c r="Y575" i="16"/>
  <c r="W11" i="16"/>
  <c r="U1543" i="16"/>
  <c r="P843" i="16"/>
  <c r="Y721" i="16"/>
  <c r="N1794" i="16"/>
  <c r="W675" i="16"/>
  <c r="Y384" i="16"/>
  <c r="N749" i="16"/>
  <c r="N506" i="16"/>
  <c r="AC524" i="16"/>
  <c r="N1271" i="16"/>
  <c r="P874" i="16"/>
  <c r="L172" i="16"/>
  <c r="W901" i="16"/>
  <c r="N964" i="16"/>
  <c r="P1042" i="16"/>
  <c r="W1316" i="16"/>
  <c r="W501" i="16"/>
  <c r="W1769" i="16"/>
  <c r="AC159" i="16"/>
  <c r="AC307" i="16"/>
  <c r="U236" i="16"/>
  <c r="Y605" i="16"/>
  <c r="U1276" i="16"/>
  <c r="AC474" i="16"/>
  <c r="N26" i="16"/>
  <c r="L715" i="16"/>
  <c r="U837" i="16"/>
  <c r="L1127" i="16"/>
  <c r="U327" i="16"/>
  <c r="L644" i="16"/>
  <c r="N78" i="16"/>
  <c r="AA773" i="16"/>
  <c r="AC964" i="16"/>
  <c r="U72" i="16"/>
  <c r="U678" i="16"/>
  <c r="Y101" i="16"/>
  <c r="W522" i="16"/>
  <c r="AC266" i="16"/>
  <c r="W28" i="16"/>
  <c r="N994" i="16"/>
  <c r="U1994" i="16"/>
  <c r="Y368" i="16"/>
  <c r="P662" i="16"/>
  <c r="W1791" i="16"/>
  <c r="Y41" i="16"/>
  <c r="P994" i="16"/>
  <c r="AC1597" i="16"/>
  <c r="W1007" i="16"/>
  <c r="W1860" i="16"/>
  <c r="AC162" i="16"/>
  <c r="W1530" i="16"/>
  <c r="AA544" i="16"/>
  <c r="AC237" i="16"/>
  <c r="P856" i="16"/>
  <c r="P484" i="16"/>
  <c r="AA1125" i="16"/>
  <c r="AC641" i="16"/>
  <c r="AA1036" i="16"/>
  <c r="L1309" i="16"/>
  <c r="AA796" i="16"/>
  <c r="L101" i="16"/>
  <c r="N1061" i="16"/>
  <c r="P197" i="16"/>
  <c r="AA1221" i="16"/>
  <c r="U1028" i="16"/>
  <c r="AA107" i="16"/>
  <c r="U782" i="16"/>
  <c r="AA1489" i="16"/>
  <c r="W1443" i="16"/>
  <c r="Y505" i="16"/>
  <c r="AC599" i="16"/>
  <c r="W898" i="16"/>
  <c r="Y1675" i="16"/>
  <c r="AA1462" i="16"/>
  <c r="P225" i="16"/>
  <c r="P556" i="16"/>
  <c r="AA282" i="16"/>
  <c r="U1726" i="16"/>
  <c r="AA251" i="16"/>
  <c r="AC1506" i="16"/>
  <c r="P427" i="16"/>
  <c r="L604" i="16"/>
  <c r="W347" i="16"/>
  <c r="L1456" i="16"/>
  <c r="Y781" i="16"/>
  <c r="N999" i="16"/>
  <c r="U1430" i="16"/>
  <c r="W324" i="16"/>
  <c r="U106" i="16"/>
  <c r="W140" i="16"/>
  <c r="U46" i="16"/>
  <c r="L744" i="16"/>
  <c r="W285" i="16"/>
  <c r="U1549" i="16"/>
  <c r="P369" i="16"/>
  <c r="N404" i="16"/>
  <c r="Y334" i="16"/>
  <c r="W1741" i="16"/>
  <c r="P833" i="16"/>
  <c r="P432" i="16"/>
  <c r="W1075" i="16"/>
  <c r="U560" i="16"/>
  <c r="AA308" i="16"/>
  <c r="U219" i="16"/>
  <c r="AA977" i="16"/>
  <c r="L1003" i="16"/>
  <c r="Y1399" i="16"/>
  <c r="W866" i="16"/>
  <c r="L268" i="16"/>
  <c r="N1283" i="16"/>
  <c r="U966" i="16"/>
  <c r="N675" i="16"/>
  <c r="N433" i="16"/>
  <c r="U441" i="16"/>
  <c r="L554" i="16"/>
  <c r="U683" i="16"/>
  <c r="AC149" i="16"/>
  <c r="Y1555" i="16"/>
  <c r="N319" i="16"/>
  <c r="AC1303" i="16"/>
  <c r="Y496" i="16"/>
  <c r="P96" i="16"/>
  <c r="L353" i="16"/>
  <c r="L301" i="16"/>
  <c r="AA58" i="16"/>
  <c r="AC258" i="16"/>
  <c r="AC312" i="16"/>
  <c r="W1810" i="16"/>
  <c r="U2071" i="16"/>
  <c r="Y470" i="16"/>
  <c r="AA17" i="16"/>
  <c r="W162" i="16"/>
  <c r="L170" i="16"/>
  <c r="W1565" i="16"/>
  <c r="N371" i="16"/>
  <c r="N593" i="16"/>
  <c r="L1157" i="16"/>
  <c r="AC194" i="16"/>
  <c r="P460" i="16"/>
  <c r="Y1433" i="16"/>
  <c r="L1493" i="16"/>
  <c r="Y513" i="16"/>
  <c r="AA368" i="16"/>
  <c r="U644" i="16"/>
  <c r="N974" i="16"/>
  <c r="N756" i="16"/>
  <c r="Y523" i="16"/>
  <c r="L44" i="16"/>
  <c r="U278" i="16"/>
  <c r="P1136" i="16"/>
  <c r="N1551" i="16"/>
  <c r="P849" i="16"/>
  <c r="P1443" i="16"/>
  <c r="Y1073" i="16"/>
  <c r="AA216" i="16"/>
  <c r="W1814" i="16"/>
  <c r="N382" i="16"/>
  <c r="L231" i="16"/>
  <c r="W598" i="16"/>
  <c r="AA235" i="16"/>
  <c r="W968" i="16"/>
  <c r="W752" i="16"/>
  <c r="N274" i="16"/>
  <c r="AC734" i="16"/>
  <c r="AA598" i="16"/>
  <c r="U1544" i="16"/>
  <c r="Y848" i="16"/>
  <c r="W546" i="16"/>
  <c r="Y517" i="16"/>
  <c r="Y503" i="16"/>
  <c r="L129" i="16"/>
  <c r="W1737" i="16"/>
  <c r="N229" i="16"/>
  <c r="AA1541" i="16"/>
  <c r="P1184" i="16"/>
  <c r="W1303" i="16"/>
  <c r="AC982" i="16"/>
  <c r="L402" i="16"/>
  <c r="U845" i="16"/>
  <c r="AA177" i="16"/>
  <c r="AC792" i="16"/>
  <c r="Y157" i="16"/>
  <c r="Y394" i="16"/>
  <c r="P1097" i="16"/>
  <c r="P154" i="16"/>
  <c r="N495" i="16"/>
  <c r="P463" i="16"/>
  <c r="Y265" i="16"/>
  <c r="AA732" i="16"/>
  <c r="P368" i="16"/>
  <c r="AA1105" i="16"/>
  <c r="Y1301" i="16"/>
  <c r="U4" i="16"/>
  <c r="W1369" i="16"/>
  <c r="L656" i="16"/>
  <c r="AA677" i="16"/>
  <c r="N408" i="16"/>
  <c r="U2002" i="16"/>
  <c r="L178" i="16"/>
  <c r="Y973" i="16"/>
  <c r="Y462" i="16"/>
  <c r="N539" i="16"/>
  <c r="N834" i="16"/>
  <c r="AC448" i="16"/>
  <c r="W1103" i="16"/>
  <c r="W799" i="16"/>
  <c r="U1443" i="16"/>
  <c r="AA672" i="16"/>
  <c r="AA851" i="16"/>
  <c r="U503" i="16"/>
  <c r="AA976" i="16"/>
  <c r="W496" i="16"/>
  <c r="P543" i="16"/>
  <c r="Y163" i="16"/>
  <c r="U1620" i="16"/>
  <c r="AA973" i="16"/>
  <c r="N607" i="16"/>
  <c r="N1486" i="16"/>
  <c r="U723" i="16"/>
  <c r="N1098" i="16"/>
  <c r="P308" i="16"/>
  <c r="AA1306" i="16"/>
  <c r="P805" i="16"/>
  <c r="W537" i="16"/>
  <c r="P608" i="16"/>
  <c r="U807" i="16"/>
  <c r="AC764" i="16"/>
  <c r="AA499" i="16"/>
  <c r="Y629" i="16"/>
  <c r="L1368" i="16"/>
  <c r="W1269" i="16"/>
  <c r="AC854" i="16"/>
  <c r="AC1133" i="16"/>
  <c r="U527" i="16"/>
  <c r="U1897" i="16"/>
  <c r="L1812" i="16"/>
  <c r="P639" i="16"/>
  <c r="AA25" i="16"/>
  <c r="U1777" i="16"/>
  <c r="Y1349" i="16"/>
  <c r="P551" i="16"/>
  <c r="Y87" i="16"/>
  <c r="AA154" i="16"/>
  <c r="L105" i="16"/>
  <c r="Y64" i="16"/>
  <c r="AA659" i="16"/>
  <c r="Y209" i="16"/>
  <c r="L345" i="16"/>
  <c r="U865" i="16"/>
  <c r="AA257" i="16"/>
  <c r="W1747" i="16"/>
  <c r="U1055" i="16"/>
  <c r="AA600" i="16"/>
  <c r="L21" i="16"/>
  <c r="AC601" i="16"/>
  <c r="W1503" i="16"/>
  <c r="AC1645" i="16"/>
  <c r="AA1078" i="16"/>
  <c r="W452" i="16"/>
  <c r="W401" i="16"/>
  <c r="AA377" i="16"/>
  <c r="L794" i="16"/>
  <c r="W711" i="16"/>
  <c r="L703" i="16"/>
  <c r="W199" i="16"/>
  <c r="AA505" i="16"/>
  <c r="L531" i="16"/>
  <c r="U472" i="16"/>
  <c r="P20" i="16"/>
  <c r="AA219" i="16"/>
  <c r="Y351" i="16"/>
  <c r="P908" i="16"/>
  <c r="AA646" i="16"/>
  <c r="W949" i="16"/>
  <c r="AA756" i="16"/>
  <c r="Y843" i="16"/>
  <c r="U911" i="16"/>
  <c r="L569" i="16"/>
  <c r="Y962" i="16"/>
  <c r="N124" i="16"/>
  <c r="AA629" i="16"/>
  <c r="W296" i="16"/>
  <c r="P180" i="16"/>
  <c r="U137" i="16"/>
  <c r="AC372" i="16"/>
  <c r="L922" i="16"/>
  <c r="N1231" i="16"/>
  <c r="U1036" i="16"/>
  <c r="U18" i="16"/>
  <c r="W954" i="16"/>
  <c r="N1080" i="16"/>
  <c r="U761" i="16"/>
  <c r="AA927" i="16"/>
  <c r="P842" i="16"/>
  <c r="W1828" i="16"/>
  <c r="N1020" i="16"/>
  <c r="U548" i="16"/>
  <c r="P494" i="16"/>
  <c r="L1287" i="16"/>
  <c r="AA1305" i="16"/>
  <c r="N774" i="16"/>
  <c r="L336" i="16"/>
  <c r="P186" i="16"/>
  <c r="AC1132" i="16"/>
  <c r="AA673" i="16"/>
  <c r="L1542" i="16"/>
  <c r="P810" i="16"/>
  <c r="U1436" i="16"/>
  <c r="U379" i="16"/>
  <c r="Y831" i="16"/>
  <c r="W592" i="16"/>
  <c r="U1525" i="16"/>
  <c r="L784" i="16"/>
  <c r="U508" i="16"/>
  <c r="W945" i="16"/>
  <c r="U712" i="16"/>
  <c r="W993" i="16"/>
  <c r="U651" i="16"/>
  <c r="U1244" i="16"/>
  <c r="L728" i="16"/>
  <c r="L1377" i="16"/>
  <c r="N1034" i="16"/>
  <c r="AA960" i="16"/>
  <c r="W101" i="16"/>
  <c r="Y929" i="16"/>
  <c r="U852" i="16"/>
  <c r="W1147" i="16"/>
  <c r="Y597" i="16"/>
  <c r="AC1421" i="16"/>
  <c r="AC392" i="16"/>
  <c r="AE1872" i="16"/>
  <c r="W369" i="16"/>
  <c r="U215" i="16"/>
  <c r="AA685" i="16"/>
  <c r="Y743" i="16"/>
  <c r="W351" i="16"/>
  <c r="N936" i="16"/>
  <c r="AA32" i="16"/>
  <c r="AA802" i="16"/>
  <c r="U1441" i="16"/>
  <c r="AC605" i="16"/>
  <c r="N900" i="16"/>
  <c r="W1491" i="16"/>
  <c r="AA907" i="16"/>
  <c r="Y1105" i="16"/>
  <c r="U99" i="16"/>
  <c r="P1310" i="16"/>
  <c r="P54" i="16"/>
  <c r="N168" i="16"/>
  <c r="N1688" i="16"/>
  <c r="W471" i="16"/>
  <c r="N425" i="16"/>
  <c r="AA1216" i="16"/>
  <c r="L277" i="16"/>
  <c r="P124" i="16"/>
  <c r="L125" i="16"/>
  <c r="L772" i="16"/>
  <c r="L67" i="16"/>
  <c r="U1575" i="16"/>
  <c r="P1491" i="16"/>
  <c r="Y194" i="16"/>
  <c r="N1523" i="16"/>
  <c r="U159" i="16"/>
  <c r="AA757" i="16"/>
  <c r="AC459" i="16"/>
  <c r="L479" i="16"/>
  <c r="N875" i="16"/>
  <c r="W39" i="16"/>
  <c r="AC27" i="16"/>
  <c r="P1555" i="16"/>
  <c r="Y170" i="16"/>
  <c r="L847" i="16"/>
  <c r="AC1268" i="16"/>
  <c r="W481" i="16"/>
  <c r="W407" i="16"/>
  <c r="AC508" i="16"/>
  <c r="U759" i="16"/>
  <c r="U1518" i="16"/>
  <c r="U1007" i="16"/>
  <c r="AA1156" i="16"/>
  <c r="U166" i="16"/>
  <c r="Y1028" i="16"/>
  <c r="L77" i="16"/>
  <c r="W1730" i="16"/>
  <c r="AA599" i="16"/>
  <c r="AC991" i="16"/>
  <c r="L292" i="16"/>
  <c r="N515" i="16"/>
  <c r="L875" i="16"/>
  <c r="U316" i="16"/>
  <c r="W1445" i="16"/>
  <c r="L1556" i="16"/>
  <c r="N346" i="16"/>
  <c r="AA801" i="16"/>
  <c r="W269" i="16"/>
  <c r="U828" i="16"/>
  <c r="U2024" i="16"/>
  <c r="W418" i="16"/>
  <c r="L1459" i="16"/>
  <c r="AC350" i="16"/>
  <c r="W1389" i="16"/>
  <c r="AC829" i="16"/>
  <c r="AC1171" i="16"/>
  <c r="P607" i="16"/>
  <c r="N990" i="16"/>
  <c r="W611" i="16"/>
  <c r="P31" i="16"/>
  <c r="Y166" i="16"/>
  <c r="AA635" i="16"/>
  <c r="AA928" i="16"/>
  <c r="Y859" i="16"/>
  <c r="AA180" i="16"/>
  <c r="Y983" i="16"/>
  <c r="Y599" i="16"/>
  <c r="N632" i="16"/>
  <c r="W771" i="16"/>
  <c r="U713" i="16"/>
  <c r="U346" i="16"/>
  <c r="AC84" i="16"/>
  <c r="Y860" i="16"/>
  <c r="AC147" i="16"/>
  <c r="W340" i="16"/>
  <c r="AC950" i="16"/>
  <c r="Y446" i="16"/>
  <c r="L109" i="16"/>
  <c r="N1349" i="16"/>
  <c r="U1385" i="16"/>
  <c r="AC1151" i="16"/>
  <c r="U501" i="16"/>
  <c r="W1177" i="16"/>
  <c r="U455" i="16"/>
  <c r="AC1523" i="16"/>
  <c r="N1692" i="16"/>
  <c r="P1261" i="16"/>
  <c r="L1170" i="16"/>
  <c r="L1387" i="16"/>
  <c r="W396" i="16"/>
  <c r="AC1108" i="16"/>
  <c r="N1106" i="16"/>
  <c r="L1261" i="16"/>
  <c r="Y1252" i="16"/>
  <c r="Y808" i="16"/>
  <c r="U1986" i="16"/>
  <c r="Y224" i="16"/>
  <c r="U1296" i="16"/>
  <c r="AA655" i="16"/>
  <c r="N113" i="16"/>
  <c r="W1736" i="16"/>
  <c r="W1340" i="16"/>
  <c r="Y1218" i="16"/>
  <c r="AA157" i="16"/>
  <c r="Y25" i="16"/>
  <c r="U1512" i="16"/>
  <c r="Y17" i="16"/>
  <c r="W90" i="16"/>
  <c r="AA158" i="16"/>
  <c r="U1983" i="16"/>
  <c r="AC30" i="16"/>
  <c r="N246" i="16"/>
  <c r="L742" i="16"/>
  <c r="Y258" i="16"/>
  <c r="L468" i="16"/>
  <c r="N472" i="16"/>
  <c r="N802" i="16"/>
  <c r="AA835" i="16"/>
  <c r="AA144" i="16"/>
  <c r="L1251" i="16"/>
  <c r="N1243" i="16"/>
  <c r="L439" i="16"/>
  <c r="N711" i="16"/>
  <c r="W1096" i="16"/>
  <c r="U340" i="16"/>
  <c r="N207" i="16"/>
  <c r="W1711" i="16"/>
  <c r="P456" i="16"/>
  <c r="AA518" i="16"/>
  <c r="N376" i="16"/>
  <c r="N828" i="16"/>
  <c r="P104" i="16"/>
  <c r="U647" i="16"/>
  <c r="Y310" i="16"/>
  <c r="AC109" i="16"/>
  <c r="W137" i="16"/>
  <c r="Y874" i="16"/>
  <c r="N652" i="16"/>
  <c r="Y339" i="16"/>
  <c r="Y450" i="16"/>
  <c r="AA603" i="16"/>
  <c r="AA527" i="16"/>
  <c r="N1047" i="16"/>
  <c r="W1487" i="16"/>
  <c r="W1765" i="16"/>
  <c r="P1506" i="16"/>
  <c r="P708" i="16"/>
  <c r="P690" i="16"/>
  <c r="AC775" i="16"/>
  <c r="Y526" i="16"/>
  <c r="L1035" i="16"/>
  <c r="W1283" i="16"/>
  <c r="L1341" i="16"/>
  <c r="Y150" i="16"/>
  <c r="W932" i="16"/>
  <c r="N619" i="16"/>
  <c r="P1603" i="16"/>
  <c r="P1645" i="16"/>
  <c r="Y691" i="16"/>
  <c r="N97" i="16"/>
  <c r="L57" i="16"/>
  <c r="P53" i="16"/>
  <c r="Y566" i="16"/>
  <c r="Y533" i="16"/>
  <c r="W1622" i="16"/>
  <c r="U86" i="16"/>
  <c r="N822" i="16"/>
  <c r="P113" i="16"/>
  <c r="AA13" i="16"/>
  <c r="Y122" i="16"/>
  <c r="W1383" i="16"/>
  <c r="U460" i="16"/>
  <c r="AC449" i="16"/>
  <c r="U328" i="16"/>
  <c r="AC678" i="16"/>
  <c r="W527" i="16"/>
  <c r="AC562" i="16"/>
  <c r="U206" i="16"/>
  <c r="U490" i="16"/>
  <c r="P385" i="16"/>
  <c r="L1152" i="16"/>
  <c r="W519" i="16"/>
  <c r="AA118" i="16"/>
  <c r="Y1080" i="16"/>
  <c r="P812" i="16"/>
  <c r="N1482" i="16"/>
  <c r="U2134" i="16"/>
  <c r="Y852" i="16"/>
  <c r="AA326" i="16"/>
  <c r="U594" i="16"/>
  <c r="Y278" i="16"/>
  <c r="N1375" i="16"/>
  <c r="N1175" i="16"/>
  <c r="Y272" i="16"/>
  <c r="Y93" i="16"/>
  <c r="AC262" i="16"/>
  <c r="Y226" i="16"/>
  <c r="W1068" i="16"/>
  <c r="Y954" i="16"/>
  <c r="W1881" i="16"/>
  <c r="L995" i="16"/>
  <c r="P256" i="16"/>
  <c r="AC1251" i="16"/>
  <c r="W614" i="16"/>
  <c r="L1886" i="16"/>
  <c r="AC1057" i="16"/>
  <c r="W1482" i="16"/>
  <c r="Y1152" i="16"/>
  <c r="N279" i="16"/>
  <c r="L406" i="16"/>
  <c r="L545" i="16"/>
  <c r="U1312" i="16"/>
  <c r="AC512" i="16"/>
  <c r="N1591" i="16"/>
  <c r="U1463" i="16"/>
  <c r="AC766" i="16"/>
  <c r="AC1492" i="16"/>
  <c r="Y1149" i="16"/>
  <c r="AC1494" i="16"/>
  <c r="L1657" i="16"/>
  <c r="P116" i="16"/>
  <c r="L803" i="16"/>
  <c r="P932" i="16"/>
  <c r="W725" i="16"/>
  <c r="N289" i="16"/>
  <c r="AC317" i="16"/>
  <c r="L455" i="16"/>
  <c r="W850" i="16"/>
  <c r="N264" i="16"/>
  <c r="Y54" i="16"/>
  <c r="U843" i="16"/>
  <c r="W637" i="16"/>
  <c r="N488" i="16"/>
  <c r="W1762" i="16"/>
  <c r="N708" i="16"/>
  <c r="U1821" i="16"/>
  <c r="AC1561" i="16"/>
  <c r="L398" i="16"/>
  <c r="L705" i="16"/>
  <c r="Y1042" i="16"/>
  <c r="U1170" i="16"/>
  <c r="U844" i="16"/>
  <c r="W1714" i="16"/>
  <c r="P814" i="16"/>
  <c r="W877" i="16"/>
  <c r="P228" i="16"/>
  <c r="U781" i="16"/>
  <c r="Y461" i="16"/>
  <c r="U1400" i="16"/>
  <c r="W377" i="16"/>
  <c r="W574" i="16"/>
  <c r="U1499" i="16"/>
  <c r="L781" i="16"/>
  <c r="U152" i="16"/>
  <c r="Y758" i="16"/>
  <c r="N299" i="16"/>
  <c r="L35" i="16"/>
  <c r="U601" i="16"/>
  <c r="U763" i="16"/>
  <c r="U1176" i="16"/>
  <c r="L802" i="16"/>
  <c r="AC1298" i="16"/>
  <c r="U198" i="16"/>
  <c r="P320" i="16"/>
  <c r="L7" i="16"/>
  <c r="Y458" i="16"/>
  <c r="W1646" i="16"/>
  <c r="L658" i="16"/>
  <c r="U1369" i="16"/>
  <c r="U445" i="16"/>
  <c r="N847" i="16"/>
  <c r="L195" i="16"/>
  <c r="U1764" i="16"/>
  <c r="U89" i="16"/>
  <c r="N965" i="16"/>
  <c r="U1498" i="16"/>
  <c r="U1352" i="16"/>
  <c r="AC460" i="16"/>
  <c r="N165" i="16"/>
  <c r="U1715" i="16"/>
  <c r="AA1598" i="16"/>
  <c r="N557" i="16"/>
  <c r="AC1500" i="16"/>
  <c r="P417" i="16"/>
  <c r="P268" i="16"/>
  <c r="W1748" i="16"/>
  <c r="L870" i="16"/>
  <c r="AC1115" i="16"/>
  <c r="U1502" i="16"/>
  <c r="W321" i="16"/>
  <c r="U78" i="16"/>
  <c r="N1154" i="16"/>
  <c r="N87" i="16"/>
  <c r="Y287" i="16"/>
  <c r="AA830" i="16"/>
  <c r="W907" i="16"/>
  <c r="U1311" i="16"/>
  <c r="W1193" i="16"/>
  <c r="AC1795" i="16"/>
  <c r="U766" i="16"/>
  <c r="U1262" i="16"/>
  <c r="W1694" i="16"/>
  <c r="U383" i="16"/>
  <c r="U578" i="16"/>
  <c r="AA894" i="16"/>
  <c r="W6" i="16"/>
  <c r="P36" i="16"/>
  <c r="P492" i="16"/>
  <c r="Y31" i="16"/>
  <c r="W887" i="16"/>
  <c r="N74" i="16"/>
  <c r="U1259" i="16"/>
  <c r="AA55" i="16"/>
  <c r="N553" i="16"/>
  <c r="AC281" i="16"/>
  <c r="Y940" i="16"/>
  <c r="W1069" i="16"/>
  <c r="AA803" i="16"/>
  <c r="N260" i="16"/>
  <c r="L613" i="16"/>
  <c r="P1066" i="16"/>
  <c r="AC113" i="16"/>
  <c r="W1033" i="16"/>
  <c r="W2147" i="16"/>
  <c r="U1485" i="16"/>
  <c r="N95" i="16"/>
  <c r="AC724" i="16"/>
  <c r="P479" i="16"/>
  <c r="P645" i="16"/>
  <c r="AA608" i="16"/>
  <c r="W1680" i="16"/>
  <c r="N386" i="16"/>
  <c r="U1693" i="16"/>
  <c r="U1451" i="16"/>
  <c r="AC1208" i="16"/>
  <c r="U734" i="16"/>
  <c r="AA708" i="16"/>
  <c r="P198" i="16"/>
  <c r="L158" i="16"/>
  <c r="AC993" i="16"/>
  <c r="L998" i="16"/>
  <c r="N621" i="16"/>
  <c r="U593" i="16"/>
  <c r="N237" i="16"/>
  <c r="Y425" i="16"/>
  <c r="W297" i="16"/>
  <c r="U1009" i="16"/>
  <c r="U141" i="16"/>
  <c r="AA1252" i="16"/>
  <c r="W1284" i="16"/>
  <c r="AC882" i="16"/>
  <c r="Y516" i="16"/>
  <c r="AC624" i="16"/>
  <c r="U808" i="16"/>
  <c r="L631" i="16"/>
  <c r="W1141" i="16"/>
  <c r="L676" i="16"/>
  <c r="AC467" i="16"/>
  <c r="AC1184" i="16"/>
  <c r="U633" i="16"/>
  <c r="W26" i="16"/>
  <c r="N492" i="16"/>
  <c r="U2123" i="16"/>
  <c r="U331" i="16"/>
  <c r="AC377" i="16"/>
  <c r="W214" i="16"/>
  <c r="U147" i="16"/>
  <c r="U1978" i="16"/>
  <c r="Y600" i="16"/>
  <c r="L1562" i="16"/>
  <c r="W1738" i="16"/>
  <c r="N86" i="16"/>
  <c r="AA1443" i="16"/>
  <c r="P520" i="16"/>
  <c r="U1795" i="16"/>
  <c r="P350" i="16"/>
  <c r="P119" i="16"/>
  <c r="U985" i="16"/>
  <c r="Y311" i="16"/>
  <c r="Y537" i="16"/>
  <c r="Y1378" i="16"/>
  <c r="W1698" i="16"/>
  <c r="N107" i="16"/>
  <c r="N185" i="16"/>
  <c r="N1224" i="16"/>
  <c r="N182" i="16"/>
  <c r="L1078" i="16"/>
  <c r="U430" i="16"/>
  <c r="N254" i="16"/>
  <c r="Y796" i="16"/>
  <c r="AA491" i="16"/>
  <c r="L1472" i="16"/>
  <c r="U1649" i="16"/>
  <c r="W871" i="16"/>
  <c r="N1584" i="16"/>
  <c r="N739" i="16"/>
  <c r="Y1617" i="16"/>
  <c r="N529" i="16"/>
  <c r="L856" i="16"/>
  <c r="N1191" i="16"/>
  <c r="N1001" i="16"/>
  <c r="AA396" i="16"/>
  <c r="AA684" i="16"/>
  <c r="AA31" i="16"/>
  <c r="U821" i="16"/>
  <c r="U11" i="16"/>
  <c r="P1592" i="16"/>
  <c r="U434" i="16"/>
  <c r="AA366" i="16"/>
  <c r="P46" i="16"/>
  <c r="W672" i="16"/>
  <c r="N194" i="16"/>
  <c r="AC598" i="16"/>
  <c r="L276" i="16"/>
  <c r="AA857" i="16"/>
  <c r="W149" i="16"/>
  <c r="AC446" i="16"/>
  <c r="N242" i="16"/>
  <c r="U835" i="16"/>
  <c r="P593" i="16"/>
  <c r="W86" i="16"/>
  <c r="Y596" i="16"/>
  <c r="AA1131" i="16"/>
  <c r="W682" i="16"/>
  <c r="W1651" i="16"/>
  <c r="U8" i="16"/>
  <c r="W838" i="16"/>
  <c r="AA542" i="16"/>
  <c r="AC1355" i="16"/>
  <c r="AC667" i="16"/>
  <c r="L1696" i="16"/>
  <c r="P567" i="16"/>
  <c r="N162" i="16"/>
  <c r="L64" i="16"/>
  <c r="AA1132" i="16"/>
  <c r="W1764" i="16"/>
  <c r="N696" i="16"/>
  <c r="W1795" i="16"/>
  <c r="U135" i="16"/>
  <c r="Y436" i="16"/>
  <c r="U396" i="16"/>
  <c r="U56" i="16"/>
  <c r="AA1154" i="16"/>
  <c r="L454" i="16"/>
  <c r="AC749" i="16"/>
  <c r="Y1572" i="16"/>
  <c r="AA310" i="16"/>
  <c r="N954" i="16"/>
  <c r="AA145" i="16"/>
  <c r="AC714" i="16"/>
  <c r="P400" i="16"/>
  <c r="Y281" i="16"/>
  <c r="Y1188" i="16"/>
  <c r="N1137" i="16"/>
  <c r="AC137" i="16"/>
  <c r="AE1787" i="16"/>
  <c r="P1607" i="16"/>
  <c r="AC318" i="16"/>
  <c r="N1887" i="16"/>
  <c r="P877" i="16"/>
  <c r="AA712" i="16"/>
  <c r="U140" i="16"/>
  <c r="AC936" i="16"/>
  <c r="W153" i="16"/>
  <c r="Y320" i="16"/>
  <c r="U1096" i="16"/>
  <c r="P502" i="16"/>
  <c r="AA295" i="16"/>
  <c r="W589" i="16"/>
  <c r="P140" i="16"/>
  <c r="U646" i="16"/>
  <c r="Y620" i="16"/>
  <c r="U896" i="16"/>
  <c r="W376" i="16"/>
  <c r="N50" i="16"/>
  <c r="U268" i="16"/>
  <c r="U1796" i="16"/>
  <c r="L627" i="16"/>
  <c r="AC190" i="16"/>
  <c r="N1082" i="16"/>
  <c r="L102" i="16"/>
  <c r="P1490" i="16"/>
  <c r="P264" i="16"/>
  <c r="AA1080" i="16"/>
  <c r="AC1668" i="16"/>
  <c r="AE1800" i="16"/>
  <c r="U104" i="16"/>
  <c r="N261" i="16"/>
  <c r="L240" i="16"/>
  <c r="P1500" i="16"/>
  <c r="AA1283" i="16"/>
  <c r="AC358" i="16"/>
  <c r="Y1401" i="16"/>
  <c r="AC161" i="16"/>
  <c r="Y352" i="16"/>
  <c r="W581" i="16"/>
  <c r="AA340" i="16"/>
  <c r="U1325" i="16"/>
  <c r="U1086" i="16"/>
  <c r="W155" i="16"/>
  <c r="AC1062" i="16"/>
  <c r="U272" i="16"/>
  <c r="Y851" i="16"/>
  <c r="AC4" i="16"/>
  <c r="Y1031" i="16"/>
  <c r="AA288" i="16"/>
  <c r="L616" i="16"/>
  <c r="Y383" i="16"/>
  <c r="P1138" i="16"/>
  <c r="N523" i="16"/>
  <c r="L809" i="16"/>
  <c r="N510" i="16"/>
  <c r="P945" i="16"/>
  <c r="P536" i="16"/>
  <c r="W1088" i="16"/>
  <c r="U1105" i="16"/>
  <c r="AC804" i="16"/>
  <c r="Y148" i="16"/>
  <c r="U378" i="16"/>
  <c r="W621" i="16"/>
  <c r="L680" i="16"/>
  <c r="U1448" i="16"/>
  <c r="AC781" i="16"/>
  <c r="N1667" i="16"/>
  <c r="L284" i="16"/>
  <c r="U2054" i="16"/>
  <c r="L391" i="16"/>
  <c r="U1788" i="16"/>
  <c r="AA80" i="16"/>
  <c r="L392" i="16"/>
  <c r="P382" i="16"/>
  <c r="P924" i="16"/>
  <c r="AA12" i="16"/>
  <c r="W146" i="16"/>
  <c r="Y532" i="16"/>
  <c r="W1137" i="16"/>
  <c r="P145" i="16"/>
  <c r="AC867" i="16"/>
  <c r="P1584" i="16"/>
  <c r="N349" i="16"/>
  <c r="L654" i="16"/>
  <c r="AC695" i="16"/>
  <c r="U1005" i="16"/>
  <c r="Y491" i="16"/>
  <c r="Y241" i="16"/>
  <c r="L843" i="16"/>
  <c r="U2051" i="16"/>
  <c r="P383" i="16"/>
  <c r="W742" i="16"/>
  <c r="W362" i="16"/>
  <c r="L649" i="16"/>
  <c r="AC242" i="16"/>
  <c r="AA1061" i="16"/>
  <c r="AA349" i="16"/>
  <c r="AA178" i="16"/>
  <c r="W775" i="16"/>
  <c r="AA665" i="16"/>
  <c r="U1278" i="16"/>
  <c r="AA450" i="16"/>
  <c r="Y145" i="16"/>
  <c r="Y193" i="16"/>
  <c r="Y515" i="16"/>
  <c r="AC218" i="16"/>
  <c r="AC454" i="16"/>
  <c r="AA332" i="16"/>
  <c r="L773" i="16"/>
  <c r="P1091" i="16"/>
  <c r="U1049" i="16"/>
  <c r="AC9" i="16"/>
  <c r="AC53" i="16"/>
  <c r="U282" i="16"/>
  <c r="U1285" i="16"/>
  <c r="L1051" i="16"/>
  <c r="U27" i="16"/>
  <c r="AA267" i="16"/>
  <c r="U324" i="16"/>
  <c r="N429" i="16"/>
  <c r="W1799" i="16"/>
  <c r="U1201" i="16"/>
  <c r="L538" i="16"/>
  <c r="L344" i="16"/>
  <c r="AA701" i="16"/>
  <c r="P14" i="16"/>
  <c r="P1031" i="16"/>
  <c r="AC38" i="16"/>
  <c r="W507" i="16"/>
  <c r="U1392" i="16"/>
  <c r="AC799" i="16"/>
  <c r="Y801" i="16"/>
  <c r="AA1438" i="16"/>
  <c r="AA607" i="16"/>
  <c r="Y1178" i="16"/>
  <c r="AC935" i="16"/>
  <c r="AC925" i="16"/>
  <c r="AC972" i="16"/>
  <c r="W367" i="16"/>
  <c r="AA1632" i="16"/>
  <c r="AC1507" i="16"/>
  <c r="W41" i="16"/>
  <c r="AA999" i="16"/>
  <c r="U1800" i="16"/>
  <c r="W1304" i="16"/>
  <c r="U2003" i="16"/>
  <c r="Y573" i="16"/>
  <c r="U2078" i="16"/>
  <c r="N743" i="16"/>
  <c r="Y678" i="16"/>
  <c r="AC86" i="16"/>
  <c r="Y1157" i="16"/>
  <c r="AA258" i="16"/>
  <c r="Y577" i="16"/>
  <c r="L976" i="16"/>
  <c r="P879" i="16"/>
  <c r="U1255" i="16"/>
  <c r="AA115" i="16"/>
  <c r="AA391" i="16"/>
  <c r="Y1162" i="16"/>
  <c r="P606" i="16"/>
  <c r="AC578" i="16"/>
  <c r="W1338" i="16"/>
  <c r="P548" i="16"/>
  <c r="N477" i="16"/>
  <c r="W24" i="16"/>
  <c r="W572" i="16"/>
  <c r="W745" i="16"/>
  <c r="L1364" i="16"/>
  <c r="P1672" i="16"/>
  <c r="U505" i="16"/>
  <c r="W1384" i="16"/>
  <c r="U1093" i="16"/>
  <c r="W186" i="16"/>
  <c r="AC1916" i="16"/>
  <c r="U1076" i="16"/>
  <c r="AA2030" i="16"/>
  <c r="U242" i="16"/>
  <c r="Y471" i="16"/>
  <c r="Y274" i="16"/>
  <c r="P374" i="16"/>
  <c r="AC478" i="16"/>
  <c r="L424" i="16"/>
  <c r="L1108" i="16"/>
  <c r="W147" i="16"/>
  <c r="Y964" i="16"/>
  <c r="L421" i="16"/>
  <c r="Y120" i="16"/>
  <c r="P616" i="16"/>
  <c r="W689" i="16"/>
  <c r="L48" i="16"/>
  <c r="P560" i="16"/>
  <c r="P1198" i="16"/>
  <c r="W242" i="16"/>
  <c r="N914" i="16"/>
  <c r="AC232" i="16"/>
  <c r="P94" i="16"/>
  <c r="AA95" i="16"/>
  <c r="U1988" i="16"/>
  <c r="W1749" i="16"/>
  <c r="P285" i="16"/>
  <c r="N275" i="16"/>
  <c r="U397" i="16"/>
  <c r="W353" i="16"/>
  <c r="Y701" i="16"/>
  <c r="Y353" i="16"/>
  <c r="U1241" i="16"/>
  <c r="P26" i="16"/>
  <c r="U197" i="16"/>
  <c r="AC345" i="16"/>
  <c r="L1614" i="16"/>
  <c r="L753" i="16"/>
  <c r="W703" i="16"/>
  <c r="P300" i="16"/>
  <c r="W921" i="16"/>
  <c r="AC341" i="16"/>
  <c r="U458" i="16"/>
  <c r="AC152" i="16"/>
  <c r="U466" i="16"/>
  <c r="P827" i="16"/>
  <c r="AA992" i="16"/>
  <c r="N991" i="16"/>
  <c r="L1289" i="16"/>
  <c r="Y422" i="16"/>
  <c r="U613" i="16"/>
  <c r="W1507" i="16"/>
  <c r="L876" i="16"/>
  <c r="AC718" i="16"/>
  <c r="AC169" i="16"/>
  <c r="AC294" i="16"/>
  <c r="AA528" i="16"/>
  <c r="N812" i="16"/>
  <c r="AC415" i="16"/>
  <c r="U605" i="16"/>
  <c r="AC1239" i="16"/>
  <c r="L59" i="16"/>
  <c r="U1672" i="16"/>
  <c r="L919" i="16"/>
  <c r="U629" i="16"/>
  <c r="N958" i="16"/>
  <c r="U336" i="16"/>
  <c r="AA1042" i="16"/>
  <c r="W1296" i="16"/>
  <c r="L1326" i="16"/>
  <c r="AA7" i="16"/>
  <c r="AA873" i="16"/>
  <c r="N36" i="16"/>
  <c r="U1346" i="16"/>
  <c r="AC558" i="16"/>
  <c r="N309" i="16"/>
  <c r="W210" i="16"/>
  <c r="W1649" i="16"/>
  <c r="N634" i="16"/>
  <c r="L53" i="16"/>
  <c r="P989" i="16"/>
  <c r="Y328" i="16"/>
  <c r="L98" i="16"/>
  <c r="L80" i="16"/>
  <c r="Y1709" i="16"/>
  <c r="U1100" i="16"/>
  <c r="P57" i="16"/>
  <c r="P682" i="16"/>
  <c r="P1401" i="16"/>
  <c r="W1053" i="16"/>
  <c r="W1376" i="16"/>
  <c r="N1333" i="16"/>
  <c r="P836" i="16"/>
  <c r="U566" i="16"/>
  <c r="L405" i="16"/>
  <c r="AC770" i="16"/>
  <c r="L830" i="16"/>
  <c r="AA1116" i="16"/>
  <c r="U1424" i="16"/>
  <c r="AC256" i="16"/>
  <c r="P1057" i="16"/>
  <c r="N8" i="16"/>
  <c r="N728" i="16"/>
  <c r="N725" i="16"/>
  <c r="U558" i="16"/>
  <c r="W626" i="16"/>
  <c r="AC746" i="16"/>
  <c r="L486" i="16"/>
  <c r="AA202" i="16"/>
  <c r="N723" i="16"/>
  <c r="AA1487" i="16"/>
  <c r="U190" i="16"/>
  <c r="Y548" i="16"/>
  <c r="N96" i="16"/>
  <c r="U1341" i="16"/>
  <c r="L910" i="16"/>
  <c r="U906" i="16"/>
  <c r="W579" i="16"/>
  <c r="U1645" i="16"/>
  <c r="Y592" i="16"/>
  <c r="W823" i="16"/>
  <c r="Y709" i="16"/>
  <c r="U360" i="16"/>
  <c r="AE1926" i="16"/>
  <c r="Y1197" i="16"/>
  <c r="W267" i="16"/>
  <c r="AA974" i="16"/>
  <c r="U241" i="16"/>
  <c r="U142" i="16"/>
  <c r="AC1088" i="16"/>
  <c r="AA866" i="16"/>
  <c r="W42" i="16"/>
  <c r="U1025" i="16"/>
  <c r="W665" i="16"/>
  <c r="U928" i="16"/>
  <c r="L303" i="16"/>
  <c r="W434" i="16"/>
  <c r="L133" i="16"/>
  <c r="Y338" i="16"/>
  <c r="W69" i="16"/>
  <c r="P722" i="16"/>
  <c r="AC909" i="16"/>
  <c r="U167" i="16"/>
  <c r="U2083" i="16"/>
  <c r="U1564" i="16"/>
  <c r="AA1098" i="16"/>
  <c r="N937" i="16"/>
  <c r="AA129" i="16"/>
  <c r="P81" i="16"/>
  <c r="U968" i="16"/>
  <c r="U249" i="16"/>
  <c r="Y1634" i="16"/>
  <c r="AA1388" i="16"/>
  <c r="U64" i="16"/>
  <c r="N1015" i="16"/>
  <c r="W198" i="16"/>
  <c r="N1331" i="16"/>
  <c r="P438" i="16"/>
  <c r="P526" i="16"/>
  <c r="AA630" i="16"/>
  <c r="AC819" i="16"/>
  <c r="AC284" i="16"/>
  <c r="W1804" i="16"/>
  <c r="W412" i="16"/>
  <c r="AA933" i="16"/>
  <c r="AC1636" i="16"/>
  <c r="L790" i="16"/>
  <c r="W648" i="16"/>
  <c r="Y953" i="16"/>
  <c r="AA879" i="16"/>
  <c r="U437" i="16"/>
  <c r="AA765" i="16"/>
  <c r="W327" i="16"/>
  <c r="Y138" i="16"/>
  <c r="Y439" i="16"/>
  <c r="AC476" i="16"/>
  <c r="AA333" i="16"/>
  <c r="N60" i="16"/>
  <c r="N267" i="16"/>
  <c r="Y2" i="16"/>
  <c r="P695" i="16"/>
  <c r="N128" i="16"/>
  <c r="P720" i="16"/>
  <c r="P35" i="16"/>
  <c r="AA546" i="16"/>
  <c r="P422" i="16"/>
  <c r="AC435" i="16"/>
  <c r="U1703" i="16"/>
  <c r="W845" i="16"/>
  <c r="L271" i="16"/>
  <c r="U2120" i="16"/>
  <c r="U955" i="16"/>
  <c r="W300" i="16"/>
  <c r="W915" i="16"/>
  <c r="N1341" i="16"/>
  <c r="AC560" i="16"/>
  <c r="L573" i="16"/>
  <c r="P1038" i="16"/>
  <c r="AA451" i="16"/>
  <c r="P40" i="16"/>
  <c r="P636" i="16"/>
  <c r="L1570" i="16"/>
  <c r="P127" i="16"/>
  <c r="W92" i="16"/>
  <c r="Y91" i="16"/>
  <c r="P18" i="16"/>
  <c r="W1773" i="16"/>
  <c r="U998" i="16"/>
  <c r="AC179" i="16"/>
  <c r="AA151" i="16"/>
  <c r="N331" i="16"/>
  <c r="U764" i="16"/>
  <c r="L201" i="16"/>
  <c r="AC180" i="16"/>
  <c r="W848" i="16"/>
  <c r="U495" i="16"/>
  <c r="Y1612" i="16"/>
  <c r="L835" i="16"/>
  <c r="AA1332" i="16"/>
  <c r="N230" i="16"/>
  <c r="AA948" i="16"/>
  <c r="AA260" i="16"/>
  <c r="N1207" i="16"/>
  <c r="W763" i="16"/>
  <c r="Y1371" i="16"/>
  <c r="U1653" i="16"/>
  <c r="N967" i="16"/>
  <c r="W73" i="16"/>
  <c r="L460" i="16"/>
  <c r="AA859" i="16"/>
  <c r="N526" i="16"/>
  <c r="N1907" i="16"/>
  <c r="N764" i="16"/>
  <c r="AC995" i="16"/>
  <c r="U1779" i="16"/>
  <c r="Y331" i="16"/>
  <c r="U1766" i="16"/>
  <c r="N393" i="16"/>
  <c r="U1998" i="16"/>
  <c r="AA612" i="16"/>
  <c r="AA37" i="16"/>
  <c r="P596" i="16"/>
  <c r="AC642" i="16"/>
  <c r="W381" i="16"/>
  <c r="AA209" i="16"/>
  <c r="Y755" i="16"/>
  <c r="U899" i="16"/>
  <c r="U1148" i="16"/>
  <c r="Y210" i="16"/>
  <c r="L874" i="16"/>
  <c r="AC144" i="16"/>
  <c r="AA1387" i="16"/>
  <c r="P122" i="16"/>
  <c r="U330" i="16"/>
  <c r="W15" i="16"/>
  <c r="U1625" i="16"/>
  <c r="Y1086" i="16"/>
  <c r="L93" i="16"/>
  <c r="W1093" i="16"/>
  <c r="AC680" i="16"/>
  <c r="W194" i="16"/>
  <c r="P317" i="16"/>
  <c r="L758" i="16"/>
  <c r="AA1360" i="16"/>
  <c r="L135" i="16"/>
  <c r="P265" i="16"/>
  <c r="P297" i="16"/>
  <c r="U1330" i="16"/>
  <c r="U491" i="16"/>
  <c r="W1451" i="16"/>
  <c r="W504" i="16"/>
  <c r="N249" i="16"/>
  <c r="N163" i="16"/>
  <c r="U1462" i="16"/>
  <c r="N681" i="16"/>
  <c r="W27" i="16"/>
  <c r="AA289" i="16"/>
  <c r="U987" i="16"/>
  <c r="W49" i="16"/>
  <c r="AA1130" i="16"/>
  <c r="U1942" i="16"/>
  <c r="W1599" i="16"/>
  <c r="P880" i="16"/>
  <c r="U2127" i="16"/>
  <c r="W817" i="16"/>
  <c r="W390" i="16"/>
  <c r="N719" i="16"/>
  <c r="P1001" i="16"/>
  <c r="AA1337" i="16"/>
  <c r="AC368" i="16"/>
  <c r="U580" i="16"/>
  <c r="AA280" i="16"/>
  <c r="Y1321" i="16"/>
  <c r="U55" i="16"/>
  <c r="U48" i="16"/>
  <c r="P16" i="16"/>
  <c r="P387" i="16"/>
  <c r="AC77" i="16"/>
  <c r="Y133" i="16"/>
  <c r="P1209" i="16"/>
  <c r="P64" i="16"/>
  <c r="U506" i="16"/>
  <c r="P916" i="16"/>
  <c r="Y979" i="16"/>
  <c r="AC672" i="16"/>
  <c r="U741" i="16"/>
  <c r="U1316" i="16"/>
  <c r="W179" i="16"/>
  <c r="W1775" i="16"/>
  <c r="W389" i="16"/>
  <c r="N1188" i="16"/>
  <c r="P227" i="16"/>
  <c r="W770" i="16"/>
  <c r="AC1144" i="16"/>
  <c r="L1288" i="16"/>
  <c r="U1143" i="16"/>
  <c r="L441" i="16"/>
  <c r="N38" i="16"/>
  <c r="U971" i="16"/>
  <c r="L743" i="16"/>
  <c r="W168" i="16"/>
  <c r="P760" i="16"/>
  <c r="W7" i="16"/>
  <c r="AC475" i="16"/>
  <c r="U421" i="16"/>
  <c r="W436" i="16"/>
  <c r="AA90" i="16"/>
  <c r="U59" i="16"/>
  <c r="Y587" i="16"/>
  <c r="W1043" i="16"/>
  <c r="AA405" i="16"/>
  <c r="P218" i="16"/>
  <c r="U2066" i="16"/>
  <c r="L408" i="16"/>
  <c r="L660" i="16"/>
  <c r="AC949" i="16"/>
  <c r="W824" i="16"/>
  <c r="AC452" i="16"/>
  <c r="U184" i="16"/>
  <c r="L691" i="16"/>
  <c r="Y765" i="16"/>
  <c r="L1187" i="16"/>
  <c r="AC216" i="16"/>
  <c r="AA187" i="16"/>
  <c r="AC23" i="16"/>
  <c r="U939" i="16"/>
  <c r="P677" i="16"/>
  <c r="W1502" i="16"/>
  <c r="AC1008" i="16"/>
  <c r="L1236" i="16"/>
  <c r="U691" i="16"/>
  <c r="P48" i="16"/>
  <c r="AC1231" i="16"/>
  <c r="P580" i="16"/>
  <c r="W1807" i="16"/>
  <c r="U1770" i="16"/>
  <c r="AC1483" i="16"/>
  <c r="W192" i="16"/>
  <c r="AA1181" i="16"/>
  <c r="AC726" i="16"/>
  <c r="AA935" i="16"/>
  <c r="W1579" i="16"/>
  <c r="U297" i="16"/>
  <c r="Y447" i="16"/>
  <c r="U1737" i="16"/>
  <c r="Y135" i="16"/>
  <c r="W623" i="16"/>
  <c r="AC970" i="16"/>
  <c r="AC646" i="16"/>
  <c r="U1115" i="16"/>
  <c r="W488" i="16"/>
  <c r="L270" i="16"/>
  <c r="U284" i="16"/>
  <c r="W1233" i="16"/>
  <c r="P540" i="16"/>
  <c r="AC1857" i="16"/>
  <c r="AA886" i="16"/>
  <c r="AA421" i="16"/>
  <c r="Y615" i="16"/>
  <c r="AA408" i="16"/>
  <c r="L56" i="16"/>
  <c r="P247" i="16"/>
  <c r="Y1562" i="16"/>
  <c r="AA1097" i="16"/>
  <c r="AC767" i="16"/>
  <c r="Y1100" i="16"/>
  <c r="AA760" i="16"/>
  <c r="W1156" i="16"/>
  <c r="P1154" i="16"/>
  <c r="N660" i="16"/>
  <c r="P78" i="16"/>
  <c r="Y167" i="16"/>
  <c r="L823" i="16"/>
  <c r="U1235" i="16"/>
  <c r="U1377" i="16"/>
  <c r="U431" i="16"/>
  <c r="AA895" i="16"/>
  <c r="U776" i="16"/>
  <c r="AA346" i="16"/>
  <c r="AA54" i="16"/>
  <c r="AA99" i="16"/>
  <c r="L541" i="16"/>
  <c r="Y1382" i="16"/>
  <c r="Y506" i="16"/>
  <c r="U1446" i="16"/>
  <c r="U521" i="16"/>
  <c r="Y684" i="16"/>
  <c r="W902" i="16"/>
  <c r="P188" i="16"/>
  <c r="W685" i="16"/>
  <c r="W455" i="16"/>
  <c r="U1404" i="16"/>
  <c r="U252" i="16"/>
  <c r="AC434" i="16"/>
  <c r="P108" i="16"/>
  <c r="L1105" i="16"/>
  <c r="AC720" i="16"/>
  <c r="U1778" i="16"/>
  <c r="W1404" i="16"/>
  <c r="AA1530" i="16"/>
  <c r="AC902" i="16"/>
  <c r="N1603" i="16"/>
  <c r="U148" i="16"/>
  <c r="AA837" i="16"/>
  <c r="Y1020" i="16"/>
  <c r="W625" i="16"/>
  <c r="L326" i="16"/>
  <c r="W313" i="16"/>
  <c r="AA934" i="16"/>
  <c r="AC582" i="16"/>
  <c r="P568" i="16"/>
  <c r="U1524" i="16"/>
  <c r="P736" i="16"/>
  <c r="L940" i="16"/>
  <c r="AC398" i="16"/>
  <c r="Y1470" i="16"/>
  <c r="N451" i="16"/>
  <c r="U907" i="16"/>
  <c r="W1077" i="16"/>
  <c r="AA278" i="16"/>
  <c r="N574" i="16"/>
  <c r="P79" i="16"/>
  <c r="L40" i="16"/>
  <c r="N91" i="16"/>
  <c r="U745" i="16"/>
  <c r="P1010" i="16"/>
  <c r="U754" i="16"/>
  <c r="U1132" i="16"/>
  <c r="U291" i="16"/>
  <c r="N895" i="16"/>
  <c r="Y1259" i="16"/>
  <c r="P170" i="16"/>
  <c r="W556" i="16"/>
  <c r="Y84" i="16"/>
  <c r="W414" i="16"/>
  <c r="W1786" i="16"/>
  <c r="Y718" i="16"/>
  <c r="AC101" i="16"/>
  <c r="W749" i="16"/>
  <c r="L1278" i="16"/>
  <c r="AC67" i="16"/>
  <c r="U1433" i="16"/>
  <c r="AC758" i="16"/>
  <c r="U1812" i="16"/>
  <c r="L52" i="16"/>
  <c r="W1406" i="16"/>
  <c r="N485" i="16"/>
  <c r="U321" i="16"/>
  <c r="Y76" i="16"/>
  <c r="N15" i="16"/>
  <c r="L1089" i="16"/>
  <c r="L255" i="16"/>
  <c r="AA416" i="16"/>
  <c r="AA114" i="16"/>
  <c r="AA403" i="16"/>
  <c r="U1660" i="16"/>
  <c r="W514" i="16"/>
  <c r="W72" i="16"/>
  <c r="L122" i="16"/>
  <c r="N1258" i="16"/>
  <c r="N1303" i="16"/>
  <c r="P307" i="16"/>
  <c r="AC153" i="16"/>
  <c r="L585" i="16"/>
  <c r="AC440" i="16"/>
  <c r="AC267" i="16"/>
  <c r="Y456" i="16"/>
  <c r="Y757" i="16"/>
  <c r="N941" i="16"/>
  <c r="P829" i="16"/>
  <c r="W1475" i="16"/>
  <c r="N241" i="16"/>
  <c r="AA139" i="16"/>
  <c r="AC300" i="16"/>
  <c r="W348" i="16"/>
  <c r="L411" i="16"/>
  <c r="N869" i="16"/>
  <c r="N402" i="16"/>
  <c r="U1811" i="16"/>
  <c r="L22" i="16"/>
  <c r="W2043" i="16"/>
  <c r="U1447" i="16"/>
  <c r="P27" i="16"/>
  <c r="N99" i="16"/>
  <c r="W332" i="16"/>
  <c r="P344" i="16"/>
  <c r="AC763" i="16"/>
  <c r="Y413" i="16"/>
  <c r="AA379" i="16"/>
  <c r="AA8" i="16"/>
  <c r="N287" i="16"/>
  <c r="W237" i="16"/>
  <c r="W816" i="16"/>
  <c r="U464" i="16"/>
  <c r="AC533" i="16"/>
  <c r="AC1079" i="16"/>
  <c r="Y610" i="16"/>
  <c r="P525" i="16"/>
  <c r="P1341" i="16"/>
  <c r="Y28" i="16"/>
  <c r="U1723" i="16"/>
  <c r="U1189" i="16"/>
  <c r="AA951" i="16"/>
  <c r="N491" i="16"/>
  <c r="Y668" i="16"/>
  <c r="AA1226" i="16"/>
  <c r="U2118" i="16"/>
  <c r="Y514" i="16"/>
  <c r="L4" i="16"/>
  <c r="U1819" i="16"/>
  <c r="N1250" i="16"/>
  <c r="AC336" i="16"/>
  <c r="U288" i="16"/>
  <c r="Y44" i="16"/>
  <c r="AA45" i="16"/>
  <c r="Y119" i="16"/>
  <c r="U1160" i="16"/>
  <c r="Y104" i="16"/>
  <c r="U703" i="16"/>
  <c r="U622" i="16"/>
  <c r="P742" i="16"/>
  <c r="U1141" i="16"/>
  <c r="AC790" i="16"/>
  <c r="W413" i="16"/>
  <c r="W1759" i="16"/>
  <c r="AA697" i="16"/>
  <c r="AC1308" i="16"/>
  <c r="W677" i="16"/>
  <c r="U1757" i="16"/>
  <c r="N807" i="16"/>
  <c r="P1117" i="16"/>
  <c r="U2074" i="16"/>
  <c r="L55" i="16"/>
  <c r="AC391" i="16"/>
  <c r="U1388" i="16"/>
  <c r="U239" i="16"/>
  <c r="P67" i="16"/>
  <c r="U1417" i="16"/>
  <c r="W881" i="16"/>
  <c r="W1411" i="16"/>
  <c r="L657" i="16"/>
  <c r="P1162" i="16"/>
  <c r="AC402" i="16"/>
  <c r="N1394" i="16"/>
  <c r="L810" i="16"/>
  <c r="Y302" i="16"/>
  <c r="W554" i="16"/>
  <c r="Y279" i="16"/>
  <c r="U452" i="16"/>
  <c r="N883" i="16"/>
  <c r="L384" i="16"/>
  <c r="L702" i="16"/>
  <c r="AA728" i="16"/>
  <c r="Y778" i="16"/>
  <c r="AA163" i="16"/>
  <c r="AA867" i="16"/>
  <c r="Y477" i="16"/>
  <c r="AC453" i="16"/>
  <c r="U856" i="16"/>
  <c r="U1320" i="16"/>
  <c r="U108" i="16"/>
  <c r="U1128" i="16"/>
  <c r="P1562" i="16"/>
  <c r="AC451" i="16"/>
  <c r="W1613" i="16"/>
  <c r="AC268" i="16"/>
  <c r="AA519" i="16"/>
  <c r="Y372" i="16"/>
  <c r="L389" i="16"/>
  <c r="W791" i="16"/>
  <c r="AC354" i="16"/>
  <c r="Y752" i="16"/>
  <c r="W107" i="16"/>
  <c r="Y580" i="16"/>
  <c r="AC359" i="16"/>
  <c r="AC1570" i="16"/>
  <c r="P411" i="16"/>
  <c r="AC1510" i="16"/>
  <c r="AA213" i="16"/>
  <c r="L213" i="16"/>
  <c r="U247" i="16"/>
  <c r="AA877" i="16"/>
  <c r="Y549" i="16"/>
  <c r="L302" i="16"/>
  <c r="AC325" i="16"/>
  <c r="Y132" i="16"/>
  <c r="Y972" i="16"/>
  <c r="U1676" i="16"/>
  <c r="U1775" i="16"/>
  <c r="N1286" i="16"/>
  <c r="L766" i="16"/>
  <c r="AC288" i="16"/>
  <c r="P612" i="16"/>
  <c r="N294" i="16"/>
  <c r="L458" i="16"/>
  <c r="P891" i="16"/>
  <c r="Y817" i="16"/>
  <c r="U1842" i="16"/>
  <c r="AA190" i="16"/>
  <c r="P136" i="16"/>
  <c r="U921" i="16"/>
  <c r="AA846" i="16"/>
  <c r="AC1093" i="16"/>
  <c r="AC687" i="16"/>
  <c r="AA1426" i="16"/>
  <c r="W249" i="16"/>
  <c r="AC699" i="16"/>
  <c r="W2097" i="16"/>
  <c r="U343" i="16"/>
  <c r="U1371" i="16"/>
  <c r="P128" i="16"/>
  <c r="AC834" i="16"/>
  <c r="N461" i="16"/>
  <c r="W156" i="16"/>
  <c r="AC704" i="16"/>
  <c r="N877" i="16"/>
  <c r="U114" i="16"/>
  <c r="P299" i="16"/>
  <c r="U959" i="16"/>
  <c r="L115" i="16"/>
  <c r="AA273" i="16"/>
  <c r="AA18" i="16"/>
  <c r="W524" i="16"/>
  <c r="P572" i="16"/>
  <c r="Y675" i="16"/>
  <c r="AC828" i="16"/>
  <c r="U2067" i="16"/>
  <c r="AA195" i="16"/>
  <c r="W491" i="16"/>
  <c r="AC136" i="16"/>
  <c r="AA823" i="16"/>
  <c r="W811" i="16"/>
  <c r="W870" i="16"/>
  <c r="P23" i="16"/>
  <c r="AA221" i="16"/>
  <c r="N170" i="16"/>
  <c r="W1261" i="16"/>
  <c r="W93" i="16"/>
  <c r="AC87" i="16"/>
  <c r="L615" i="16"/>
  <c r="U1273" i="16"/>
  <c r="L1075" i="16"/>
  <c r="AC352" i="16"/>
  <c r="W417" i="16"/>
  <c r="W91" i="16"/>
  <c r="AC239" i="16"/>
  <c r="N189" i="16"/>
  <c r="U1741" i="16"/>
  <c r="U1641" i="16"/>
  <c r="AA296" i="16"/>
  <c r="Y652" i="16"/>
  <c r="Y1207" i="16"/>
  <c r="L907" i="16"/>
  <c r="U1560" i="16"/>
  <c r="N1287" i="16"/>
  <c r="AA741" i="16"/>
  <c r="AA639" i="16"/>
  <c r="Y421" i="16"/>
  <c r="AC1489" i="16"/>
  <c r="W998" i="16"/>
  <c r="U1799" i="16"/>
  <c r="W388" i="16"/>
  <c r="AA64" i="16"/>
  <c r="P372" i="16"/>
  <c r="W1217" i="16"/>
  <c r="P348" i="16"/>
  <c r="U783" i="16"/>
  <c r="L368" i="16"/>
  <c r="AA81" i="16"/>
  <c r="L355" i="16"/>
  <c r="W1280" i="16"/>
  <c r="L550" i="16"/>
  <c r="P420" i="16"/>
  <c r="Y957" i="16"/>
  <c r="AC228" i="16"/>
  <c r="N156" i="16"/>
  <c r="U2027" i="16"/>
  <c r="L151" i="16"/>
  <c r="U614" i="16"/>
  <c r="AA1695" i="16"/>
  <c r="W363" i="16"/>
  <c r="Y1097" i="16"/>
  <c r="AC419" i="16"/>
  <c r="AA565" i="16"/>
  <c r="L347" i="16"/>
  <c r="N692" i="16"/>
  <c r="U1287" i="16"/>
  <c r="N837" i="16"/>
  <c r="AA1280" i="16"/>
  <c r="P978" i="16"/>
  <c r="W118" i="16"/>
  <c r="AA5" i="16"/>
  <c r="L71" i="16"/>
  <c r="AC1195" i="16"/>
  <c r="N465" i="16"/>
  <c r="AA172" i="16"/>
  <c r="AA871" i="16"/>
  <c r="W334" i="16"/>
  <c r="L806" i="16"/>
  <c r="AC652" i="16"/>
  <c r="P439" i="16"/>
  <c r="AA1063" i="16"/>
  <c r="W1215" i="16"/>
  <c r="N43" i="16"/>
  <c r="W780" i="16"/>
  <c r="W1563" i="16"/>
  <c r="N61" i="16"/>
  <c r="L293" i="16"/>
  <c r="AA1120" i="16"/>
  <c r="W559" i="16"/>
  <c r="AC874" i="16"/>
  <c r="W36" i="16"/>
  <c r="W125" i="16"/>
  <c r="AA994" i="16"/>
  <c r="AC1142" i="16"/>
  <c r="AC74" i="16"/>
  <c r="U1474" i="16"/>
  <c r="U1460" i="16"/>
  <c r="P424" i="16"/>
  <c r="P642" i="16"/>
  <c r="L143" i="16"/>
  <c r="N581" i="16"/>
  <c r="AC677" i="16"/>
  <c r="Y689" i="16"/>
  <c r="L1445" i="16"/>
  <c r="W180" i="16"/>
  <c r="U846" i="16"/>
  <c r="P291" i="16"/>
  <c r="AA1532" i="16"/>
  <c r="P1081" i="16"/>
  <c r="L1452" i="16"/>
  <c r="L383" i="16"/>
  <c r="AC571" i="16"/>
  <c r="W896" i="16"/>
  <c r="U1152" i="16"/>
  <c r="P1056" i="16"/>
  <c r="P883" i="16"/>
  <c r="AA577" i="16"/>
  <c r="U1491" i="16"/>
  <c r="W1746" i="16"/>
  <c r="W22" i="16"/>
  <c r="P343" i="16"/>
  <c r="W1777" i="16"/>
  <c r="N552" i="16"/>
  <c r="W660" i="16"/>
  <c r="Y152" i="16"/>
  <c r="N831" i="16"/>
  <c r="N361" i="16"/>
  <c r="Y746" i="16"/>
  <c r="L31" i="16"/>
  <c r="Y184" i="16"/>
  <c r="W1753" i="16"/>
  <c r="AA285" i="16"/>
  <c r="N1621" i="16"/>
  <c r="W839" i="16"/>
  <c r="N131" i="16"/>
  <c r="L1052" i="16"/>
  <c r="U448" i="16"/>
  <c r="Y1592" i="16"/>
  <c r="AA566" i="16"/>
  <c r="Y182" i="16"/>
  <c r="L342" i="16"/>
  <c r="L249" i="16"/>
  <c r="N1151" i="16"/>
  <c r="W1175" i="16"/>
  <c r="W829" i="16"/>
  <c r="U561" i="16"/>
  <c r="W819" i="16"/>
  <c r="AC348" i="16"/>
  <c r="L756" i="16"/>
  <c r="N879" i="16"/>
  <c r="W1372" i="16"/>
  <c r="AA569" i="16"/>
  <c r="W187" i="16"/>
  <c r="W1703" i="16"/>
  <c r="W651" i="16"/>
  <c r="U1438" i="16"/>
  <c r="W136" i="16"/>
  <c r="L944" i="16"/>
  <c r="U1768" i="16"/>
  <c r="W585" i="16"/>
  <c r="AA1085" i="16"/>
  <c r="U1792" i="16"/>
  <c r="W1617" i="16"/>
  <c r="Y1043" i="16"/>
  <c r="Y1585" i="16"/>
  <c r="AA89" i="16"/>
  <c r="U2146" i="16"/>
  <c r="Y598" i="16"/>
  <c r="AA263" i="16"/>
  <c r="P239" i="16"/>
  <c r="U2138" i="16"/>
  <c r="Y160" i="16"/>
  <c r="L327" i="16"/>
  <c r="AC47" i="16"/>
  <c r="U2113" i="16"/>
  <c r="P445" i="16"/>
  <c r="L1225" i="16"/>
  <c r="L296" i="16"/>
  <c r="Y624" i="16"/>
  <c r="AA613" i="16"/>
  <c r="N799" i="16"/>
  <c r="N419" i="16"/>
  <c r="Y1341" i="16"/>
  <c r="U116" i="16"/>
  <c r="W359" i="16"/>
  <c r="W1449" i="16"/>
  <c r="L62" i="16"/>
  <c r="L282" i="16"/>
  <c r="U1124" i="16"/>
  <c r="W70" i="16"/>
  <c r="AA437" i="16"/>
  <c r="N767" i="16"/>
  <c r="AA217" i="16"/>
  <c r="W2" i="16"/>
  <c r="Y369" i="16"/>
  <c r="Y213" i="16"/>
  <c r="N52" i="16"/>
  <c r="L624" i="16"/>
  <c r="L626" i="16"/>
  <c r="AC580" i="16"/>
  <c r="P176" i="16"/>
  <c r="AA354" i="16"/>
  <c r="Y520" i="16"/>
  <c r="L1608" i="16"/>
  <c r="W429" i="16"/>
  <c r="W809" i="16"/>
  <c r="AC1191" i="16"/>
  <c r="N1495" i="16"/>
  <c r="W346" i="16"/>
  <c r="L1311" i="16"/>
  <c r="Y561" i="16"/>
  <c r="P620" i="16"/>
  <c r="N198" i="16"/>
  <c r="AA1244" i="16"/>
  <c r="N487" i="16"/>
  <c r="W569" i="16"/>
  <c r="W97" i="16"/>
  <c r="N508" i="16"/>
  <c r="Y671" i="16"/>
  <c r="AC1092" i="16"/>
  <c r="Y295" i="16"/>
  <c r="U994" i="16"/>
  <c r="N47" i="16"/>
  <c r="AE1802" i="16"/>
  <c r="L299" i="16"/>
  <c r="Y1311" i="16"/>
  <c r="AC386" i="16"/>
  <c r="AC806" i="16"/>
  <c r="U800" i="16"/>
  <c r="AA905" i="16"/>
  <c r="AC456" i="16"/>
  <c r="AA504" i="16"/>
  <c r="Y46" i="16"/>
  <c r="Y609" i="16"/>
  <c r="AA581" i="16"/>
  <c r="L1109" i="16"/>
  <c r="AC310" i="16"/>
  <c r="W411" i="16"/>
  <c r="L1295" i="16"/>
  <c r="P217" i="16"/>
  <c r="W1344" i="16"/>
  <c r="U742" i="16"/>
  <c r="AC620" i="16"/>
  <c r="W552" i="16"/>
  <c r="AA1100" i="16"/>
  <c r="P137" i="16"/>
  <c r="AA1706" i="16"/>
  <c r="P565" i="16"/>
  <c r="U81" i="16"/>
  <c r="U347" i="16"/>
  <c r="Y842" i="16"/>
  <c r="AC1042" i="16"/>
  <c r="W129" i="16"/>
  <c r="W1518" i="16"/>
  <c r="AC305" i="16"/>
  <c r="N978" i="16"/>
  <c r="U1813" i="16"/>
  <c r="AC1270" i="16"/>
  <c r="Y1316" i="16"/>
  <c r="AC148" i="16"/>
  <c r="U631" i="16"/>
  <c r="N118" i="16"/>
  <c r="W781" i="16"/>
  <c r="U597" i="16"/>
  <c r="L46" i="16"/>
  <c r="P21" i="16"/>
  <c r="P666" i="16"/>
  <c r="U1774" i="16"/>
  <c r="AA1354" i="16"/>
  <c r="Y207" i="16"/>
  <c r="P345" i="16"/>
  <c r="AC204" i="16"/>
  <c r="L530" i="16"/>
  <c r="AC1038" i="16"/>
  <c r="Y68" i="16"/>
  <c r="L9" i="16"/>
  <c r="AA341" i="16"/>
  <c r="W587" i="16"/>
  <c r="Y158" i="16"/>
  <c r="W869" i="16"/>
  <c r="Y1209" i="16"/>
  <c r="W120" i="16"/>
  <c r="L194" i="16"/>
  <c r="N777" i="16"/>
  <c r="N1008" i="16"/>
  <c r="U54" i="16"/>
  <c r="AC619" i="16"/>
  <c r="Y51" i="16"/>
  <c r="AA283" i="16"/>
  <c r="L1303" i="16"/>
  <c r="U1116" i="16"/>
  <c r="W588" i="16"/>
  <c r="L142" i="16"/>
  <c r="P1065" i="16"/>
  <c r="U520" i="16"/>
  <c r="U1690" i="16"/>
  <c r="AA799" i="16"/>
  <c r="U606" i="16"/>
  <c r="Y1061" i="16"/>
  <c r="P310" i="16"/>
  <c r="U979" i="16"/>
  <c r="W1555" i="16"/>
  <c r="N1016" i="16"/>
  <c r="Y1015" i="16"/>
  <c r="Y275" i="16"/>
  <c r="P709" i="16"/>
  <c r="AA1271" i="16"/>
  <c r="N105" i="16"/>
  <c r="U706" i="16"/>
  <c r="U2075" i="16"/>
  <c r="L537" i="16"/>
  <c r="L722" i="16"/>
  <c r="AA1133" i="16"/>
  <c r="Y460" i="16"/>
  <c r="U1374" i="16"/>
  <c r="L1996" i="16"/>
  <c r="Y821" i="16"/>
  <c r="L190" i="16"/>
  <c r="U537" i="16"/>
  <c r="U459" i="16"/>
  <c r="N1624" i="16"/>
  <c r="Y297" i="16"/>
  <c r="Y639" i="16"/>
  <c r="W1262" i="16"/>
  <c r="U98" i="16"/>
  <c r="P764" i="16"/>
  <c r="L1184" i="16"/>
  <c r="P321" i="16"/>
  <c r="Y1052" i="16"/>
  <c r="AA1020" i="16"/>
  <c r="W2109" i="16"/>
  <c r="L499" i="16"/>
  <c r="N667" i="16"/>
  <c r="P87" i="16"/>
  <c r="P589" i="16"/>
  <c r="U616" i="16"/>
  <c r="N606" i="16"/>
  <c r="W109" i="16"/>
  <c r="U1667" i="16"/>
  <c r="P1043" i="16"/>
  <c r="AC42" i="16"/>
  <c r="N265" i="16"/>
  <c r="N464" i="16"/>
  <c r="AC1099" i="16"/>
  <c r="AC1158" i="16"/>
  <c r="L769" i="16"/>
  <c r="AA511" i="16"/>
  <c r="P886" i="16"/>
  <c r="Y1673" i="16"/>
  <c r="AA147" i="16"/>
  <c r="U1051" i="16"/>
  <c r="P1278" i="16"/>
  <c r="Y543" i="16"/>
  <c r="L113" i="16"/>
  <c r="U1196" i="16"/>
  <c r="U2082" i="16"/>
  <c r="P4" i="16"/>
  <c r="U1109" i="16"/>
  <c r="AA1141" i="16"/>
  <c r="W812" i="16"/>
  <c r="U1815" i="16"/>
  <c r="AA547" i="16"/>
  <c r="AC455" i="16"/>
  <c r="U1157" i="16"/>
  <c r="AA419" i="16"/>
  <c r="Y377" i="16"/>
  <c r="Y1325" i="16"/>
  <c r="P152" i="16"/>
  <c r="N239" i="16"/>
  <c r="P964" i="16"/>
  <c r="L128" i="16"/>
  <c r="W370" i="16"/>
  <c r="N268" i="16"/>
  <c r="AE1768" i="16"/>
  <c r="U1814" i="16"/>
  <c r="N292" i="16"/>
  <c r="AC736" i="16"/>
  <c r="W228" i="16"/>
  <c r="W1301" i="16"/>
  <c r="P404" i="16"/>
  <c r="L146" i="16"/>
  <c r="U183" i="16"/>
  <c r="N1300" i="16"/>
  <c r="AA1126" i="16"/>
  <c r="U1437" i="16"/>
  <c r="W1290" i="16"/>
  <c r="W61" i="16"/>
  <c r="AC295" i="16"/>
  <c r="AA435" i="16"/>
  <c r="P535" i="16"/>
  <c r="W544" i="16"/>
  <c r="AC618" i="16"/>
  <c r="W768" i="16"/>
  <c r="L489" i="16"/>
  <c r="N535" i="16"/>
  <c r="U1120" i="16"/>
  <c r="P650" i="16"/>
  <c r="U1434" i="16"/>
  <c r="U393" i="16"/>
  <c r="Y653" i="16"/>
  <c r="U237" i="16"/>
  <c r="W1794" i="16"/>
  <c r="N427" i="16"/>
  <c r="AA1047" i="16"/>
  <c r="P518" i="16"/>
  <c r="W761" i="16"/>
  <c r="L340" i="16"/>
  <c r="AC252" i="16"/>
  <c r="P915" i="16"/>
  <c r="AA112" i="16"/>
  <c r="N428" i="16"/>
  <c r="AC996" i="16"/>
  <c r="U1162" i="16"/>
  <c r="W1222" i="16"/>
  <c r="N333" i="16"/>
  <c r="N501" i="16"/>
  <c r="W215" i="16"/>
  <c r="AC1902" i="16"/>
  <c r="Y986" i="16"/>
  <c r="W1178" i="16"/>
  <c r="N225" i="16"/>
  <c r="U271" i="16"/>
  <c r="U193" i="16"/>
  <c r="U677" i="16"/>
  <c r="AA365" i="16"/>
  <c r="AC81" i="16"/>
  <c r="AC133" i="16"/>
  <c r="AA336" i="16"/>
  <c r="N293" i="16"/>
  <c r="AA436" i="16"/>
  <c r="Y565" i="16"/>
  <c r="Y525" i="16"/>
  <c r="AC650" i="16"/>
  <c r="N1275" i="16"/>
  <c r="AA868" i="16"/>
  <c r="L1455" i="16"/>
  <c r="U1470" i="16"/>
  <c r="N1030" i="16"/>
  <c r="W366" i="16"/>
  <c r="N1524" i="16"/>
  <c r="W505" i="16"/>
  <c r="AA168" i="16"/>
  <c r="L1237" i="16"/>
  <c r="U1760" i="16"/>
  <c r="AC1860" i="16"/>
  <c r="P1101" i="16"/>
  <c r="N457" i="16"/>
  <c r="U1613" i="16"/>
  <c r="Y643" i="16"/>
  <c r="AA445" i="16"/>
  <c r="Y726" i="16"/>
  <c r="AC567" i="16"/>
  <c r="L429" i="16"/>
  <c r="U361" i="16"/>
  <c r="W939" i="16"/>
  <c r="Y1460" i="16"/>
  <c r="L822" i="16"/>
  <c r="W223" i="16"/>
  <c r="N542" i="16"/>
  <c r="L745" i="16"/>
  <c r="AA1251" i="16"/>
  <c r="P138" i="16"/>
  <c r="AC865" i="16"/>
  <c r="W885" i="16"/>
  <c r="AC554" i="16"/>
  <c r="U93" i="16"/>
  <c r="W350" i="16"/>
  <c r="U187" i="16"/>
  <c r="P1009" i="16"/>
  <c r="Y567" i="16"/>
  <c r="W735" i="16"/>
  <c r="L710" i="16"/>
  <c r="W560" i="16"/>
  <c r="AC304" i="16"/>
  <c r="P847" i="16"/>
  <c r="W1125" i="16"/>
  <c r="AC484" i="16"/>
  <c r="AC842" i="16"/>
  <c r="L66" i="16"/>
  <c r="AC464" i="16"/>
  <c r="Y1125" i="16"/>
  <c r="N1322" i="16"/>
  <c r="AC654" i="16"/>
  <c r="N263" i="16"/>
  <c r="L694" i="16"/>
  <c r="Y105" i="16"/>
  <c r="N183" i="16"/>
  <c r="W435" i="16"/>
  <c r="N3" i="16"/>
  <c r="L118" i="16"/>
  <c r="W575" i="16"/>
  <c r="W479" i="16"/>
  <c r="AA1301" i="16"/>
  <c r="N132" i="16"/>
  <c r="AA1389" i="16"/>
  <c r="AA864" i="16"/>
  <c r="U699" i="16"/>
  <c r="L563" i="16"/>
  <c r="P782" i="16"/>
  <c r="N366" i="16"/>
  <c r="P860" i="16"/>
  <c r="U388" i="16"/>
  <c r="AC1127" i="16"/>
  <c r="N928" i="16"/>
  <c r="P318" i="16"/>
  <c r="U480" i="16"/>
  <c r="U770" i="16"/>
  <c r="Y799" i="16"/>
  <c r="P780" i="16"/>
  <c r="P746" i="16"/>
  <c r="N138" i="16"/>
  <c r="U1820" i="16"/>
  <c r="P412" i="16"/>
  <c r="AC961" i="16"/>
  <c r="AC404" i="16"/>
  <c r="Y156" i="16"/>
  <c r="AC658" i="16"/>
  <c r="W849" i="16"/>
  <c r="W1381" i="16"/>
  <c r="U42" i="16"/>
  <c r="Y651" i="16"/>
  <c r="N537" i="16"/>
  <c r="AC1727" i="16"/>
  <c r="L376" i="16"/>
  <c r="AA495" i="16"/>
  <c r="AC10" i="16"/>
  <c r="Y115" i="16"/>
  <c r="Y188" i="16"/>
  <c r="N73" i="16"/>
  <c r="W1499" i="16"/>
  <c r="W691" i="16"/>
  <c r="W1201" i="16"/>
  <c r="W58" i="16"/>
  <c r="U308" i="16"/>
  <c r="W427" i="16"/>
  <c r="W184" i="16"/>
  <c r="AA479" i="16"/>
  <c r="P1540" i="16"/>
  <c r="N1194" i="16"/>
  <c r="W99" i="16"/>
  <c r="W193" i="16"/>
  <c r="L279" i="16"/>
  <c r="W1023" i="16"/>
  <c r="U795" i="16"/>
  <c r="N208" i="16"/>
  <c r="Y536" i="16"/>
  <c r="L536" i="16"/>
  <c r="AA1032" i="16"/>
  <c r="U2142" i="16"/>
  <c r="W1325" i="16"/>
  <c r="N297" i="16"/>
  <c r="U1081" i="16"/>
  <c r="U235" i="16"/>
  <c r="AA52" i="16"/>
  <c r="AC1582" i="16"/>
  <c r="U889" i="16"/>
  <c r="AC103" i="16"/>
  <c r="AC340" i="16"/>
  <c r="AC222" i="16"/>
  <c r="P211" i="16"/>
  <c r="W177" i="16"/>
  <c r="Y786" i="16"/>
  <c r="W578" i="16"/>
  <c r="N285" i="16"/>
  <c r="AC505" i="16"/>
  <c r="P286" i="16"/>
  <c r="P656" i="16"/>
  <c r="Y1268" i="16"/>
  <c r="Y750" i="16"/>
  <c r="W975" i="16"/>
  <c r="N1274" i="16"/>
  <c r="U442" i="16"/>
  <c r="AA496" i="16"/>
  <c r="L555" i="16"/>
  <c r="AC280" i="16"/>
  <c r="AA1027" i="16"/>
  <c r="W2118" i="16"/>
  <c r="AA148" i="16"/>
  <c r="L1300" i="16"/>
  <c r="L359" i="16"/>
  <c r="P1023" i="16"/>
  <c r="W204" i="16"/>
  <c r="AA431" i="16"/>
  <c r="W562" i="16"/>
  <c r="N130" i="16"/>
  <c r="AC290" i="16"/>
  <c r="P202" i="16"/>
  <c r="U231" i="16"/>
  <c r="W532" i="16"/>
  <c r="AC1196" i="16"/>
  <c r="P1269" i="16"/>
  <c r="AC702" i="16"/>
  <c r="Y168" i="16"/>
  <c r="AC897" i="16"/>
  <c r="U611" i="16"/>
  <c r="U932" i="16"/>
  <c r="U256" i="16"/>
  <c r="Y57" i="16"/>
  <c r="AC1687" i="16"/>
  <c r="N277" i="16"/>
  <c r="N948" i="16"/>
  <c r="Y401" i="16"/>
  <c r="AC1389" i="16"/>
  <c r="AA385" i="16"/>
  <c r="N222" i="16"/>
  <c r="Y766" i="16"/>
  <c r="N141" i="16"/>
  <c r="Y623" i="16"/>
  <c r="AC525" i="16"/>
  <c r="U1571" i="16"/>
  <c r="W339" i="16"/>
  <c r="U1844" i="16"/>
  <c r="L1792" i="16"/>
  <c r="N1935" i="16"/>
  <c r="AA841" i="16"/>
  <c r="W119" i="16"/>
  <c r="AC243" i="16"/>
  <c r="Y1591" i="16"/>
  <c r="W409" i="16"/>
  <c r="AA461" i="16"/>
  <c r="N92" i="16"/>
  <c r="P82" i="16"/>
  <c r="N125" i="16"/>
  <c r="Y767" i="16"/>
  <c r="AA417" i="16"/>
  <c r="Y807" i="16"/>
  <c r="L639" i="16"/>
  <c r="Y1093" i="16"/>
  <c r="W1348" i="16"/>
  <c r="W744" i="16"/>
  <c r="AA863" i="16"/>
  <c r="AC1248" i="16"/>
  <c r="Y1037" i="16"/>
  <c r="N62" i="16"/>
  <c r="P95" i="16"/>
  <c r="U1304" i="16"/>
  <c r="W1678" i="16"/>
  <c r="P165" i="16"/>
  <c r="U401" i="16"/>
  <c r="W810" i="16"/>
  <c r="U326" i="16"/>
  <c r="N458" i="16"/>
  <c r="L210" i="16"/>
  <c r="W1682" i="16"/>
  <c r="U1315" i="16"/>
  <c r="U2035" i="16"/>
  <c r="N1392" i="16"/>
  <c r="N769" i="16"/>
  <c r="AA335" i="16"/>
  <c r="Y739" i="16"/>
  <c r="P1215" i="16"/>
  <c r="Y935" i="16"/>
  <c r="U113" i="16"/>
  <c r="AC1383" i="16"/>
  <c r="N1038" i="16"/>
  <c r="U576" i="16"/>
  <c r="AA274" i="16"/>
  <c r="L609" i="16"/>
  <c r="AA293" i="16"/>
  <c r="AC127" i="16"/>
  <c r="Y490" i="16"/>
  <c r="W218" i="16"/>
  <c r="AC1109" i="16"/>
  <c r="W1750" i="16"/>
  <c r="U1256" i="16"/>
  <c r="L686" i="16"/>
  <c r="W48" i="16"/>
  <c r="L1058" i="16"/>
  <c r="U1293" i="16"/>
  <c r="AC1223" i="16"/>
  <c r="U450" i="16"/>
  <c r="W163" i="16"/>
  <c r="Y469" i="16"/>
  <c r="U827" i="16"/>
  <c r="Y896" i="16"/>
  <c r="N205" i="16"/>
  <c r="W1086" i="16"/>
  <c r="Y1538" i="16"/>
  <c r="L666" i="16"/>
  <c r="AA1153" i="16"/>
  <c r="U617" i="16"/>
  <c r="L812" i="16"/>
  <c r="AC399" i="16"/>
  <c r="AC809" i="16"/>
  <c r="Y1173" i="16"/>
  <c r="U311" i="16"/>
  <c r="P732" i="16"/>
  <c r="Y373" i="16"/>
  <c r="W247" i="16"/>
  <c r="W1459" i="16"/>
  <c r="L11" i="16"/>
  <c r="U1714" i="16"/>
  <c r="U1106" i="16"/>
  <c r="Y601" i="16"/>
  <c r="N1171" i="16"/>
  <c r="AA444" i="16"/>
  <c r="W322" i="16"/>
  <c r="Y749" i="16"/>
  <c r="P1552" i="16"/>
  <c r="N833" i="16"/>
  <c r="Y181" i="16"/>
  <c r="W1002" i="16"/>
  <c r="U931" i="16"/>
  <c r="W236" i="16"/>
  <c r="U168" i="16"/>
  <c r="W851" i="16"/>
  <c r="U1237" i="16"/>
  <c r="AA397" i="16"/>
  <c r="L617" i="16"/>
  <c r="AA467" i="16"/>
  <c r="AC966" i="16"/>
  <c r="W1813" i="16"/>
  <c r="P1413" i="16"/>
  <c r="U75" i="16"/>
  <c r="Y244" i="16"/>
  <c r="AA668" i="16"/>
  <c r="AC479" i="16"/>
  <c r="N1434" i="16"/>
  <c r="P726" i="16"/>
  <c r="AC444" i="16"/>
  <c r="U417" i="16"/>
  <c r="N290" i="16"/>
  <c r="U1216" i="16"/>
  <c r="N476" i="16"/>
  <c r="N84" i="16"/>
  <c r="Y179" i="16"/>
  <c r="AA137" i="16"/>
  <c r="L304" i="16"/>
  <c r="P366" i="16"/>
  <c r="Y637" i="16"/>
  <c r="AC123" i="16"/>
  <c r="Y920" i="16"/>
  <c r="N536" i="16"/>
  <c r="U898" i="16"/>
  <c r="L1370" i="16"/>
  <c r="Y809" i="16"/>
  <c r="N116" i="16"/>
  <c r="AA272" i="16"/>
  <c r="AC220" i="16"/>
  <c r="Y711" i="16"/>
  <c r="W905" i="16"/>
  <c r="U1034" i="16"/>
  <c r="P252" i="16"/>
  <c r="W29" i="16"/>
  <c r="W143" i="16"/>
  <c r="W446" i="16"/>
  <c r="W19" i="16"/>
  <c r="U84" i="16"/>
  <c r="AA743" i="16"/>
  <c r="W3" i="16"/>
  <c r="U562" i="16"/>
  <c r="W286" i="16"/>
  <c r="N848" i="16"/>
  <c r="W1757" i="16"/>
  <c r="U848" i="16"/>
  <c r="L777" i="16"/>
  <c r="P881" i="16"/>
  <c r="W1534" i="16"/>
  <c r="U1976" i="16"/>
  <c r="W1811" i="16"/>
  <c r="L1015" i="16"/>
  <c r="AC343" i="16"/>
  <c r="AA386" i="16"/>
  <c r="AA475" i="16"/>
  <c r="AA268" i="16"/>
  <c r="Y669" i="16"/>
  <c r="Y656" i="16"/>
  <c r="P974" i="16"/>
  <c r="P131" i="16"/>
  <c r="U50" i="16"/>
  <c r="N155" i="16"/>
  <c r="P744" i="16"/>
  <c r="L1638" i="16"/>
  <c r="AC703" i="16"/>
  <c r="N200" i="16"/>
  <c r="W1625" i="16"/>
  <c r="W889" i="16"/>
  <c r="U263" i="16"/>
  <c r="P729" i="16"/>
  <c r="AA393" i="16"/>
  <c r="Y578" i="16"/>
  <c r="AA207" i="16"/>
  <c r="W516" i="16"/>
  <c r="N255" i="16"/>
  <c r="AC1382" i="16"/>
  <c r="Y468" i="16"/>
  <c r="N435" i="16"/>
  <c r="P684" i="16"/>
  <c r="W311" i="16"/>
  <c r="W938" i="16"/>
  <c r="U110" i="16"/>
  <c r="U571" i="16"/>
  <c r="N146" i="16"/>
  <c r="W973" i="16"/>
  <c r="W1121" i="16"/>
  <c r="U356" i="16"/>
  <c r="AC187" i="16"/>
  <c r="W1129" i="16"/>
  <c r="Y61" i="16"/>
  <c r="L558" i="16"/>
  <c r="Y370" i="16"/>
  <c r="AA920" i="16"/>
  <c r="L763" i="16"/>
  <c r="W62" i="16"/>
  <c r="AA49" i="16"/>
  <c r="W1291" i="16"/>
  <c r="N81" i="16"/>
  <c r="W74" i="16"/>
  <c r="P381" i="16"/>
  <c r="W1798" i="16"/>
  <c r="L1155" i="16"/>
  <c r="AC911" i="16"/>
  <c r="AC523" i="16"/>
  <c r="AC489" i="16"/>
  <c r="P1373" i="16"/>
  <c r="U49" i="16"/>
  <c r="Y110" i="16"/>
  <c r="W910" i="16"/>
  <c r="P357" i="16"/>
  <c r="L461" i="16"/>
  <c r="U1348" i="16"/>
  <c r="AA173" i="16"/>
  <c r="U1421" i="16"/>
  <c r="L1561" i="16"/>
  <c r="Y727" i="16"/>
  <c r="AA956" i="16"/>
  <c r="P3" i="16"/>
  <c r="N1004" i="16"/>
  <c r="N154" i="16"/>
  <c r="L590" i="16"/>
  <c r="L264" i="16"/>
  <c r="AA353" i="16"/>
  <c r="U777" i="16"/>
  <c r="P1013" i="16"/>
  <c r="W946" i="16"/>
  <c r="AA1035" i="16"/>
  <c r="U208" i="16"/>
  <c r="Y1190" i="16"/>
  <c r="W1169" i="16"/>
  <c r="W1334" i="16"/>
  <c r="U2155" i="16"/>
  <c r="U1810" i="16"/>
  <c r="P1085" i="16"/>
  <c r="AA277" i="16"/>
  <c r="AA269" i="16"/>
  <c r="L972" i="16"/>
  <c r="N804" i="16"/>
  <c r="Y769" i="16"/>
  <c r="L634" i="16"/>
  <c r="AA625" i="16"/>
  <c r="Y562" i="16"/>
  <c r="AC715" i="16"/>
  <c r="U451" i="16"/>
  <c r="AA79" i="16"/>
  <c r="L971" i="16"/>
  <c r="L78" i="16"/>
  <c r="U2086" i="16"/>
  <c r="U432" i="16"/>
  <c r="AC768" i="16"/>
  <c r="L594" i="16"/>
  <c r="P380" i="16"/>
  <c r="Y850" i="16"/>
  <c r="W262" i="16"/>
  <c r="W391" i="16"/>
  <c r="W1410" i="16"/>
  <c r="U94" i="16"/>
  <c r="AC1064" i="16"/>
  <c r="Y640" i="16"/>
  <c r="AA246" i="16"/>
  <c r="W1444" i="16"/>
  <c r="Y1454" i="16"/>
  <c r="U1780" i="16"/>
  <c r="N416" i="16"/>
  <c r="Y570" i="16"/>
  <c r="L42" i="16"/>
  <c r="AC1125" i="16"/>
  <c r="N258" i="16"/>
  <c r="P168" i="16"/>
  <c r="L574" i="16"/>
  <c r="P1279" i="16"/>
  <c r="P703" i="16"/>
  <c r="AA316" i="16"/>
  <c r="AC6" i="16"/>
  <c r="P289" i="16"/>
  <c r="AC919" i="16"/>
  <c r="W104" i="16"/>
  <c r="P92" i="16"/>
  <c r="W580" i="16"/>
  <c r="Y73" i="16"/>
  <c r="AA362" i="16"/>
  <c r="AA1328" i="16"/>
  <c r="W203" i="16"/>
  <c r="P47" i="16"/>
  <c r="L1144" i="16"/>
  <c r="U1786" i="16"/>
  <c r="AA323" i="16"/>
  <c r="W570" i="16"/>
  <c r="L899" i="16"/>
  <c r="W395" i="16"/>
  <c r="Y861" i="16"/>
  <c r="P533" i="16"/>
  <c r="Y1182" i="16"/>
  <c r="AA400" i="16"/>
  <c r="Y647" i="16"/>
  <c r="U425" i="16"/>
  <c r="Y327" i="16"/>
  <c r="N71" i="16"/>
  <c r="Y1089" i="16"/>
  <c r="AA852" i="16"/>
  <c r="N65" i="16"/>
  <c r="U563" i="16"/>
  <c r="N203" i="16"/>
  <c r="W738" i="16"/>
  <c r="L352" i="16"/>
  <c r="Y789" i="16"/>
  <c r="L846" i="16"/>
  <c r="P668" i="16"/>
  <c r="U130" i="16"/>
  <c r="AA483" i="16"/>
  <c r="AC502" i="16"/>
  <c r="AA471" i="16"/>
  <c r="Y430" i="16"/>
  <c r="U655" i="16"/>
  <c r="AA134" i="16"/>
  <c r="U779" i="16"/>
  <c r="AA664" i="16"/>
  <c r="L1136" i="16"/>
  <c r="P117" i="16"/>
  <c r="N702" i="16"/>
  <c r="W713" i="16"/>
  <c r="P157" i="16"/>
  <c r="U2091" i="16"/>
  <c r="AA1112" i="16"/>
  <c r="L945" i="16"/>
  <c r="Y1698" i="16"/>
  <c r="AC105" i="16"/>
  <c r="Y229" i="16"/>
  <c r="W875" i="16"/>
  <c r="P293" i="16"/>
  <c r="U1783" i="16"/>
  <c r="P1155" i="16"/>
  <c r="AC676" i="16"/>
  <c r="W330" i="16"/>
  <c r="U545" i="16"/>
  <c r="Y56" i="16"/>
  <c r="U1084" i="16"/>
  <c r="U77" i="16"/>
  <c r="N1126" i="16"/>
  <c r="Y708" i="16"/>
  <c r="AC1246" i="16"/>
  <c r="W1209" i="16"/>
  <c r="Y393" i="16"/>
  <c r="N343" i="16"/>
  <c r="U209" i="16"/>
  <c r="AC932" i="16"/>
  <c r="L86" i="16"/>
  <c r="AA161" i="16"/>
  <c r="Y180" i="16"/>
  <c r="U1876" i="16"/>
  <c r="P1359" i="16"/>
  <c r="AC431" i="16"/>
  <c r="U1265" i="16"/>
  <c r="W1414" i="16"/>
  <c r="AA237" i="16"/>
  <c r="L222" i="16"/>
  <c r="AA736" i="16"/>
  <c r="W1365" i="16"/>
  <c r="W1166" i="16"/>
  <c r="AA700" i="16"/>
  <c r="Y309" i="16"/>
  <c r="AC1110" i="16"/>
  <c r="P652" i="16"/>
  <c r="AC35" i="16"/>
  <c r="N278" i="16"/>
  <c r="W679" i="16"/>
  <c r="AC633" i="16"/>
  <c r="AC98" i="16"/>
  <c r="W2095" i="16"/>
  <c r="N782" i="16"/>
  <c r="U2109" i="16"/>
  <c r="AA480" i="16"/>
  <c r="N226" i="16"/>
  <c r="Y687" i="16"/>
  <c r="AA913" i="16"/>
  <c r="Y1110" i="16"/>
  <c r="W263" i="16"/>
  <c r="AC615" i="16"/>
  <c r="P861" i="16"/>
  <c r="AC329" i="16"/>
  <c r="N933" i="16"/>
  <c r="AC818" i="16"/>
  <c r="Y613" i="16"/>
  <c r="N1069" i="16"/>
  <c r="AC1228" i="16"/>
  <c r="L275" i="16"/>
  <c r="W1051" i="16"/>
  <c r="U1396" i="16"/>
  <c r="Y715" i="16"/>
  <c r="N478" i="16"/>
  <c r="Y635" i="16"/>
  <c r="W1003" i="16"/>
  <c r="AC231" i="16"/>
  <c r="W37" i="16"/>
  <c r="AA1378" i="16"/>
  <c r="U498" i="16"/>
  <c r="P468" i="16"/>
  <c r="Y137" i="16"/>
  <c r="U315" i="16"/>
  <c r="N823" i="16"/>
  <c r="Y357" i="16"/>
  <c r="L349" i="16"/>
  <c r="W103" i="16"/>
  <c r="W459" i="16"/>
  <c r="L1407" i="16"/>
  <c r="U769" i="16"/>
  <c r="AC199" i="16"/>
  <c r="W509" i="16"/>
  <c r="AA679" i="16"/>
  <c r="P1370" i="16"/>
  <c r="AA1316" i="16"/>
  <c r="N1159" i="16"/>
  <c r="AC1019" i="16"/>
  <c r="Y1000" i="16"/>
  <c r="N1378" i="16"/>
  <c r="U1671" i="16"/>
  <c r="U173" i="16"/>
  <c r="P949" i="16"/>
  <c r="N983" i="16"/>
  <c r="P458" i="16"/>
  <c r="W371" i="16"/>
  <c r="W2120" i="16"/>
  <c r="AA255" i="16"/>
  <c r="W927" i="16"/>
  <c r="Y1217" i="16"/>
  <c r="AA602" i="16"/>
  <c r="AC311" i="16"/>
  <c r="W8" i="16"/>
  <c r="Y551" i="16"/>
  <c r="U961" i="16"/>
  <c r="AC1124" i="16"/>
  <c r="Y702" i="16"/>
  <c r="N79" i="16"/>
  <c r="U621" i="16"/>
  <c r="L171" i="16"/>
  <c r="L147" i="16"/>
  <c r="U101" i="16"/>
  <c r="L311" i="16"/>
  <c r="P311" i="16"/>
  <c r="W1181" i="16"/>
  <c r="N740" i="16"/>
  <c r="L61" i="16"/>
  <c r="P105" i="16"/>
  <c r="AA838" i="16"/>
  <c r="U581" i="16"/>
  <c r="P778" i="16"/>
  <c r="AA1276" i="16"/>
  <c r="Y1133" i="16"/>
  <c r="U34" i="16"/>
  <c r="P788" i="16"/>
  <c r="P850" i="16"/>
  <c r="U812" i="16"/>
  <c r="AA3" i="16"/>
  <c r="L677" i="16"/>
  <c r="AC28" i="16"/>
  <c r="P1086" i="16"/>
  <c r="AA1584" i="16"/>
  <c r="L578" i="16"/>
  <c r="P231" i="16"/>
  <c r="U1329" i="16"/>
  <c r="L341" i="16"/>
  <c r="U2087" i="16"/>
  <c r="Y1322" i="16"/>
  <c r="W1400" i="16"/>
  <c r="L1348" i="16"/>
  <c r="Y362" i="16"/>
  <c r="N923" i="16"/>
  <c r="Y1220" i="16"/>
  <c r="AC322" i="16"/>
  <c r="AC675" i="16"/>
  <c r="AC78" i="16"/>
  <c r="P1283" i="16"/>
  <c r="AA1162" i="16"/>
  <c r="AC1288" i="16"/>
  <c r="N582" i="16"/>
  <c r="N940" i="16"/>
  <c r="AE1762" i="16"/>
  <c r="AA571" i="16"/>
  <c r="N656" i="16"/>
  <c r="U1678" i="16"/>
  <c r="AA576" i="16"/>
  <c r="AA92" i="16"/>
  <c r="AA344" i="16"/>
  <c r="Y1406" i="16"/>
  <c r="Y815" i="16"/>
  <c r="P182" i="16"/>
  <c r="P155" i="16"/>
  <c r="W1426" i="16"/>
  <c r="U233" i="16"/>
  <c r="U2131" i="16"/>
  <c r="AC49" i="16"/>
  <c r="W1779" i="16"/>
  <c r="N172" i="16"/>
  <c r="AC584" i="16"/>
  <c r="AA106" i="16"/>
  <c r="P896" i="16"/>
  <c r="L206" i="16"/>
  <c r="U1523" i="16"/>
  <c r="AC1023" i="16"/>
  <c r="AC796" i="16"/>
  <c r="N832" i="16"/>
  <c r="Y741" i="16"/>
  <c r="U1600" i="16"/>
  <c r="AE1821" i="16"/>
  <c r="L603" i="16"/>
  <c r="AC1104" i="16"/>
  <c r="AA6" i="16"/>
  <c r="N1318" i="16"/>
  <c r="W164" i="16"/>
  <c r="W1328" i="16"/>
  <c r="AC1123" i="16"/>
  <c r="L323" i="16"/>
  <c r="AA809" i="16"/>
  <c r="AC221" i="16"/>
  <c r="Y1067" i="16"/>
  <c r="W1139" i="16"/>
  <c r="L437" i="16"/>
  <c r="U609" i="16"/>
  <c r="AC887" i="16"/>
  <c r="N1013" i="16"/>
  <c r="N1095" i="16"/>
  <c r="L175" i="16"/>
  <c r="U863" i="16"/>
  <c r="U1052" i="16"/>
  <c r="AA656" i="16"/>
  <c r="P84" i="16"/>
  <c r="U1195" i="16"/>
  <c r="AC207" i="16"/>
  <c r="W948" i="16"/>
  <c r="AA193" i="16"/>
  <c r="L549" i="16"/>
  <c r="Y498" i="16"/>
  <c r="Y589" i="16"/>
  <c r="N1123" i="16"/>
  <c r="U1490" i="16"/>
  <c r="N374" i="16"/>
  <c r="N475" i="16"/>
  <c r="N190" i="16"/>
  <c r="U351" i="16"/>
  <c r="W47" i="16"/>
  <c r="U1739" i="16"/>
  <c r="U1217" i="16"/>
  <c r="Y783" i="16"/>
  <c r="W1575" i="16"/>
  <c r="P444" i="16"/>
  <c r="U275" i="16"/>
  <c r="Y677" i="16"/>
  <c r="P200" i="16"/>
  <c r="Y792" i="16"/>
  <c r="P643" i="16"/>
  <c r="Y559" i="16"/>
  <c r="W87" i="16"/>
  <c r="N238" i="16"/>
  <c r="P112" i="16"/>
  <c r="AC1101" i="16"/>
  <c r="AA252" i="16"/>
  <c r="N326" i="16"/>
  <c r="U283" i="16"/>
  <c r="AA855" i="16"/>
  <c r="P809" i="16"/>
  <c r="AC778" i="16"/>
  <c r="P747" i="16"/>
  <c r="Y1392" i="16"/>
  <c r="P1221" i="16"/>
  <c r="P570" i="16"/>
  <c r="L1680" i="16"/>
  <c r="N259" i="16"/>
  <c r="P496" i="16"/>
  <c r="P13" i="16"/>
  <c r="AA766" i="16"/>
  <c r="Y630" i="16"/>
  <c r="Y612" i="16"/>
  <c r="W375" i="16"/>
  <c r="Y78" i="16"/>
  <c r="Y336" i="16"/>
  <c r="AA513" i="16"/>
  <c r="Y518" i="16"/>
  <c r="W1597" i="16"/>
  <c r="Y423" i="16"/>
  <c r="P97" i="16"/>
  <c r="U182" i="16"/>
  <c r="L1037" i="16"/>
  <c r="W291" i="16"/>
  <c r="Y794" i="16"/>
  <c r="Y454" i="16"/>
  <c r="L362" i="16"/>
  <c r="N1401" i="16"/>
  <c r="U412" i="16"/>
  <c r="Y704" i="16"/>
  <c r="AA682" i="16"/>
  <c r="N520" i="16"/>
  <c r="AA183" i="16"/>
  <c r="W1101" i="16"/>
  <c r="L173" i="16"/>
  <c r="P283" i="16"/>
  <c r="W384" i="16"/>
  <c r="L750" i="16"/>
  <c r="L204" i="16"/>
  <c r="Y405" i="16"/>
  <c r="W695" i="16"/>
  <c r="Y952" i="16"/>
  <c r="L85" i="16"/>
  <c r="AC906" i="16"/>
  <c r="Y736" i="16"/>
  <c r="U1223" i="16"/>
  <c r="W769" i="16"/>
  <c r="W700" i="16"/>
  <c r="W1593" i="16"/>
  <c r="U513" i="16"/>
  <c r="Y664" i="16"/>
  <c r="Y1403" i="16"/>
  <c r="L320" i="16"/>
  <c r="L1305" i="16"/>
  <c r="AA811" i="16"/>
  <c r="AA1017" i="16"/>
  <c r="AC793" i="16"/>
  <c r="L960" i="16"/>
  <c r="AC285" i="16"/>
  <c r="AA75" i="16"/>
  <c r="N426" i="16"/>
  <c r="P219" i="16"/>
  <c r="P466" i="16"/>
  <c r="U1177" i="16"/>
  <c r="W1816" i="16"/>
  <c r="U924" i="16"/>
  <c r="W398" i="16"/>
  <c r="L426" i="16"/>
  <c r="W67" i="16"/>
  <c r="AA244" i="16"/>
  <c r="P462" i="16"/>
  <c r="N1758" i="16"/>
  <c r="N918" i="16"/>
  <c r="W777" i="16"/>
  <c r="Y645" i="16"/>
  <c r="W289" i="16"/>
  <c r="AA1102" i="16"/>
  <c r="AA515" i="16"/>
  <c r="L566" i="16"/>
  <c r="AC1173" i="16"/>
  <c r="U992" i="16"/>
  <c r="L394" i="16"/>
  <c r="Y21" i="16"/>
  <c r="W1567" i="16"/>
  <c r="N554" i="16"/>
  <c r="L967" i="16"/>
  <c r="U1117" i="16"/>
  <c r="AA233" i="16"/>
  <c r="N876" i="16"/>
  <c r="W336" i="16"/>
  <c r="P236" i="16"/>
  <c r="W1231" i="16"/>
  <c r="W616" i="16"/>
  <c r="L1082" i="16"/>
  <c r="U323" i="16"/>
  <c r="AA228" i="16"/>
  <c r="Y37" i="16"/>
  <c r="AA1383" i="16"/>
  <c r="L214" i="16"/>
  <c r="U428" i="16"/>
  <c r="Y1364" i="16"/>
  <c r="Y522" i="16"/>
  <c r="L955" i="16"/>
  <c r="Y96" i="16"/>
  <c r="P431" i="16"/>
  <c r="AC903" i="16"/>
  <c r="P930" i="16"/>
  <c r="U62" i="16"/>
  <c r="Y5" i="16"/>
  <c r="Y1059" i="16"/>
  <c r="L642" i="16"/>
  <c r="U988" i="16"/>
  <c r="L512" i="16"/>
  <c r="L1335" i="16"/>
  <c r="W243" i="16"/>
  <c r="AA111" i="16"/>
  <c r="L888" i="16"/>
  <c r="AA234" i="16"/>
  <c r="N797" i="16"/>
  <c r="L1128" i="16"/>
  <c r="Y474" i="16"/>
  <c r="P673" i="16"/>
  <c r="W555" i="16"/>
  <c r="P76" i="16"/>
  <c r="W1455" i="16"/>
  <c r="N201" i="16"/>
  <c r="P17" i="16"/>
  <c r="U2063" i="16"/>
  <c r="L854" i="16"/>
  <c r="L1310" i="16"/>
  <c r="P1305" i="16"/>
  <c r="AA48" i="16"/>
  <c r="U71" i="16"/>
  <c r="W922" i="16"/>
  <c r="N1079" i="16"/>
  <c r="AA636" i="16"/>
  <c r="AA693" i="16"/>
  <c r="AA724" i="16"/>
  <c r="P135" i="16"/>
  <c r="N354" i="16"/>
  <c r="AA363" i="16"/>
  <c r="U805" i="16"/>
  <c r="N785" i="16"/>
  <c r="U1368" i="16"/>
  <c r="W178" i="16"/>
  <c r="W52" i="16"/>
  <c r="AA20" i="16"/>
  <c r="U851" i="16"/>
  <c r="Y416" i="16"/>
  <c r="W374" i="16"/>
  <c r="W1067" i="16"/>
  <c r="AA971" i="16"/>
  <c r="Y568" i="16"/>
  <c r="U424" i="16"/>
  <c r="AA196" i="16"/>
  <c r="AC1385" i="16"/>
  <c r="P426" i="16"/>
  <c r="L635" i="16"/>
  <c r="Y426" i="16"/>
  <c r="L774" i="16"/>
  <c r="L38" i="16"/>
  <c r="N872" i="16"/>
  <c r="P685" i="16"/>
  <c r="P822" i="16"/>
  <c r="W360" i="16"/>
  <c r="AA174" i="16"/>
  <c r="AA388" i="16"/>
  <c r="L670" i="16"/>
  <c r="Y1019" i="16"/>
  <c r="U557" i="16"/>
  <c r="L1321" i="16"/>
  <c r="L198" i="16"/>
  <c r="Y1441" i="16"/>
  <c r="U1442" i="16"/>
  <c r="W594" i="16"/>
  <c r="AA108" i="16"/>
  <c r="U539" i="16"/>
  <c r="P1726" i="16"/>
  <c r="W1378" i="16"/>
  <c r="L630" i="16"/>
  <c r="AC70" i="16"/>
  <c r="U681" i="16"/>
  <c r="W387" i="16"/>
  <c r="L156" i="16"/>
  <c r="U91" i="16"/>
  <c r="W2058" i="16"/>
  <c r="N468" i="16"/>
  <c r="AC330" i="16"/>
  <c r="U10" i="16"/>
  <c r="P474" i="16"/>
  <c r="AC40" i="16"/>
  <c r="L253" i="16"/>
  <c r="U1373" i="16"/>
  <c r="W1743" i="16"/>
  <c r="W135" i="16"/>
  <c r="W944" i="16"/>
  <c r="AE1772" i="16"/>
  <c r="W687" i="16"/>
  <c r="L167" i="16"/>
  <c r="AC673" i="16"/>
  <c r="N889" i="16"/>
  <c r="AA1072" i="16"/>
  <c r="AA367" i="16"/>
  <c r="W421" i="16"/>
  <c r="U1981" i="16"/>
  <c r="P646" i="16"/>
  <c r="P1655" i="16"/>
  <c r="P22" i="16"/>
  <c r="AE1757" i="16"/>
  <c r="AC487" i="16"/>
  <c r="U710" i="16"/>
  <c r="Y192" i="16"/>
  <c r="U743" i="16"/>
  <c r="U686" i="16"/>
  <c r="W415" i="16"/>
  <c r="U785" i="16"/>
  <c r="P1268" i="16"/>
  <c r="Y59" i="16"/>
  <c r="U2062" i="16"/>
  <c r="AC803" i="16"/>
  <c r="AC817" i="16"/>
  <c r="P284" i="16"/>
  <c r="L74" i="16"/>
  <c r="AC172" i="16"/>
  <c r="AC342" i="16"/>
  <c r="Y495" i="16"/>
  <c r="Y82" i="16"/>
  <c r="AC430" i="16"/>
  <c r="U649" i="16"/>
  <c r="U636" i="16"/>
  <c r="L197" i="16"/>
  <c r="P1100" i="16"/>
  <c r="U873" i="16"/>
  <c r="L227" i="16"/>
  <c r="N447" i="16"/>
  <c r="P700" i="16"/>
  <c r="U1044" i="16"/>
  <c r="Y141" i="16"/>
  <c r="U16" i="16"/>
  <c r="N48" i="16"/>
  <c r="L123" i="16"/>
  <c r="U2090" i="16"/>
  <c r="Y246" i="16"/>
  <c r="L696" i="16"/>
  <c r="W972" i="16"/>
  <c r="W254" i="16"/>
  <c r="AC154" i="16"/>
  <c r="L280" i="16"/>
  <c r="AA486" i="16"/>
  <c r="L239" i="16"/>
  <c r="Y912" i="16"/>
  <c r="W424" i="16"/>
  <c r="Y354" i="16"/>
  <c r="Y1135" i="16"/>
  <c r="AA817" i="16"/>
  <c r="AC15" i="16"/>
  <c r="W1434" i="16"/>
  <c r="P1083" i="16"/>
  <c r="L714" i="16"/>
  <c r="W736" i="16"/>
  <c r="W1281" i="16"/>
  <c r="N455" i="16"/>
  <c r="W260" i="16"/>
  <c r="AC608" i="16"/>
  <c r="U887" i="16"/>
  <c r="N806" i="16"/>
  <c r="AA164" i="16"/>
  <c r="L520" i="16"/>
  <c r="Y661" i="16"/>
  <c r="AC211" i="16"/>
  <c r="AA1045" i="16"/>
  <c r="U786" i="16"/>
  <c r="N502" i="16"/>
  <c r="N625" i="16"/>
  <c r="L1312" i="16"/>
  <c r="U771" i="16"/>
  <c r="AC542" i="16"/>
  <c r="N24" i="16"/>
  <c r="W2143" i="16"/>
  <c r="U255" i="16"/>
  <c r="U693" i="16"/>
  <c r="Y291" i="16"/>
  <c r="Y231" i="16"/>
  <c r="AC622" i="16"/>
  <c r="L831" i="16"/>
  <c r="Y696" i="16"/>
  <c r="AC551" i="16"/>
  <c r="Y1583" i="16"/>
  <c r="AC710" i="16"/>
  <c r="U118" i="16"/>
  <c r="Y582" i="16"/>
  <c r="P1011" i="16"/>
  <c r="AA930" i="16"/>
  <c r="Y15" i="16"/>
  <c r="N217" i="16"/>
  <c r="Y260" i="16"/>
  <c r="AA847" i="16"/>
  <c r="AC308" i="16"/>
  <c r="W919" i="16"/>
  <c r="N219" i="16"/>
  <c r="P373" i="16"/>
  <c r="AA1177" i="16"/>
  <c r="W1818" i="16"/>
  <c r="L858" i="16"/>
  <c r="AC260" i="16"/>
  <c r="Y1588" i="16"/>
  <c r="L205" i="16"/>
  <c r="W818" i="16"/>
  <c r="AC1050" i="16"/>
  <c r="L1151" i="16"/>
  <c r="AA1368" i="16"/>
  <c r="U641" i="16"/>
  <c r="N932" i="16"/>
  <c r="N737" i="16"/>
  <c r="Y325" i="16"/>
  <c r="U63" i="16"/>
  <c r="U517" i="16"/>
  <c r="L196" i="16"/>
  <c r="AA359" i="16"/>
  <c r="U1264" i="16"/>
  <c r="AA1308" i="16"/>
  <c r="AA523" i="16"/>
  <c r="P1357" i="16"/>
  <c r="N516" i="16"/>
  <c r="U1236" i="16"/>
  <c r="L575" i="16"/>
  <c r="U579" i="16"/>
  <c r="U1089" i="16"/>
  <c r="AA389" i="16"/>
  <c r="W1483" i="16"/>
  <c r="N1186" i="16"/>
  <c r="U1756" i="16"/>
  <c r="AC61" i="16"/>
  <c r="U79" i="16"/>
  <c r="U1633" i="16"/>
  <c r="L108" i="16"/>
  <c r="N588" i="16"/>
  <c r="W1605" i="16"/>
  <c r="U375" i="16"/>
  <c r="AC1284" i="16"/>
  <c r="U1808" i="16"/>
  <c r="U57" i="16"/>
  <c r="U186" i="16"/>
  <c r="AC85" i="16"/>
  <c r="AA410" i="16"/>
  <c r="W1577" i="16"/>
  <c r="W794" i="16"/>
  <c r="Y985" i="16"/>
  <c r="U1555" i="16"/>
  <c r="Y692" i="16"/>
  <c r="W5" i="16"/>
  <c r="AC450" i="16"/>
  <c r="AC382" i="16"/>
  <c r="AA324" i="16"/>
  <c r="N661" i="16"/>
  <c r="AA427" i="16"/>
  <c r="U749" i="16"/>
  <c r="U296" i="16"/>
  <c r="U515" i="16"/>
  <c r="L235" i="16"/>
  <c r="U612" i="16"/>
  <c r="Y65" i="16"/>
  <c r="L481" i="16"/>
  <c r="W1256" i="16"/>
  <c r="W304" i="16"/>
  <c r="AA1566" i="16"/>
  <c r="W257" i="16"/>
  <c r="W1446" i="16"/>
  <c r="N342" i="16"/>
  <c r="P869" i="16"/>
  <c r="Y825" i="16"/>
  <c r="Y1283" i="16"/>
  <c r="W1782" i="16"/>
  <c r="L832" i="16"/>
  <c r="W328" i="16"/>
  <c r="AA374" i="16"/>
  <c r="P88" i="16"/>
  <c r="AA1274" i="16"/>
  <c r="Y438" i="16"/>
  <c r="W1237" i="16"/>
  <c r="AC54" i="16"/>
  <c r="L18" i="16"/>
  <c r="U1731" i="16"/>
  <c r="W776" i="16"/>
  <c r="U607" i="16"/>
  <c r="N514" i="16"/>
  <c r="AA1104" i="16"/>
  <c r="AC314" i="16"/>
  <c r="AA203" i="16"/>
  <c r="Y993" i="16"/>
  <c r="AA1324" i="16"/>
  <c r="U178" i="16"/>
  <c r="W784" i="16"/>
  <c r="P687" i="16"/>
  <c r="N819" i="16"/>
  <c r="AA1364" i="16"/>
  <c r="W533" i="16"/>
  <c r="W645" i="16"/>
  <c r="L155" i="16"/>
  <c r="U1628" i="16"/>
  <c r="W2151" i="16"/>
  <c r="U1567" i="16"/>
  <c r="W231" i="16"/>
  <c r="L963" i="16"/>
  <c r="L41" i="16"/>
  <c r="U882" i="16"/>
  <c r="L1334" i="16"/>
  <c r="L526" i="16"/>
  <c r="N1355" i="16"/>
  <c r="N367" i="16"/>
  <c r="AA98" i="16"/>
  <c r="L1122" i="16"/>
  <c r="P629" i="16"/>
  <c r="U1172" i="16"/>
  <c r="N336" i="16"/>
  <c r="L47" i="16"/>
  <c r="Y667" i="16"/>
  <c r="AC923" i="16"/>
  <c r="N707" i="16"/>
  <c r="Y164" i="16"/>
  <c r="W145" i="16"/>
  <c r="Y85" i="16"/>
  <c r="W225" i="16"/>
  <c r="N431" i="16"/>
  <c r="W1770" i="16"/>
  <c r="P592" i="16"/>
  <c r="AA619" i="16"/>
  <c r="U1030" i="16"/>
  <c r="AA541" i="16"/>
  <c r="AA271" i="16"/>
  <c r="N21" i="16"/>
  <c r="U13" i="16"/>
  <c r="W342" i="16"/>
  <c r="N1400" i="16"/>
  <c r="AC225" i="16"/>
  <c r="L1017" i="16"/>
  <c r="AC929" i="16"/>
  <c r="AA962" i="16"/>
  <c r="Y494" i="16"/>
  <c r="L92" i="16"/>
  <c r="L278" i="16"/>
  <c r="AA1691" i="16"/>
  <c r="W40" i="16"/>
  <c r="AA299" i="16"/>
  <c r="AC193" i="16"/>
  <c r="U273" i="16"/>
  <c r="Y547" i="16"/>
  <c r="N1599" i="16"/>
  <c r="N215" i="16"/>
  <c r="L418" i="16"/>
  <c r="L980" i="16"/>
  <c r="W1361" i="16"/>
  <c r="W1793" i="16"/>
  <c r="P185" i="16"/>
  <c r="AC771" i="16"/>
  <c r="W649" i="16"/>
  <c r="W511" i="16"/>
  <c r="Y482" i="16"/>
  <c r="W757" i="16"/>
  <c r="N228" i="16"/>
  <c r="AC124" i="16"/>
  <c r="Y907" i="16"/>
  <c r="L1266" i="16"/>
  <c r="L580" i="16"/>
  <c r="N344" i="16"/>
  <c r="U559" i="16"/>
  <c r="L648" i="16"/>
  <c r="AC92" i="16"/>
  <c r="W704" i="16"/>
  <c r="L285" i="16"/>
  <c r="Y531" i="16"/>
  <c r="Y195" i="16"/>
  <c r="U974" i="16"/>
  <c r="N55" i="16"/>
  <c r="Y285" i="16"/>
  <c r="L700" i="16"/>
  <c r="W1438" i="16"/>
  <c r="AC518" i="16"/>
  <c r="W323" i="16"/>
  <c r="AA797" i="16"/>
  <c r="W541" i="16"/>
  <c r="N1116" i="16"/>
  <c r="W683" i="16"/>
  <c r="N406" i="16"/>
  <c r="N248" i="16"/>
  <c r="AA849" i="16"/>
  <c r="N1026" i="16"/>
  <c r="AA1253" i="16"/>
  <c r="N334" i="16"/>
  <c r="Y529" i="16"/>
  <c r="U790" i="16"/>
  <c r="U1629" i="16"/>
  <c r="W1413" i="16"/>
  <c r="P336" i="16"/>
  <c r="AC600" i="16"/>
  <c r="U243" i="16"/>
  <c r="P1333" i="16"/>
  <c r="AA392" i="16"/>
  <c r="L746" i="16"/>
  <c r="L1006" i="16"/>
  <c r="P330" i="16"/>
  <c r="N171" i="16"/>
  <c r="P803" i="16"/>
  <c r="AA121" i="16"/>
  <c r="W1235" i="16"/>
  <c r="N813" i="16"/>
  <c r="Y171" i="16"/>
  <c r="U1758" i="16"/>
  <c r="W1629" i="16"/>
  <c r="U2115" i="16"/>
  <c r="AA73" i="16"/>
  <c r="AA532" i="16"/>
  <c r="AA727" i="16"/>
  <c r="Y697" i="16"/>
  <c r="U363" i="16"/>
  <c r="L88" i="16"/>
  <c r="L14" i="16"/>
  <c r="AA1502" i="16"/>
  <c r="L868" i="16"/>
  <c r="U339" i="16"/>
  <c r="P158" i="16"/>
  <c r="AC331" i="16"/>
  <c r="Y1241" i="16"/>
  <c r="N1193" i="16"/>
  <c r="U427" i="16"/>
  <c r="L272" i="16"/>
  <c r="AA715" i="16"/>
  <c r="L290" i="16"/>
  <c r="AC1004" i="16"/>
  <c r="AA406" i="16"/>
  <c r="N121" i="16"/>
  <c r="U543" i="16"/>
  <c r="U624" i="16"/>
  <c r="U475" i="16"/>
  <c r="W888" i="16"/>
  <c r="Y268" i="16"/>
  <c r="L1347" i="16"/>
  <c r="Y1077" i="16"/>
  <c r="Y356" i="16"/>
  <c r="W644" i="16"/>
  <c r="AC62" i="16"/>
  <c r="W680" i="16"/>
  <c r="U1679" i="16"/>
  <c r="L1137" i="16"/>
  <c r="AA439" i="16"/>
  <c r="P633" i="16"/>
  <c r="W1539" i="16"/>
  <c r="AA1260" i="16"/>
  <c r="AC80" i="16"/>
  <c r="U1801" i="16"/>
  <c r="L896" i="16"/>
  <c r="AA381" i="16"/>
  <c r="Y594" i="16"/>
  <c r="P657" i="16"/>
  <c r="U1384" i="16"/>
  <c r="U1340" i="16"/>
  <c r="P405" i="16"/>
  <c r="AC1045" i="16"/>
  <c r="W84" i="16"/>
  <c r="U1718" i="16"/>
  <c r="P73" i="16"/>
  <c r="Y593" i="16"/>
  <c r="P393" i="16"/>
  <c r="L308" i="16"/>
  <c r="AC815" i="16"/>
  <c r="L1076" i="16"/>
  <c r="U409" i="16"/>
  <c r="U1551" i="16"/>
  <c r="P43" i="16"/>
  <c r="Y12" i="16"/>
  <c r="W1268" i="16"/>
  <c r="P758" i="16"/>
  <c r="Y787" i="16"/>
  <c r="Y1167" i="16"/>
  <c r="P798" i="16"/>
  <c r="N25" i="16"/>
  <c r="U126" i="16"/>
  <c r="Y36" i="16"/>
  <c r="AC7" i="16"/>
  <c r="W798" i="16"/>
  <c r="W447" i="16"/>
  <c r="P192" i="16"/>
  <c r="AC332" i="16"/>
  <c r="W714" i="16"/>
  <c r="N166" i="16"/>
  <c r="U1356" i="16"/>
  <c r="W201" i="16"/>
  <c r="W686" i="16"/>
  <c r="AA165" i="16"/>
  <c r="U320" i="16"/>
  <c r="Y53" i="16"/>
  <c r="L140" i="16"/>
  <c r="P195" i="16"/>
  <c r="L416" i="16"/>
  <c r="AA562" i="16"/>
  <c r="AC538" i="16"/>
  <c r="Y305" i="16"/>
  <c r="Y277" i="16"/>
  <c r="U918" i="16"/>
  <c r="U245" i="16"/>
  <c r="P257" i="16"/>
  <c r="U1269" i="16"/>
  <c r="N330" i="16"/>
  <c r="U626" i="16"/>
  <c r="U262" i="16"/>
  <c r="Y836" i="16"/>
  <c r="N31" i="16"/>
  <c r="Y1279" i="16"/>
  <c r="P51" i="16"/>
  <c r="L386" i="16"/>
  <c r="L1132" i="16"/>
  <c r="Y1296" i="16"/>
  <c r="N327" i="16"/>
  <c r="U33" i="16"/>
  <c r="L915" i="16"/>
  <c r="W737" i="16"/>
  <c r="Y478" i="16"/>
  <c r="L1329" i="16"/>
  <c r="AA320" i="16"/>
  <c r="W1158" i="16"/>
  <c r="L1506" i="16"/>
  <c r="AC679" i="16"/>
  <c r="AA1024" i="16"/>
  <c r="U1429" i="16"/>
  <c r="Y745" i="16"/>
  <c r="W899" i="16"/>
  <c r="Y391" i="16"/>
  <c r="Y80" i="16"/>
  <c r="W444" i="16"/>
  <c r="U341" i="16"/>
  <c r="Y1002" i="16"/>
  <c r="L187" i="16"/>
  <c r="AA937" i="16"/>
  <c r="W1490" i="16"/>
  <c r="W1110" i="16"/>
  <c r="W256" i="16"/>
  <c r="W571" i="16"/>
  <c r="P611" i="16"/>
  <c r="Y45" i="16"/>
  <c r="W1229" i="16"/>
  <c r="N68" i="16"/>
  <c r="L261" i="16"/>
  <c r="AA1213" i="16"/>
  <c r="N899" i="16"/>
  <c r="L203" i="16"/>
  <c r="P1249" i="16"/>
  <c r="AC34" i="16"/>
  <c r="AC347" i="16"/>
  <c r="W529" i="16"/>
  <c r="W480" i="16"/>
  <c r="W1250" i="16"/>
  <c r="W1771" i="16"/>
  <c r="U354" i="16"/>
  <c r="N363" i="16"/>
  <c r="L50" i="16"/>
  <c r="AA242" i="16"/>
  <c r="W294" i="16"/>
  <c r="P1301" i="16"/>
  <c r="W964" i="16"/>
  <c r="U546" i="16"/>
  <c r="W720" i="16"/>
  <c r="L451" i="16"/>
  <c r="P680" i="16"/>
  <c r="AC250" i="16"/>
  <c r="U201" i="16"/>
  <c r="Y1204" i="16"/>
  <c r="P498" i="16"/>
  <c r="AA281" i="16"/>
  <c r="W650" i="16"/>
  <c r="AC617" i="16"/>
  <c r="N489" i="16"/>
  <c r="U947" i="16"/>
  <c r="N481" i="16"/>
  <c r="P41" i="16"/>
  <c r="L672" i="16"/>
  <c r="L1429" i="16"/>
  <c r="N323" i="16"/>
  <c r="N1883" i="16"/>
  <c r="Y887" i="16"/>
  <c r="L929" i="16"/>
  <c r="AC492" i="16"/>
  <c r="Y1670" i="16"/>
  <c r="P1232" i="16"/>
  <c r="AC1296" i="16"/>
  <c r="P871" i="16"/>
  <c r="U1744" i="16"/>
  <c r="P911" i="16"/>
  <c r="AC535" i="16"/>
  <c r="Y232" i="16"/>
  <c r="L1418" i="16"/>
  <c r="U711" i="16"/>
  <c r="AA1193" i="16"/>
  <c r="U258" i="16"/>
  <c r="Y650" i="16"/>
  <c r="U14" i="16"/>
  <c r="P9" i="16"/>
  <c r="W583" i="16"/>
  <c r="AC320" i="16"/>
  <c r="AC32" i="16"/>
  <c r="P341" i="16"/>
  <c r="W827" i="16"/>
  <c r="W1149" i="16"/>
  <c r="Y1478" i="16"/>
  <c r="W302" i="16"/>
  <c r="P278" i="16"/>
  <c r="N85" i="16"/>
  <c r="Y1348" i="16"/>
  <c r="W1252" i="16"/>
  <c r="Y971" i="16"/>
  <c r="Y106" i="16"/>
  <c r="L114" i="16"/>
  <c r="AC75" i="16"/>
  <c r="W275" i="16"/>
  <c r="Y1032" i="16"/>
  <c r="AC366" i="16"/>
  <c r="W1822" i="16"/>
  <c r="W195" i="16"/>
  <c r="AA1225" i="16"/>
  <c r="AA510" i="16"/>
  <c r="U1719" i="16"/>
  <c r="W1097" i="16"/>
  <c r="N339" i="16"/>
  <c r="N779" i="16"/>
  <c r="P534" i="16"/>
  <c r="W264" i="16"/>
  <c r="AA861" i="16"/>
  <c r="Y489" i="16"/>
  <c r="N741" i="16"/>
  <c r="U1327" i="16"/>
  <c r="U586" i="16"/>
  <c r="Y1602" i="16"/>
  <c r="U778" i="16"/>
  <c r="P402" i="16"/>
  <c r="W1735" i="16"/>
  <c r="U549" i="16"/>
  <c r="U66" i="16"/>
  <c r="N909" i="16"/>
  <c r="Y389" i="16"/>
  <c r="W440" i="16"/>
  <c r="P831" i="16"/>
  <c r="U587" i="16"/>
  <c r="Y480" i="16"/>
  <c r="P626" i="16"/>
  <c r="W1520" i="16"/>
  <c r="AC251" i="16"/>
  <c r="P730" i="16"/>
  <c r="W1727" i="16"/>
  <c r="U1381" i="16"/>
  <c r="AC241" i="16"/>
  <c r="Y453" i="16"/>
  <c r="U1240" i="16"/>
  <c r="AC590" i="16"/>
  <c r="AA1195" i="16"/>
  <c r="L400" i="16"/>
  <c r="Y1380" i="16"/>
  <c r="W1776" i="16"/>
  <c r="Y510" i="16"/>
  <c r="U610" i="16"/>
  <c r="AC636" i="16"/>
  <c r="N649" i="16"/>
  <c r="Y387" i="16"/>
  <c r="U1773" i="16"/>
  <c r="P61" i="16"/>
  <c r="P248" i="16"/>
  <c r="U1479" i="16"/>
  <c r="N288" i="16"/>
  <c r="U303" i="16"/>
  <c r="AC189" i="16"/>
  <c r="Y267" i="16"/>
  <c r="L1391" i="16"/>
  <c r="W1018" i="16"/>
  <c r="AC1620" i="16"/>
  <c r="Y1223" i="16"/>
  <c r="L404" i="16"/>
  <c r="W1142" i="16"/>
  <c r="N950" i="16"/>
  <c r="AC1147" i="16"/>
  <c r="U667" i="16"/>
  <c r="U1187" i="16"/>
  <c r="L623" i="16"/>
  <c r="Y694" i="16"/>
  <c r="Y459" i="16"/>
  <c r="AA865" i="16"/>
  <c r="U478" i="16"/>
  <c r="W1583" i="16"/>
  <c r="U205" i="16"/>
  <c r="AC593" i="16"/>
  <c r="L106" i="16"/>
  <c r="W380" i="16"/>
  <c r="U1772" i="16"/>
  <c r="AA647" i="16"/>
  <c r="L1276" i="16"/>
  <c r="AA695" i="16"/>
  <c r="N375" i="16"/>
  <c r="Y583" i="16"/>
  <c r="U1272" i="16"/>
  <c r="P290" i="16"/>
  <c r="P947" i="16"/>
  <c r="U313" i="16"/>
  <c r="L351" i="16"/>
  <c r="AA667" i="16"/>
  <c r="AA831" i="16"/>
  <c r="L199" i="16"/>
  <c r="W292" i="16"/>
  <c r="AC997" i="16"/>
  <c r="AA502" i="16"/>
  <c r="W557" i="16"/>
  <c r="L1067" i="16"/>
  <c r="N1407" i="16"/>
  <c r="N286" i="16"/>
  <c r="AC649" i="16"/>
  <c r="N23" i="16"/>
  <c r="L76" i="16"/>
  <c r="U234" i="16"/>
  <c r="Y945" i="16"/>
  <c r="Y273" i="16"/>
  <c r="W1637" i="16"/>
  <c r="N547" i="16"/>
  <c r="AA1176" i="16"/>
  <c r="L49" i="16"/>
  <c r="AA1066" i="16"/>
  <c r="W251" i="16"/>
  <c r="L1390" i="16"/>
  <c r="N810" i="16"/>
  <c r="N1276" i="16"/>
  <c r="L1956" i="16"/>
  <c r="W1006" i="16"/>
  <c r="Y541" i="16"/>
  <c r="P694" i="16"/>
  <c r="AC139" i="16"/>
  <c r="P174" i="16"/>
  <c r="Y67" i="16"/>
  <c r="W124" i="16"/>
  <c r="Y463" i="16"/>
  <c r="W333" i="16"/>
  <c r="AC1126" i="16"/>
  <c r="U80" i="16"/>
  <c r="U2070" i="16"/>
  <c r="AA188" i="16"/>
  <c r="N313" i="16"/>
  <c r="Y177" i="16"/>
  <c r="Y648" i="16"/>
  <c r="U834" i="16"/>
  <c r="L470" i="16"/>
  <c r="AA1023" i="16"/>
  <c r="L1087" i="16"/>
  <c r="N51" i="16"/>
  <c r="W181" i="16"/>
  <c r="W284" i="16"/>
  <c r="AC698" i="16"/>
  <c r="Y437" i="16"/>
  <c r="AA364" i="16"/>
  <c r="L528" i="16"/>
  <c r="L445" i="16"/>
  <c r="Y479" i="16"/>
  <c r="U1601" i="16"/>
  <c r="L1247" i="16"/>
  <c r="P717" i="16"/>
  <c r="W96" i="16"/>
  <c r="AA376" i="16"/>
  <c r="U913" i="16"/>
  <c r="P144" i="16"/>
  <c r="AA302" i="16"/>
  <c r="AA460" i="16"/>
  <c r="U1995" i="16"/>
  <c r="Y818" i="16"/>
  <c r="W295" i="16"/>
  <c r="Y24" i="16"/>
  <c r="P1963" i="16"/>
  <c r="W788" i="16"/>
  <c r="U1488" i="16"/>
  <c r="P710" i="16"/>
  <c r="U200" i="16"/>
  <c r="Y103" i="16"/>
  <c r="Y655" i="16"/>
  <c r="N1146" i="16"/>
  <c r="U996" i="16"/>
  <c r="U1104" i="16"/>
  <c r="W1690" i="16"/>
  <c r="L1739" i="16"/>
  <c r="L319" i="16"/>
  <c r="P503" i="16"/>
  <c r="N400" i="16"/>
  <c r="P973" i="16"/>
  <c r="P1386" i="16"/>
  <c r="Y803" i="16"/>
  <c r="N1025" i="16"/>
  <c r="AA348" i="16"/>
  <c r="U714" i="16"/>
  <c r="Y553" i="16"/>
  <c r="U1450" i="16"/>
  <c r="W633" i="16"/>
  <c r="U639" i="16"/>
  <c r="U963" i="16"/>
  <c r="Y1154" i="16"/>
  <c r="W2113" i="16"/>
  <c r="N322" i="16"/>
  <c r="U394" i="16"/>
  <c r="Y707" i="16"/>
  <c r="AC933" i="16"/>
  <c r="W1645" i="16"/>
  <c r="U1471" i="16"/>
  <c r="W1547" i="16"/>
  <c r="W250" i="16"/>
  <c r="AC691" i="16"/>
  <c r="Y1305" i="16"/>
  <c r="U1305" i="16"/>
  <c r="U1790" i="16"/>
  <c r="U1047" i="16"/>
  <c r="P214" i="16"/>
  <c r="Y538" i="16"/>
  <c r="P143" i="16"/>
  <c r="AC960" i="16"/>
  <c r="W1220" i="16"/>
  <c r="W426" i="16"/>
  <c r="AC5" i="16"/>
  <c r="L1668" i="16"/>
  <c r="W942" i="16"/>
  <c r="L1180" i="16"/>
  <c r="P63" i="16"/>
  <c r="U302" i="16"/>
  <c r="Y576" i="16"/>
  <c r="AC182" i="16"/>
  <c r="W697" i="16"/>
  <c r="AC1408" i="16"/>
  <c r="U17" i="16"/>
  <c r="U1077" i="16"/>
  <c r="P1024" i="16"/>
  <c r="L51" i="16"/>
  <c r="Y556" i="16"/>
  <c r="Y679" i="16"/>
  <c r="N245" i="16"/>
  <c r="P640" i="16"/>
  <c r="W98" i="16"/>
  <c r="AE1829" i="16"/>
  <c r="AA1352" i="16"/>
  <c r="N392" i="16"/>
  <c r="AC975" i="16"/>
  <c r="AC337" i="16"/>
  <c r="U523" i="16"/>
  <c r="W841" i="16"/>
  <c r="AC1159" i="16"/>
  <c r="U389" i="16"/>
  <c r="L256" i="16"/>
  <c r="L134" i="16"/>
  <c r="Y521" i="16"/>
  <c r="W485" i="16"/>
  <c r="P361" i="16"/>
  <c r="U132" i="16"/>
  <c r="P704" i="16"/>
  <c r="W18" i="16"/>
  <c r="W701" i="16"/>
  <c r="U312" i="16"/>
  <c r="AC1096" i="16"/>
  <c r="Y227" i="16"/>
  <c r="Y1238" i="16"/>
  <c r="L457" i="16"/>
  <c r="AA76" i="16"/>
  <c r="N93" i="16"/>
  <c r="AA127" i="16"/>
  <c r="AA100" i="16"/>
  <c r="U1516" i="16"/>
  <c r="P213" i="16"/>
  <c r="N482" i="16"/>
  <c r="W1766" i="16"/>
  <c r="U1771" i="16"/>
  <c r="W859" i="16"/>
  <c r="Y249" i="16"/>
  <c r="L682" i="16"/>
  <c r="Y284" i="16"/>
  <c r="U1453" i="16"/>
  <c r="Y585" i="16"/>
  <c r="W1415" i="16"/>
  <c r="AA554" i="16"/>
  <c r="W305" i="16"/>
  <c r="W33" i="16"/>
  <c r="W1840" i="16"/>
  <c r="AA1124" i="16"/>
  <c r="L653" i="16"/>
  <c r="AC301" i="16"/>
  <c r="W57" i="16"/>
  <c r="AC1215" i="16"/>
  <c r="Y890" i="16"/>
  <c r="L324" i="16"/>
  <c r="Y60" i="16"/>
  <c r="N133" i="16"/>
  <c r="U1061" i="16"/>
  <c r="N186" i="16"/>
  <c r="U540" i="16"/>
  <c r="Y481" i="16"/>
  <c r="N1529" i="16"/>
  <c r="U1733" i="16"/>
  <c r="P1247" i="16"/>
  <c r="L1134" i="16"/>
  <c r="W354" i="16"/>
  <c r="P796" i="16"/>
  <c r="W1623" i="16"/>
  <c r="L1366" i="16"/>
  <c r="U195" i="16"/>
  <c r="N555" i="16"/>
  <c r="P478" i="16"/>
  <c r="N867" i="16"/>
  <c r="Y410" i="16"/>
  <c r="L354" i="16"/>
  <c r="Y713" i="16"/>
  <c r="W301" i="16"/>
  <c r="U165" i="16"/>
  <c r="W807" i="16"/>
  <c r="AC443" i="16"/>
  <c r="Y39" i="16"/>
  <c r="Y198" i="16"/>
  <c r="U36" i="16"/>
  <c r="P85" i="16"/>
  <c r="AA915" i="16"/>
  <c r="AA794" i="16"/>
  <c r="AA815" i="16"/>
  <c r="AA1554" i="16"/>
  <c r="P590" i="16"/>
  <c r="P676" i="16"/>
  <c r="AC1587" i="16"/>
  <c r="N892" i="16"/>
  <c r="L413" i="16"/>
  <c r="L219" i="16"/>
  <c r="P55" i="16"/>
  <c r="Y18" i="16"/>
  <c r="U1149" i="16"/>
  <c r="Y662" i="16"/>
  <c r="Y1098" i="16"/>
  <c r="Y52" i="16"/>
  <c r="AA229" i="16"/>
  <c r="P325" i="16"/>
  <c r="W1329" i="16"/>
  <c r="U304" i="16"/>
  <c r="U212" i="16"/>
  <c r="N70" i="16"/>
  <c r="AA540" i="16"/>
  <c r="AC1018" i="16"/>
  <c r="AA1084" i="16"/>
  <c r="L415" i="16"/>
  <c r="L1005" i="16"/>
  <c r="Y159" i="16"/>
  <c r="W116" i="16"/>
  <c r="L762" i="16"/>
  <c r="AA315" i="16"/>
  <c r="Y102" i="16"/>
  <c r="AA804" i="16"/>
  <c r="W764" i="16"/>
  <c r="AC110" i="16"/>
  <c r="AC889" i="16"/>
  <c r="AA36" i="16"/>
  <c r="L343" i="16"/>
  <c r="AC1642" i="16"/>
  <c r="L364" i="16"/>
  <c r="AA266" i="16"/>
  <c r="P274" i="16"/>
  <c r="AA507" i="16"/>
  <c r="AA1376" i="16"/>
  <c r="Y754" i="16"/>
  <c r="U2001" i="16"/>
  <c r="N1697" i="16"/>
  <c r="AA240" i="16"/>
  <c r="U1529" i="16"/>
  <c r="W963" i="16"/>
  <c r="AA291" i="16"/>
  <c r="AA232" i="16"/>
  <c r="U162" i="16"/>
  <c r="AA287" i="16"/>
  <c r="W855" i="16"/>
  <c r="L698" i="16"/>
  <c r="L614" i="16"/>
  <c r="L356" i="16"/>
  <c r="AA153" i="16"/>
  <c r="U1101" i="16"/>
  <c r="N1084" i="16"/>
  <c r="Y1224" i="16"/>
  <c r="Y398" i="16"/>
  <c r="AA980" i="16"/>
  <c r="U584" i="16"/>
  <c r="Y254" i="16"/>
  <c r="U762" i="16"/>
  <c r="Y404" i="16"/>
  <c r="P288" i="16"/>
  <c r="Y822" i="16"/>
  <c r="P505" i="16"/>
  <c r="U299" i="16"/>
  <c r="U510" i="16"/>
  <c r="AC621" i="16"/>
  <c r="U51" i="16"/>
  <c r="AC491" i="16"/>
  <c r="W265" i="16"/>
  <c r="L659" i="16"/>
  <c r="U1168" i="16"/>
  <c r="AA264" i="16"/>
  <c r="L152" i="16"/>
  <c r="W1085" i="16"/>
  <c r="N750" i="16"/>
  <c r="W365" i="16"/>
  <c r="P12" i="16"/>
  <c r="N152" i="16"/>
  <c r="P716" i="16"/>
  <c r="L522" i="16"/>
  <c r="L436" i="16"/>
  <c r="AA189" i="16"/>
  <c r="W1806" i="16"/>
  <c r="W937" i="16"/>
  <c r="Y282" i="16"/>
  <c r="W280" i="16"/>
  <c r="W51" i="16"/>
  <c r="N1368" i="16"/>
  <c r="W466" i="16"/>
  <c r="P582" i="16"/>
  <c r="AA1273" i="16"/>
  <c r="P1073" i="16"/>
  <c r="P1197" i="16"/>
  <c r="N67" i="16"/>
  <c r="AC665" i="16"/>
  <c r="L820" i="16"/>
  <c r="U958" i="16"/>
  <c r="Y614" i="16"/>
  <c r="W663" i="16"/>
  <c r="L1231" i="16"/>
  <c r="W605" i="16"/>
  <c r="W252" i="16"/>
  <c r="W610" i="16"/>
  <c r="AC188" i="16"/>
  <c r="L1116" i="16"/>
  <c r="P795" i="16"/>
  <c r="N1056" i="16"/>
  <c r="U1452" i="16"/>
  <c r="N75" i="16"/>
  <c r="Y763" i="16"/>
  <c r="W80" i="16"/>
  <c r="L159" i="16"/>
  <c r="U52" i="16"/>
  <c r="N405" i="16"/>
  <c r="U1092" i="16"/>
  <c r="Y791" i="16"/>
  <c r="U739" i="16"/>
  <c r="P189" i="16"/>
  <c r="AA707" i="16"/>
  <c r="U290" i="16"/>
  <c r="L1464" i="16"/>
  <c r="W1789" i="16"/>
  <c r="AC1316" i="16"/>
  <c r="L1208" i="16"/>
  <c r="AC121" i="16"/>
  <c r="AA96" i="16"/>
  <c r="Y1623" i="16"/>
  <c r="P658" i="16"/>
  <c r="U705" i="16"/>
  <c r="P1693" i="16"/>
  <c r="L390" i="16"/>
  <c r="P7" i="16"/>
  <c r="W235" i="16"/>
  <c r="L20" i="16"/>
  <c r="P326" i="16"/>
  <c r="W911" i="16"/>
  <c r="U476" i="16"/>
  <c r="U661" i="16"/>
  <c r="P906" i="16"/>
  <c r="W1360" i="16"/>
  <c r="AC227" i="16"/>
  <c r="Y419" i="16"/>
  <c r="L1203" i="16"/>
  <c r="Y569" i="16"/>
  <c r="Y296" i="16"/>
  <c r="L332" i="16"/>
  <c r="W1279" i="16"/>
  <c r="Y681" i="16"/>
  <c r="AC39" i="16"/>
  <c r="P419" i="16"/>
  <c r="L186" i="16"/>
  <c r="L661" i="16"/>
  <c r="AC390" i="16"/>
  <c r="U991" i="16"/>
  <c r="P1113" i="16"/>
  <c r="L419" i="16"/>
  <c r="U1065" i="16"/>
  <c r="W1661" i="16"/>
  <c r="U307" i="16"/>
  <c r="U1993" i="16"/>
  <c r="P210" i="16"/>
  <c r="W1559" i="16"/>
  <c r="P635" i="16"/>
  <c r="AA517" i="16"/>
  <c r="U367" i="16"/>
  <c r="AA351" i="16"/>
  <c r="U280" i="16"/>
  <c r="W202" i="16"/>
  <c r="P1048" i="16"/>
  <c r="W355" i="16"/>
  <c r="P1130" i="16"/>
  <c r="P328" i="16"/>
  <c r="N815" i="16"/>
  <c r="U87" i="16"/>
  <c r="N612" i="16"/>
  <c r="W1027" i="16"/>
  <c r="L1212" i="16"/>
  <c r="N627" i="16"/>
  <c r="L242" i="16"/>
  <c r="W831" i="16"/>
  <c r="Y108" i="16"/>
  <c r="AC426" i="16"/>
  <c r="N726" i="16"/>
  <c r="Y79" i="16"/>
  <c r="W1049" i="16"/>
  <c r="P356" i="16"/>
  <c r="W920" i="16"/>
  <c r="N345" i="16"/>
  <c r="W341" i="16"/>
  <c r="U1112" i="16"/>
  <c r="AA181" i="16"/>
  <c r="N698" i="16"/>
  <c r="N600" i="16"/>
  <c r="N598" i="16"/>
  <c r="U2031" i="16"/>
  <c r="P442" i="16"/>
  <c r="Y1137" i="16"/>
  <c r="P1569" i="16"/>
  <c r="U658" i="16"/>
  <c r="L844" i="16"/>
  <c r="L671" i="16"/>
  <c r="Y40" i="16"/>
  <c r="L912" i="16"/>
  <c r="L863" i="16"/>
  <c r="N1423" i="16"/>
  <c r="AA781" i="16"/>
  <c r="L664" i="16"/>
  <c r="U83" i="16"/>
  <c r="U1663" i="16"/>
  <c r="N401" i="16"/>
  <c r="N1554" i="16"/>
  <c r="P792" i="16"/>
  <c r="AC186" i="16"/>
  <c r="P664" i="16"/>
  <c r="N397" i="16"/>
  <c r="N42" i="16"/>
  <c r="N307" i="16"/>
  <c r="U1336" i="16"/>
  <c r="N1041" i="16"/>
  <c r="U967" i="16"/>
  <c r="N1481" i="16"/>
  <c r="W416" i="16"/>
  <c r="L291" i="16"/>
  <c r="U170" i="16"/>
  <c r="P298" i="16"/>
  <c r="Y1489" i="16"/>
  <c r="W1011" i="16"/>
  <c r="AA358" i="16"/>
  <c r="L208" i="16"/>
  <c r="L814" i="16"/>
  <c r="P937" i="16"/>
  <c r="AC481" i="16"/>
  <c r="U224" i="16"/>
  <c r="AA42" i="16"/>
  <c r="Y670" i="16"/>
  <c r="AA1344" i="16"/>
  <c r="AA345" i="16"/>
  <c r="N17" i="16"/>
  <c r="N956" i="16"/>
  <c r="AA117" i="16"/>
  <c r="N641" i="16"/>
  <c r="U494" i="16"/>
  <c r="U1749" i="16"/>
  <c r="W1189" i="16"/>
  <c r="P430" i="16"/>
  <c r="W688" i="16"/>
  <c r="L2088" i="16"/>
  <c r="P866" i="16"/>
  <c r="P204" i="16"/>
  <c r="N693" i="16"/>
  <c r="AA1194" i="16"/>
  <c r="W173" i="16"/>
  <c r="N454" i="16"/>
  <c r="Y99" i="16"/>
  <c r="Y433" i="16"/>
  <c r="AC1396" i="16"/>
  <c r="AC96" i="16"/>
  <c r="U850" i="16"/>
  <c r="U2093" i="16"/>
  <c r="W930" i="16"/>
  <c r="Y100" i="16"/>
  <c r="AA926" i="16"/>
  <c r="U1145" i="16"/>
  <c r="U181" i="16"/>
  <c r="AA1220" i="16"/>
  <c r="U1389" i="16"/>
  <c r="N449" i="16"/>
  <c r="Y358" i="16"/>
  <c r="U787" i="16"/>
  <c r="W656" i="16"/>
  <c r="U640" i="16"/>
  <c r="P1560" i="16"/>
  <c r="P1079" i="16"/>
  <c r="U1307" i="16"/>
  <c r="W858" i="16"/>
  <c r="U2128" i="16"/>
  <c r="L200" i="16"/>
  <c r="AC740" i="16"/>
  <c r="L346" i="16"/>
  <c r="N1282" i="16"/>
  <c r="P972" i="16"/>
  <c r="U479" i="16"/>
  <c r="U380" i="16"/>
  <c r="AA1424" i="16"/>
  <c r="P566" i="16"/>
  <c r="AC490" i="16"/>
  <c r="W1196" i="16"/>
  <c r="W1152" i="16"/>
  <c r="AA1019" i="16"/>
  <c r="U1011" i="16"/>
  <c r="U348" i="16"/>
  <c r="L869" i="16"/>
  <c r="AC145" i="16"/>
  <c r="N178" i="16"/>
  <c r="W1109" i="16"/>
  <c r="N212" i="16"/>
  <c r="U1514" i="16"/>
  <c r="U22" i="16"/>
  <c r="W403" i="16"/>
  <c r="L496" i="16"/>
  <c r="W298" i="16"/>
  <c r="AC432" i="16"/>
  <c r="AA509" i="16"/>
  <c r="U1686" i="16"/>
  <c r="AA978" i="16"/>
  <c r="Y202" i="16"/>
  <c r="P1220" i="16"/>
  <c r="U1816" i="16"/>
  <c r="W731" i="16"/>
  <c r="Y663" i="16"/>
  <c r="N357" i="16"/>
  <c r="L782" i="16"/>
  <c r="P488" i="16"/>
  <c r="L10" i="16"/>
  <c r="U289" i="16"/>
  <c r="Y428" i="16"/>
  <c r="AC351" i="16"/>
  <c r="Y212" i="16"/>
  <c r="U418" i="16"/>
  <c r="N504" i="16"/>
  <c r="AC48" i="16"/>
  <c r="U819" i="16"/>
  <c r="AA1128" i="16"/>
  <c r="L112" i="16"/>
  <c r="L414" i="16"/>
  <c r="W535" i="16"/>
  <c r="Y606" i="16"/>
  <c r="P617" i="16"/>
  <c r="L166" i="16"/>
  <c r="P873" i="16"/>
  <c r="Y665" i="16"/>
  <c r="P353" i="16"/>
  <c r="Y1593" i="16"/>
  <c r="N1174" i="16"/>
  <c r="AE1754" i="16"/>
  <c r="U76" i="16"/>
  <c r="AC536" i="16"/>
  <c r="AC126" i="16"/>
  <c r="P603" i="16"/>
  <c r="N682" i="16"/>
  <c r="AC132" i="16"/>
  <c r="N1060" i="16"/>
  <c r="N1058" i="16"/>
  <c r="W88" i="16"/>
  <c r="AC609" i="16"/>
  <c r="U1232" i="16"/>
  <c r="AC31" i="16"/>
  <c r="W573" i="16"/>
  <c r="U810" i="16"/>
  <c r="W1203" i="16"/>
  <c r="U1337" i="16"/>
  <c r="W586" i="16"/>
  <c r="U2135" i="16"/>
  <c r="U274" i="16"/>
  <c r="Y552" i="16"/>
  <c r="P315" i="16"/>
  <c r="U1576" i="16"/>
  <c r="L150" i="16"/>
  <c r="W1653" i="16"/>
  <c r="AA1114" i="16"/>
  <c r="N66" i="16"/>
  <c r="N700" i="16"/>
  <c r="W1758" i="16"/>
  <c r="W1244" i="16"/>
  <c r="AC58" i="16"/>
  <c r="U1108" i="16"/>
  <c r="U1458" i="16"/>
  <c r="L1189" i="16"/>
  <c r="N1593" i="16"/>
  <c r="N160" i="16"/>
  <c r="W567" i="16"/>
  <c r="Y788" i="16"/>
  <c r="AC195" i="16"/>
  <c r="W512" i="16"/>
  <c r="W1255" i="16"/>
  <c r="W719" i="16"/>
  <c r="U1503" i="16"/>
  <c r="U1173" i="16"/>
  <c r="AA1129" i="16"/>
  <c r="W1702" i="16"/>
  <c r="P969" i="16"/>
  <c r="Y1193" i="16"/>
  <c r="N1115" i="16"/>
  <c r="AA829" i="16"/>
  <c r="U1191" i="16"/>
  <c r="AA1099" i="16"/>
  <c r="Y508" i="16"/>
  <c r="W1333" i="16"/>
  <c r="L894" i="16"/>
  <c r="U188" i="16"/>
  <c r="U370" i="16"/>
  <c r="Y58" i="16"/>
  <c r="U2105" i="16"/>
  <c r="Y475" i="16"/>
  <c r="W1276" i="16"/>
  <c r="U791" i="16"/>
  <c r="Y183" i="16"/>
  <c r="W451" i="16"/>
  <c r="U189" i="16"/>
  <c r="Y292" i="16"/>
  <c r="N98" i="16"/>
  <c r="Y89" i="16"/>
  <c r="AC115" i="16"/>
  <c r="AA61" i="16"/>
  <c r="AC1095" i="16"/>
  <c r="U1477" i="16"/>
  <c r="P396" i="16"/>
  <c r="P60" i="16"/>
  <c r="W741" i="16"/>
  <c r="AA1422" i="16"/>
  <c r="Y1652" i="16"/>
  <c r="Y344" i="16"/>
  <c r="Y333" i="16"/>
  <c r="Y724" i="16"/>
  <c r="Y441" i="16"/>
  <c r="N347" i="16"/>
  <c r="W21" i="16"/>
  <c r="Y242" i="16"/>
  <c r="P457" i="16"/>
  <c r="W903" i="16"/>
  <c r="L15" i="16"/>
  <c r="P968" i="16"/>
  <c r="L828" i="16"/>
  <c r="AA1414" i="16"/>
  <c r="Y3" i="16"/>
  <c r="AA204" i="16"/>
  <c r="P510" i="16"/>
  <c r="AA327" i="16"/>
  <c r="P781" i="16"/>
  <c r="U556" i="16"/>
  <c r="AC733" i="16"/>
  <c r="W174" i="16"/>
  <c r="AA716" i="16"/>
  <c r="U174" i="16"/>
  <c r="AA1057" i="16"/>
  <c r="W1364" i="16"/>
  <c r="P1589" i="16"/>
  <c r="N351" i="16"/>
  <c r="AA1503" i="16"/>
  <c r="AA133" i="16"/>
  <c r="W1370" i="16"/>
  <c r="L1610" i="16"/>
  <c r="L70" i="16"/>
  <c r="AC63" i="16"/>
  <c r="AA57" i="16"/>
  <c r="U386" i="16"/>
  <c r="AC1098" i="16"/>
  <c r="W31" i="16"/>
  <c r="W317" i="16"/>
  <c r="U1513" i="16"/>
  <c r="AC427" i="16"/>
  <c r="N303" i="16"/>
  <c r="Y239" i="16"/>
  <c r="W525" i="16"/>
  <c r="AA1090" i="16"/>
  <c r="W979" i="16"/>
  <c r="AA658" i="16"/>
  <c r="W493" i="16"/>
  <c r="W151" i="16"/>
  <c r="W75" i="16"/>
  <c r="U1793" i="16"/>
  <c r="AC94" i="16"/>
  <c r="N637" i="16"/>
  <c r="N916" i="16"/>
  <c r="L1171" i="16"/>
  <c r="P1353" i="16"/>
  <c r="W1418" i="16"/>
  <c r="AC279" i="16"/>
  <c r="AA2105" i="16"/>
  <c r="U482" i="16"/>
  <c r="U463" i="16"/>
  <c r="W1774" i="16"/>
  <c r="U1376" i="16"/>
  <c r="Y66" i="16"/>
  <c r="P1050" i="16"/>
  <c r="N1024" i="16"/>
  <c r="AA384" i="16"/>
  <c r="AC1395" i="16"/>
  <c r="U1279" i="16"/>
  <c r="W1437" i="16"/>
  <c r="U41" i="16"/>
  <c r="W1604" i="16"/>
  <c r="L141" i="16"/>
  <c r="AA1081" i="16"/>
  <c r="W288" i="16"/>
  <c r="U860" i="16"/>
  <c r="L365" i="16"/>
  <c r="W478" i="16"/>
  <c r="L65" i="16"/>
  <c r="Y504" i="16"/>
  <c r="N210" i="16"/>
  <c r="AC244" i="16"/>
  <c r="Y683" i="16"/>
  <c r="Y738" i="16"/>
  <c r="N980" i="16"/>
  <c r="AC820" i="16"/>
  <c r="Y349" i="16"/>
  <c r="P109" i="16"/>
  <c r="L600" i="16"/>
  <c r="U1123" i="16"/>
  <c r="P785" i="16"/>
  <c r="U526" i="16"/>
  <c r="U1180" i="16"/>
  <c r="Y121" i="16"/>
  <c r="W974" i="16"/>
  <c r="P853" i="16"/>
  <c r="W1557" i="16"/>
  <c r="U250" i="16"/>
  <c r="L33" i="16"/>
  <c r="AC1291" i="16"/>
  <c r="P1016" i="16"/>
  <c r="N790" i="16"/>
  <c r="L259" i="16"/>
  <c r="AC782" i="16"/>
  <c r="P1338" i="16"/>
  <c r="N1238" i="16"/>
  <c r="AC246" i="16"/>
  <c r="N1033" i="16"/>
  <c r="W951" i="16"/>
  <c r="L94" i="16"/>
  <c r="W1571" i="16"/>
  <c r="L174" i="16"/>
  <c r="U322" i="16"/>
  <c r="AC899" i="16"/>
  <c r="N1509" i="16"/>
  <c r="U1003" i="16"/>
  <c r="Y13" i="16"/>
  <c r="U1228" i="16"/>
  <c r="AC36" i="16"/>
  <c r="AC947" i="16"/>
  <c r="W1339" i="16"/>
  <c r="L370" i="16"/>
  <c r="U701" i="16"/>
  <c r="N129" i="16"/>
  <c r="L193" i="16"/>
  <c r="AC171" i="16"/>
  <c r="Y488" i="16"/>
  <c r="U674" i="16"/>
  <c r="P42" i="16"/>
  <c r="AC1119" i="16"/>
  <c r="P544" i="16"/>
  <c r="AA404" i="16"/>
  <c r="N409" i="16"/>
  <c r="N843" i="16"/>
  <c r="AA694" i="16"/>
  <c r="W803" i="16"/>
  <c r="Y49" i="16"/>
  <c r="W640" i="16"/>
  <c r="U366" i="16"/>
  <c r="N63" i="16"/>
  <c r="U134" i="16"/>
  <c r="W241" i="16"/>
  <c r="Y725" i="16"/>
  <c r="U1454" i="16"/>
  <c r="W545" i="16"/>
  <c r="AC499" i="16"/>
  <c r="Y703" i="16"/>
  <c r="U1213" i="16"/>
  <c r="W329" i="16"/>
  <c r="AC570" i="16"/>
  <c r="AC66" i="16"/>
  <c r="W1225" i="16"/>
  <c r="U1563" i="16"/>
  <c r="U1066" i="16"/>
  <c r="Y189" i="16"/>
  <c r="W1686" i="16"/>
  <c r="AA167" i="16"/>
  <c r="N792" i="16"/>
  <c r="P688" i="16"/>
  <c r="L906" i="16"/>
  <c r="Y1165" i="16"/>
  <c r="AC694" i="16"/>
  <c r="P98" i="16"/>
  <c r="W549" i="16"/>
  <c r="AA131" i="16"/>
  <c r="L82" i="16"/>
  <c r="W779" i="16"/>
  <c r="Y542" i="16"/>
  <c r="U1363" i="16"/>
  <c r="P1346" i="16"/>
  <c r="P126" i="16"/>
  <c r="W590" i="16"/>
  <c r="L465" i="16"/>
  <c r="N240" i="16"/>
  <c r="P1392" i="16"/>
  <c r="W44" i="16"/>
  <c r="L559" i="16"/>
  <c r="P517" i="16"/>
  <c r="AC684" i="16"/>
  <c r="Y581" i="16"/>
  <c r="AC91" i="16"/>
  <c r="W1751" i="16"/>
  <c r="W487" i="16"/>
  <c r="W373" i="16"/>
  <c r="Y1568" i="16"/>
  <c r="N906" i="16"/>
  <c r="U357" i="16"/>
  <c r="L598" i="16"/>
  <c r="Y747" i="16"/>
  <c r="N484" i="16"/>
  <c r="AC174" i="16"/>
  <c r="W167" i="16"/>
  <c r="W1362" i="16"/>
  <c r="U709" i="16"/>
  <c r="W45" i="16"/>
  <c r="AA66" i="16"/>
  <c r="U420" i="16"/>
  <c r="P1012" i="16"/>
  <c r="W1396" i="16"/>
  <c r="AC1163" i="16"/>
  <c r="AA1238" i="16"/>
  <c r="AA965" i="16"/>
  <c r="W128" i="16"/>
  <c r="U1288" i="16"/>
  <c r="U1056" i="16"/>
  <c r="N545" i="16"/>
  <c r="P835" i="16"/>
  <c r="AA22" i="16"/>
  <c r="L706" i="16"/>
  <c r="Y346" i="16"/>
  <c r="N1266" i="16"/>
  <c r="W1198" i="16"/>
  <c r="AA38" i="16"/>
  <c r="Y1010" i="16"/>
  <c r="N993" i="16"/>
  <c r="U720" i="16"/>
  <c r="AC138" i="16"/>
  <c r="Y407" i="16"/>
  <c r="AA270" i="16"/>
  <c r="U29" i="16"/>
  <c r="W696" i="16"/>
  <c r="AA401" i="16"/>
  <c r="L645" i="16"/>
  <c r="L372" i="16"/>
  <c r="AA68" i="16"/>
  <c r="W1433" i="16"/>
  <c r="N1054" i="16"/>
  <c r="U158" i="16"/>
  <c r="AA1014" i="16"/>
  <c r="W106" i="16"/>
  <c r="AC883" i="16"/>
  <c r="U92" i="16"/>
  <c r="U319" i="16"/>
  <c r="P563" i="16"/>
  <c r="W287" i="16"/>
  <c r="W439" i="16"/>
  <c r="AA136" i="16"/>
  <c r="AC1219" i="16"/>
  <c r="U1769" i="16"/>
  <c r="W1368" i="16"/>
  <c r="U1803" i="16"/>
  <c r="Y1091" i="16"/>
  <c r="U95" i="16"/>
  <c r="N926" i="16"/>
  <c r="AA249" i="16"/>
  <c r="AA67" i="16"/>
  <c r="U603" i="16"/>
  <c r="L517" i="16"/>
  <c r="U362" i="16"/>
  <c r="AC1056" i="16"/>
  <c r="U976" i="16"/>
  <c r="AA1258" i="16"/>
  <c r="U1245" i="16"/>
  <c r="N204" i="16"/>
  <c r="W510" i="16"/>
  <c r="Y1287" i="16"/>
  <c r="N88" i="16"/>
  <c r="L584" i="16"/>
  <c r="Y77" i="16"/>
  <c r="W629" i="16"/>
  <c r="Y1081" i="16"/>
  <c r="AA124" i="16"/>
  <c r="L462" i="16"/>
  <c r="N368" i="16"/>
  <c r="Y1117" i="16"/>
  <c r="Y465" i="16"/>
  <c r="Y211" i="16"/>
  <c r="U216" i="16"/>
  <c r="AC379" i="16"/>
  <c r="W419" i="16"/>
  <c r="P201" i="16"/>
  <c r="U806" i="16"/>
  <c r="P142" i="16"/>
  <c r="Y1121" i="16"/>
  <c r="W352" i="16"/>
  <c r="U868" i="16"/>
  <c r="W895" i="16"/>
  <c r="AC808" i="16"/>
  <c r="U518" i="16"/>
  <c r="Y476" i="16"/>
  <c r="Y798" i="16"/>
  <c r="AA901" i="16"/>
  <c r="U43" i="16"/>
  <c r="P139" i="16"/>
  <c r="P77" i="16"/>
  <c r="U399" i="16"/>
  <c r="Y427" i="16"/>
  <c r="L1403" i="16"/>
  <c r="AC587" i="16"/>
  <c r="W1470" i="16"/>
  <c r="W669" i="16"/>
  <c r="Y74" i="16"/>
  <c r="L1091" i="16"/>
  <c r="N14" i="16"/>
  <c r="P292" i="16"/>
  <c r="N474" i="16"/>
  <c r="L316" i="16"/>
  <c r="W307" i="16"/>
  <c r="AA191" i="16"/>
  <c r="W158" i="16"/>
  <c r="AA123" i="16"/>
  <c r="AA35" i="16"/>
  <c r="W897" i="16"/>
  <c r="AA1088" i="16"/>
  <c r="AA1205" i="16"/>
  <c r="L954" i="16"/>
  <c r="U129" i="16"/>
  <c r="AC939" i="16"/>
  <c r="AC978" i="16"/>
  <c r="Y131" i="16"/>
  <c r="Y1008" i="16"/>
  <c r="W356" i="16"/>
  <c r="Y9" i="16"/>
  <c r="AA1285" i="16"/>
  <c r="L266" i="16"/>
  <c r="AA493" i="16"/>
  <c r="W636" i="16"/>
  <c r="P272" i="16"/>
  <c r="N359" i="16"/>
  <c r="U345" i="16"/>
  <c r="AA1086" i="16"/>
  <c r="AA1397" i="16"/>
  <c r="N787" i="16"/>
  <c r="L1107" i="16"/>
  <c r="P776" i="16"/>
  <c r="L1173" i="16"/>
  <c r="P1453" i="16"/>
  <c r="P270" i="16"/>
  <c r="U1734" i="16"/>
  <c r="L968" i="16"/>
  <c r="AA731" i="16"/>
  <c r="W425" i="16"/>
  <c r="AA231" i="16"/>
  <c r="W2075" i="16"/>
  <c r="P1686" i="16"/>
  <c r="AA159" i="16"/>
  <c r="Y201" i="16"/>
  <c r="U1088" i="16"/>
  <c r="W1130" i="16"/>
  <c r="W486" i="16"/>
  <c r="Y444" i="16"/>
  <c r="W1380" i="16"/>
  <c r="AA634" i="16"/>
  <c r="N318" i="16"/>
  <c r="Y1066" i="16"/>
  <c r="P1229" i="16"/>
  <c r="AA71" i="16"/>
  <c r="Y618" i="16"/>
  <c r="Y1530" i="16"/>
  <c r="AC602" i="16"/>
  <c r="Y719" i="16"/>
  <c r="N1571" i="16"/>
  <c r="L1724" i="16"/>
  <c r="Y406" i="16"/>
  <c r="AA889" i="16"/>
  <c r="Y1314" i="16"/>
  <c r="Y1459" i="16"/>
  <c r="W10" i="16"/>
  <c r="AC327" i="16"/>
  <c r="U1129" i="16"/>
  <c r="AC2021" i="16"/>
  <c r="W631" i="16"/>
  <c r="AC1304" i="16"/>
  <c r="L572" i="16"/>
  <c r="U1301" i="16"/>
  <c r="W318" i="16"/>
  <c r="Y1233" i="16"/>
  <c r="AC869" i="16"/>
  <c r="W482" i="16"/>
  <c r="AA478" i="16"/>
  <c r="P193" i="16"/>
  <c r="N34" i="16"/>
  <c r="AA551" i="16"/>
  <c r="W1797" i="16"/>
  <c r="U191" i="16"/>
  <c r="W548" i="16"/>
  <c r="W1117" i="16"/>
  <c r="P150" i="16"/>
  <c r="AC410" i="16"/>
  <c r="L221" i="16"/>
  <c r="L646" i="16"/>
  <c r="AC403" i="16"/>
  <c r="L582" i="16"/>
  <c r="P1624" i="16"/>
  <c r="AA704" i="16"/>
  <c r="AA536" i="16"/>
  <c r="AA1240" i="16"/>
  <c r="P1149" i="16"/>
  <c r="W65" i="16"/>
  <c r="AA1386" i="16"/>
  <c r="P1253" i="16"/>
  <c r="P830" i="16"/>
  <c r="W331" i="16"/>
  <c r="Y47" i="16"/>
  <c r="W825" i="16"/>
  <c r="P418" i="16"/>
  <c r="L900" i="16"/>
  <c r="U532" i="16"/>
  <c r="AC37" i="16"/>
  <c r="AA239" i="16"/>
  <c r="AC296" i="16"/>
  <c r="P1131" i="16"/>
  <c r="N353" i="16"/>
  <c r="L643" i="16"/>
  <c r="P789" i="16"/>
  <c r="Y512" i="16"/>
  <c r="U15" i="16"/>
  <c r="Y904" i="16"/>
  <c r="Y440" i="16"/>
  <c r="L490" i="16"/>
  <c r="N1415" i="16"/>
  <c r="U757" i="16"/>
  <c r="U1364" i="16"/>
  <c r="AA113" i="16"/>
  <c r="Y772" i="16"/>
  <c r="U31" i="16"/>
  <c r="AC760" i="16"/>
  <c r="AA1300" i="16"/>
  <c r="AA1544" i="16"/>
  <c r="W1783" i="16"/>
  <c r="W102" i="16"/>
  <c r="N106" i="16"/>
  <c r="U531" i="16"/>
  <c r="W593" i="16"/>
  <c r="U398" i="16"/>
  <c r="W473" i="16"/>
  <c r="L381" i="16"/>
  <c r="W1864" i="16"/>
  <c r="AA399" i="16"/>
  <c r="Y1186" i="16"/>
  <c r="AA1400" i="16"/>
  <c r="Y1034" i="16"/>
  <c r="W539" i="16"/>
  <c r="AA97" i="16"/>
  <c r="W165" i="16"/>
  <c r="N908" i="16"/>
  <c r="L804" i="16"/>
  <c r="L333" i="16"/>
  <c r="AC655" i="16"/>
  <c r="AC521" i="16"/>
  <c r="AC1129" i="16"/>
  <c r="AC375" i="16"/>
  <c r="W986" i="16"/>
  <c r="N304" i="16"/>
  <c r="P1046" i="16"/>
  <c r="U1519" i="16"/>
  <c r="P359" i="16"/>
  <c r="AC83" i="16"/>
  <c r="L215" i="16"/>
  <c r="P692" i="16"/>
  <c r="L401" i="16"/>
  <c r="Y308" i="16"/>
  <c r="W1263" i="16"/>
  <c r="U169" i="16"/>
  <c r="Y247" i="16"/>
  <c r="N1306" i="16"/>
  <c r="P376" i="16"/>
  <c r="P1018" i="16"/>
  <c r="W652" i="16"/>
  <c r="U1809" i="16"/>
  <c r="AE1845" i="16"/>
  <c r="W900" i="16"/>
  <c r="P65" i="16"/>
  <c r="AA494" i="16"/>
  <c r="U1762" i="16"/>
  <c r="W565" i="16"/>
  <c r="P1405" i="16"/>
  <c r="P129" i="16"/>
  <c r="AC135" i="16"/>
  <c r="Y186" i="16"/>
  <c r="AC640" i="16"/>
  <c r="Y1357" i="16"/>
  <c r="U1200" i="16"/>
  <c r="Y10" i="16"/>
  <c r="AC1741" i="16"/>
  <c r="N1223" i="16"/>
  <c r="P1187" i="16"/>
  <c r="L801" i="16"/>
  <c r="U387" i="16"/>
  <c r="U2039" i="16"/>
  <c r="U1165" i="16"/>
  <c r="P619" i="16"/>
  <c r="Y784" i="16"/>
  <c r="Y415" i="16"/>
  <c r="U1068" i="16"/>
  <c r="U314" i="16"/>
  <c r="L1571" i="16"/>
  <c r="AA887" i="16"/>
  <c r="AA23" i="16"/>
  <c r="W913" i="16"/>
  <c r="AA888" i="16"/>
  <c r="W712" i="16"/>
  <c r="U439" i="16"/>
  <c r="AA579" i="16"/>
  <c r="L371" i="16"/>
  <c r="P1302" i="16"/>
  <c r="U1559" i="16"/>
  <c r="L792" i="16"/>
  <c r="AC270" i="16"/>
  <c r="N669" i="16"/>
  <c r="Y365" i="16"/>
  <c r="N446" i="16"/>
  <c r="P337" i="16"/>
  <c r="P1192" i="16"/>
  <c r="N83" i="16"/>
  <c r="W724" i="16"/>
  <c r="P100" i="16"/>
  <c r="N642" i="16"/>
  <c r="U803" i="16"/>
  <c r="N507" i="16"/>
  <c r="U727" i="16"/>
  <c r="P30" i="16"/>
  <c r="N271" i="16"/>
  <c r="Y888" i="16"/>
  <c r="Y500" i="16"/>
  <c r="AA733" i="16"/>
  <c r="P772" i="16"/>
  <c r="AA1461" i="16"/>
  <c r="L373" i="16"/>
  <c r="W1150" i="16"/>
  <c r="P614" i="16"/>
  <c r="N1136" i="16"/>
  <c r="N193" i="16"/>
  <c r="W772" i="16"/>
  <c r="AC371" i="16"/>
  <c r="L1172" i="16"/>
  <c r="U688" i="16"/>
  <c r="AC1461" i="16"/>
  <c r="Y35" i="16"/>
  <c r="N742" i="16"/>
  <c r="W500" i="16"/>
  <c r="L1500" i="16"/>
  <c r="U1008" i="16"/>
  <c r="AA652" i="16"/>
  <c r="W517" i="16"/>
  <c r="L593" i="16"/>
  <c r="AC257" i="16"/>
  <c r="Y646" i="16"/>
  <c r="AC988" i="16"/>
  <c r="N780" i="16"/>
  <c r="L1146" i="16"/>
  <c r="Y363" i="16"/>
  <c r="AC1487" i="16"/>
  <c r="U602" i="16"/>
  <c r="W1161" i="16"/>
  <c r="Y638" i="16"/>
  <c r="N29" i="16"/>
  <c r="W659" i="16"/>
  <c r="N94" i="16"/>
  <c r="Y706" i="16"/>
  <c r="P1106" i="16"/>
  <c r="L243" i="16"/>
  <c r="U270" i="16"/>
  <c r="AA969" i="16"/>
  <c r="AC1610" i="16"/>
  <c r="U1153" i="16"/>
  <c r="L516" i="16"/>
  <c r="Y234" i="16"/>
  <c r="AA1108" i="16"/>
  <c r="P467" i="16"/>
  <c r="U391" i="16"/>
  <c r="L918" i="16"/>
  <c r="P490" i="16"/>
  <c r="N37" i="16"/>
  <c r="P762" i="16"/>
  <c r="Y524" i="16"/>
  <c r="Y1156" i="16"/>
  <c r="U156" i="16"/>
  <c r="U254" i="16"/>
  <c r="AC56" i="16"/>
  <c r="U1063" i="16"/>
  <c r="L472" i="16"/>
  <c r="N590" i="16"/>
  <c r="Y418" i="16"/>
  <c r="Y304" i="16"/>
  <c r="L1179" i="16"/>
  <c r="AC1207" i="16"/>
  <c r="L1200" i="16"/>
  <c r="AA923" i="16"/>
  <c r="Y829" i="16"/>
  <c r="U975" i="16"/>
  <c r="U1291" i="16"/>
  <c r="N473" i="16"/>
  <c r="P459" i="16"/>
  <c r="N80" i="16"/>
  <c r="W259" i="16"/>
  <c r="AC3" i="16"/>
  <c r="P553" i="16"/>
  <c r="U553" i="16"/>
  <c r="N341" i="16"/>
  <c r="AA465" i="16"/>
  <c r="N1108" i="16"/>
  <c r="W1335" i="16"/>
  <c r="U2034" i="16"/>
  <c r="P86" i="16"/>
  <c r="AA1703" i="16"/>
  <c r="N370" i="16"/>
  <c r="AA87" i="16"/>
  <c r="AC716" i="16"/>
  <c r="Y8" i="16"/>
  <c r="U1328" i="16"/>
  <c r="L428" i="16"/>
  <c r="U39" i="16"/>
  <c r="AA243" i="16"/>
  <c r="Y779" i="16"/>
  <c r="W82" i="16"/>
  <c r="AC420" i="16"/>
  <c r="P183" i="16"/>
  <c r="N1351" i="16"/>
  <c r="AA30" i="16"/>
  <c r="U1654" i="16"/>
  <c r="Y154" i="16"/>
  <c r="P277" i="16"/>
  <c r="Y943" i="16"/>
  <c r="N638" i="16"/>
  <c r="L491" i="16"/>
  <c r="Y1500" i="16"/>
  <c r="U1085" i="16"/>
  <c r="L525" i="16"/>
  <c r="W150" i="16"/>
  <c r="U1802" i="16"/>
  <c r="P979" i="16"/>
  <c r="P121" i="16"/>
  <c r="P410" i="16"/>
  <c r="L89" i="16"/>
  <c r="U719" i="16"/>
  <c r="W1221" i="16"/>
  <c r="AA826" i="16"/>
  <c r="U248" i="16"/>
  <c r="N28" i="16"/>
  <c r="L850" i="16"/>
  <c r="W1767" i="16"/>
  <c r="U577" i="16"/>
  <c r="Y716" i="16"/>
  <c r="Y1381" i="16"/>
  <c r="P774" i="16"/>
  <c r="U1751" i="16"/>
  <c r="Y355" i="16"/>
  <c r="AC238" i="16"/>
  <c r="P735" i="16"/>
  <c r="W326" i="16"/>
  <c r="AC129" i="16"/>
  <c r="AA192" i="16"/>
  <c r="P1033" i="16"/>
  <c r="L1034" i="16"/>
  <c r="N1650" i="16"/>
  <c r="N102" i="16"/>
  <c r="N413" i="16"/>
  <c r="AC298" i="16"/>
  <c r="W924" i="16"/>
  <c r="U1215" i="16"/>
  <c r="U1072" i="16"/>
  <c r="L103" i="16"/>
  <c r="P752" i="16"/>
  <c r="P153" i="16"/>
  <c r="U1495" i="16"/>
  <c r="N1296" i="16"/>
  <c r="U1379" i="16"/>
  <c r="AC447" i="16"/>
  <c r="Y451" i="16"/>
  <c r="AA29" i="16"/>
  <c r="W364" i="16"/>
  <c r="N1391" i="16"/>
  <c r="L3" i="16"/>
  <c r="P72" i="16"/>
  <c r="AC802" i="16"/>
  <c r="L752" i="16"/>
  <c r="L1055" i="16"/>
  <c r="AA422" i="16"/>
  <c r="N177" i="16"/>
  <c r="AA442" i="16"/>
  <c r="AA224" i="16"/>
  <c r="L274" i="16"/>
  <c r="N1177" i="16"/>
  <c r="W1543" i="16"/>
  <c r="W1808" i="16"/>
  <c r="AA307" i="16"/>
  <c r="P1196" i="16"/>
  <c r="U1365" i="16"/>
  <c r="W1292" i="16"/>
  <c r="L720" i="16"/>
  <c r="P6" i="16"/>
  <c r="W943" i="16"/>
  <c r="AC176" i="16"/>
  <c r="AC1160" i="16"/>
  <c r="L84" i="16"/>
  <c r="AC1398" i="16"/>
  <c r="AE1910" i="16"/>
  <c r="AA119" i="16"/>
  <c r="AA383" i="16"/>
  <c r="U957" i="16"/>
  <c r="Y853" i="16"/>
  <c r="Y528" i="16"/>
  <c r="AC757" i="16"/>
  <c r="W1781" i="16"/>
  <c r="W783" i="16"/>
  <c r="P58" i="16"/>
  <c r="W2083" i="16"/>
  <c r="U1233" i="16"/>
  <c r="AC400" i="16"/>
  <c r="AC510" i="16"/>
  <c r="N1071" i="16"/>
  <c r="U668" i="16"/>
  <c r="W707" i="16"/>
  <c r="N340" i="16"/>
  <c r="N136" i="16"/>
  <c r="N257" i="16"/>
  <c r="U97" i="16"/>
  <c r="L202" i="16"/>
  <c r="AA845" i="16"/>
  <c r="AC215" i="16"/>
  <c r="Y390" i="16"/>
  <c r="U885" i="16"/>
  <c r="U502" i="16"/>
  <c r="Y1457" i="16"/>
  <c r="N308" i="16"/>
  <c r="AC458" i="16"/>
  <c r="W503" i="16"/>
  <c r="W674" i="16"/>
  <c r="AA689" i="16"/>
  <c r="U724" i="16"/>
  <c r="P1389" i="16"/>
  <c r="U119" i="16"/>
  <c r="P309" i="16"/>
  <c r="Y276" i="16"/>
  <c r="P10" i="16"/>
  <c r="U813" i="16"/>
  <c r="N602" i="16"/>
  <c r="W774" i="16"/>
  <c r="AC980" i="16"/>
  <c r="Y326" i="16"/>
  <c r="L453" i="16"/>
  <c r="AC14" i="16"/>
  <c r="U944" i="16"/>
  <c r="W726" i="16"/>
  <c r="W822" i="16"/>
  <c r="Y632" i="16"/>
  <c r="AC1619" i="16"/>
  <c r="N493" i="16"/>
  <c r="W748" i="16"/>
  <c r="W196" i="16"/>
  <c r="Y775" i="16"/>
  <c r="L366" i="16"/>
  <c r="U1482" i="16"/>
  <c r="P701" i="16"/>
  <c r="W1104" i="16"/>
  <c r="P305" i="16"/>
  <c r="AC234" i="16"/>
  <c r="Y381" i="16"/>
  <c r="W1523" i="16"/>
  <c r="P524" i="16"/>
  <c r="N328" i="16"/>
  <c r="W1324" i="16"/>
  <c r="AC754" i="16"/>
  <c r="P1486" i="16"/>
  <c r="N442" i="16"/>
  <c r="AA891" i="16"/>
  <c r="AC921" i="16"/>
  <c r="U1357" i="16"/>
  <c r="N315" i="16"/>
  <c r="AC973" i="16"/>
  <c r="AC175" i="16"/>
  <c r="W2127" i="16"/>
  <c r="U524" i="16"/>
  <c r="Y318" i="16"/>
  <c r="W108" i="16"/>
  <c r="P811" i="16"/>
  <c r="L30" i="16"/>
  <c r="P75" i="16"/>
  <c r="Y203" i="16"/>
  <c r="W1515" i="16"/>
  <c r="U1135" i="16"/>
  <c r="W1010" i="16"/>
  <c r="W1527" i="16"/>
  <c r="W676" i="16"/>
  <c r="Y499" i="16"/>
  <c r="P38" i="16"/>
  <c r="W1385" i="16"/>
  <c r="U384" i="16"/>
  <c r="Y501" i="16"/>
  <c r="P944" i="16"/>
  <c r="L871" i="16"/>
  <c r="U1231" i="16"/>
  <c r="Y301" i="16"/>
  <c r="AA606" i="16"/>
  <c r="AC915" i="16"/>
  <c r="N809" i="16"/>
  <c r="L996" i="16"/>
  <c r="AC546" i="16"/>
  <c r="W729" i="16"/>
  <c r="N1441" i="16"/>
  <c r="P1619" i="16"/>
  <c r="N1664" i="16"/>
  <c r="Y4" i="16"/>
  <c r="AC1213" i="16"/>
  <c r="Y1636" i="16"/>
  <c r="P56" i="16"/>
  <c r="Y464" i="16"/>
  <c r="Y793" i="16"/>
  <c r="U2143" i="16"/>
  <c r="U912" i="16"/>
  <c r="W138" i="16"/>
  <c r="W568" i="16"/>
  <c r="N1097" i="16"/>
  <c r="AC1452" i="16"/>
  <c r="Y32" i="16"/>
  <c r="AA1218" i="16"/>
  <c r="N150" i="16"/>
  <c r="U986" i="16"/>
  <c r="U414" i="16"/>
  <c r="U1184" i="16"/>
  <c r="AC1591" i="16"/>
  <c r="N20" i="16"/>
  <c r="Y1068" i="16"/>
  <c r="P528" i="16"/>
  <c r="AA166" i="16"/>
  <c r="P19" i="16"/>
  <c r="W117" i="16"/>
  <c r="W709" i="16"/>
  <c r="U365" i="16"/>
  <c r="N436" i="16"/>
  <c r="AC134" i="16"/>
  <c r="P59" i="16"/>
  <c r="U1239" i="16"/>
  <c r="P175" i="16"/>
  <c r="U669" i="16"/>
  <c r="W1707" i="16"/>
  <c r="N39" i="16"/>
  <c r="W1442" i="16"/>
  <c r="Y534" i="16"/>
  <c r="P763" i="16"/>
  <c r="L1293" i="16"/>
  <c r="U1506" i="16"/>
  <c r="U1637" i="16"/>
  <c r="N445" i="16"/>
  <c r="N211" i="16"/>
  <c r="W279" i="16"/>
  <c r="N584" i="16"/>
  <c r="L1476" i="16"/>
  <c r="N686" i="16"/>
  <c r="P208" i="16"/>
  <c r="N89" i="16"/>
  <c r="U318" i="16"/>
  <c r="U1409" i="16"/>
  <c r="L725" i="16"/>
  <c r="N390" i="16"/>
  <c r="P24" i="16"/>
  <c r="P221" i="16"/>
  <c r="W599" i="16"/>
  <c r="AC436" i="16"/>
  <c r="AC1212" i="16"/>
  <c r="P177" i="16"/>
  <c r="Y95" i="16"/>
  <c r="AA1348" i="16"/>
  <c r="L1248" i="16"/>
  <c r="U802" i="16"/>
  <c r="AA325" i="16"/>
  <c r="AA1265" i="16"/>
  <c r="AC739" i="16"/>
  <c r="W873" i="16"/>
  <c r="AA924" i="16"/>
  <c r="AA370" i="16"/>
  <c r="W1192" i="16"/>
  <c r="U404" i="16"/>
  <c r="N1103" i="16"/>
  <c r="W1392" i="16"/>
  <c r="AA407" i="16"/>
  <c r="P349" i="16"/>
  <c r="N1176" i="16"/>
  <c r="W1756" i="16"/>
  <c r="AC51" i="16"/>
  <c r="AA814" i="16"/>
  <c r="L1376" i="16"/>
  <c r="AA1202" i="16"/>
  <c r="P240" i="16"/>
  <c r="AC1307" i="16"/>
  <c r="W1511" i="16"/>
  <c r="L247" i="16"/>
  <c r="AC21" i="16"/>
  <c r="P1225" i="16"/>
  <c r="U590" i="16"/>
  <c r="AA725" i="16"/>
  <c r="P561" i="16"/>
  <c r="N410" i="16"/>
  <c r="W221" i="16"/>
  <c r="AC198" i="16"/>
  <c r="U37" i="16"/>
  <c r="AC173" i="16"/>
  <c r="N1610" i="16"/>
  <c r="U1150" i="16"/>
  <c r="Y473" i="16"/>
  <c r="N729" i="16"/>
  <c r="Y248" i="16"/>
  <c r="P69" i="16"/>
  <c r="N1708" i="16"/>
  <c r="AA1182" i="16"/>
  <c r="AA623" i="16"/>
  <c r="U702" i="16"/>
  <c r="Y658" i="16"/>
  <c r="AC1267" i="16"/>
  <c r="AC407" i="16"/>
  <c r="AA19" i="16"/>
  <c r="L1380" i="16"/>
  <c r="Y858" i="16"/>
  <c r="N174" i="16"/>
  <c r="N775" i="16"/>
  <c r="Y264" i="16"/>
  <c r="W1140" i="16"/>
  <c r="AC184" i="16"/>
  <c r="U1539" i="16"/>
  <c r="N1383" i="16"/>
  <c r="P237" i="16"/>
  <c r="P813" i="16"/>
  <c r="AC33" i="16"/>
  <c r="N103" i="16"/>
  <c r="AC1116" i="16"/>
  <c r="N592" i="16"/>
  <c r="Y946" i="16"/>
  <c r="U1621" i="16"/>
  <c r="Y723" i="16"/>
  <c r="W608" i="16"/>
  <c r="P706" i="16"/>
  <c r="U474" i="16"/>
  <c r="Y140" i="16"/>
  <c r="Y1419" i="16"/>
  <c r="Y1087" i="16"/>
  <c r="L662" i="16"/>
  <c r="U58" i="16"/>
  <c r="N1045" i="16"/>
  <c r="U1743" i="16"/>
  <c r="P1419" i="16"/>
  <c r="W607" i="16"/>
  <c r="L2" i="16"/>
  <c r="Y1260" i="16"/>
  <c r="U309" i="16"/>
  <c r="N762" i="16"/>
  <c r="Y782" i="16"/>
  <c r="AA342" i="16"/>
  <c r="Y228" i="16"/>
  <c r="W863" i="16"/>
  <c r="AA82" i="16"/>
  <c r="Y385" i="16"/>
  <c r="U1531" i="16"/>
  <c r="Y1138" i="16"/>
  <c r="U210" i="16"/>
  <c r="AA394" i="16"/>
  <c r="W2054" i="16"/>
  <c r="L254" i="16"/>
  <c r="L811" i="16"/>
  <c r="Y572" i="16"/>
  <c r="U789" i="16"/>
  <c r="L816" i="16"/>
  <c r="U265" i="16"/>
  <c r="P628" i="16"/>
  <c r="L262" i="16"/>
  <c r="U24" i="16"/>
  <c r="W475" i="16"/>
  <c r="U1735" i="16"/>
  <c r="U1727" i="16"/>
  <c r="P324" i="16"/>
  <c r="AA33" i="16"/>
  <c r="W916" i="16"/>
  <c r="N440" i="16"/>
  <c r="Y75" i="16"/>
  <c r="P504" i="16"/>
  <c r="N736" i="16"/>
  <c r="AC1076" i="16"/>
  <c r="U1456" i="16"/>
  <c r="AC486" i="16"/>
  <c r="AA109" i="16"/>
  <c r="AC422" i="16"/>
  <c r="N1751" i="16"/>
  <c r="U107" i="16"/>
  <c r="N463" i="16"/>
  <c r="U1753" i="16"/>
  <c r="N919" i="16"/>
  <c r="AC1143" i="16"/>
  <c r="AA322" i="16"/>
  <c r="U1467" i="16"/>
  <c r="P33" i="16"/>
  <c r="Y448" i="16"/>
  <c r="AA1146" i="16"/>
  <c r="W843" i="16"/>
  <c r="P232" i="16"/>
  <c r="Y730" i="16"/>
  <c r="U117" i="16"/>
  <c r="AC315" i="16"/>
  <c r="W521" i="16"/>
  <c r="Y693" i="16"/>
  <c r="N30" i="16"/>
  <c r="L892" i="16"/>
  <c r="L447" i="16"/>
  <c r="W309" i="16"/>
  <c r="W226" i="16"/>
  <c r="N1222" i="16"/>
  <c r="W1772" i="16"/>
  <c r="U350" i="16"/>
  <c r="Y483" i="16"/>
  <c r="L503" i="16"/>
  <c r="AC1272" i="16"/>
  <c r="AC607" i="16"/>
  <c r="Y11" i="16"/>
  <c r="AC71" i="16"/>
  <c r="U7" i="16"/>
  <c r="L1627" i="16"/>
  <c r="L211" i="16"/>
  <c r="L586" i="16"/>
  <c r="U1193" i="16"/>
  <c r="U2000" i="16"/>
  <c r="N335" i="16"/>
  <c r="W1275" i="16"/>
  <c r="W16" i="16"/>
  <c r="P414" i="16"/>
  <c r="U700" i="16"/>
  <c r="L182" i="16"/>
  <c r="N58" i="16"/>
  <c r="U666" i="16"/>
  <c r="P71" i="16"/>
  <c r="W536" i="16"/>
  <c r="L675" i="16"/>
  <c r="U1280" i="16"/>
  <c r="W433" i="16"/>
  <c r="N187" i="16"/>
  <c r="N1424" i="16"/>
  <c r="U551" i="16"/>
  <c r="AA925" i="16"/>
  <c r="N1326" i="16"/>
  <c r="L431" i="16"/>
  <c r="W312" i="16"/>
  <c r="AC316" i="16"/>
  <c r="L252" i="16"/>
  <c r="AA559" i="16"/>
  <c r="N101" i="16"/>
  <c r="P423" i="16"/>
  <c r="AC130" i="16"/>
  <c r="AA303" i="16"/>
  <c r="W615" i="16"/>
  <c r="U1817" i="16"/>
  <c r="W534" i="16"/>
  <c r="L948" i="16"/>
  <c r="N16" i="16"/>
  <c r="U1057" i="16"/>
  <c r="AA1198" i="16"/>
  <c r="U728" i="16"/>
  <c r="Y1232" i="16"/>
  <c r="AC730" i="16"/>
  <c r="U21" i="16"/>
  <c r="N851" i="16"/>
  <c r="W1755" i="16"/>
  <c r="N1270" i="16"/>
  <c r="W1387" i="16"/>
  <c r="P1061" i="16"/>
  <c r="W515" i="16"/>
  <c r="U1478" i="16"/>
  <c r="P1260" i="16"/>
  <c r="AC395" i="16"/>
  <c r="AC323" i="16"/>
  <c r="L776" i="16"/>
  <c r="W2035" i="16"/>
  <c r="AC1686" i="16"/>
  <c r="L1672" i="16"/>
  <c r="L407" i="16"/>
  <c r="AC346" i="16"/>
  <c r="P329" i="16"/>
  <c r="AC1309" i="16"/>
  <c r="AC206" i="16"/>
  <c r="Y431" i="16"/>
  <c r="U535" i="16"/>
  <c r="L797" i="16"/>
  <c r="L518" i="16"/>
  <c r="U533" i="16"/>
  <c r="U1784" i="16"/>
  <c r="Y602" i="16"/>
  <c r="AC275" i="16"/>
  <c r="L124" i="16"/>
  <c r="L1088" i="16"/>
  <c r="Y256" i="16"/>
  <c r="W1264" i="16"/>
  <c r="W1409" i="16"/>
  <c r="L1229" i="16"/>
  <c r="P707" i="16"/>
  <c r="AC26" i="16"/>
  <c r="N1731" i="16"/>
  <c r="U1080" i="16"/>
  <c r="AC205" i="16"/>
  <c r="W207" i="16"/>
  <c r="N1131" i="16"/>
  <c r="N389" i="16"/>
  <c r="Y659" i="16"/>
  <c r="Y250" i="16"/>
  <c r="AC289" i="16"/>
  <c r="L1399" i="16"/>
  <c r="Y616" i="16"/>
  <c r="N144" i="16"/>
  <c r="W454" i="16"/>
  <c r="Y414" i="16"/>
  <c r="W1341" i="16"/>
  <c r="P295" i="16"/>
  <c r="AA931" i="16"/>
  <c r="L1905" i="16"/>
  <c r="AA1217" i="16"/>
  <c r="W955" i="16"/>
  <c r="U1787" i="16"/>
  <c r="L267" i="16"/>
  <c r="W405" i="16"/>
  <c r="W1113" i="16"/>
  <c r="U731" i="16"/>
  <c r="L177" i="16"/>
  <c r="P943" i="16"/>
  <c r="AC1403" i="16"/>
  <c r="U1494" i="16"/>
  <c r="AA790" i="16"/>
  <c r="AA226" i="16"/>
  <c r="P34" i="16"/>
  <c r="Y717" i="16"/>
  <c r="AC877" i="16"/>
  <c r="U112" i="16"/>
  <c r="AC630" i="16"/>
  <c r="AC240" i="16"/>
  <c r="W1216" i="16"/>
  <c r="U213" i="16"/>
  <c r="W382" i="16"/>
  <c r="AC1087" i="16"/>
  <c r="U1039" i="16"/>
  <c r="N1042" i="16"/>
  <c r="W357" i="16"/>
  <c r="P1718" i="16"/>
  <c r="L480" i="16"/>
  <c r="Y245" i="16"/>
  <c r="U1033" i="16"/>
  <c r="U1073" i="16"/>
  <c r="N793" i="16"/>
  <c r="U1133" i="16"/>
  <c r="AC1032" i="16"/>
  <c r="Y1482" i="16"/>
  <c r="N905" i="16"/>
  <c r="Y19" i="16"/>
  <c r="W183" i="16"/>
  <c r="W708" i="16"/>
  <c r="W127" i="16"/>
  <c r="AC574" i="16"/>
  <c r="Y178" i="16"/>
  <c r="U1113" i="16"/>
  <c r="W2139" i="16"/>
  <c r="AA921" i="16"/>
  <c r="W909" i="16"/>
  <c r="N173" i="16"/>
  <c r="Y636" i="16"/>
  <c r="AA1076" i="16"/>
  <c r="W188" i="16"/>
  <c r="P769" i="16"/>
  <c r="L924" i="16"/>
  <c r="AA624" i="16"/>
  <c r="P392" i="16"/>
  <c r="U1683" i="16"/>
  <c r="Y753" i="16"/>
  <c r="AA225" i="16"/>
  <c r="W717" i="16"/>
  <c r="L931" i="16"/>
  <c r="U1759" i="16"/>
  <c r="N1330" i="16"/>
  <c r="L287" i="16"/>
  <c r="P983" i="16"/>
  <c r="L838" i="16"/>
  <c r="N1012" i="16"/>
  <c r="N441" i="16"/>
  <c r="L1425" i="16"/>
  <c r="AC1343" i="16"/>
  <c r="Y364" i="16"/>
  <c r="L872" i="16"/>
  <c r="L397" i="16"/>
  <c r="AA487" i="16"/>
  <c r="Y1153" i="16"/>
  <c r="U133" i="16"/>
  <c r="U2059" i="16"/>
  <c r="P727" i="16"/>
  <c r="Y1404" i="16"/>
  <c r="Y932" i="16"/>
  <c r="AA140" i="16"/>
  <c r="P454" i="16"/>
  <c r="Y790" i="16"/>
  <c r="N657" i="16"/>
  <c r="AA578" i="16"/>
  <c r="W23" i="16"/>
  <c r="N250" i="16"/>
  <c r="P1211" i="16"/>
  <c r="AA1433" i="16"/>
  <c r="P363" i="16"/>
  <c r="N114" i="16"/>
  <c r="Y55" i="16"/>
  <c r="W393" i="16"/>
  <c r="N1338" i="16"/>
  <c r="AC360" i="16"/>
  <c r="W2071" i="16"/>
  <c r="Y535" i="16"/>
  <c r="N853" i="16"/>
  <c r="U1416" i="16"/>
  <c r="P1146" i="16"/>
  <c r="L739" i="16"/>
  <c r="N664" i="16"/>
  <c r="L289" i="16"/>
  <c r="AC530" i="16"/>
  <c r="N1018" i="16"/>
  <c r="W551" i="16"/>
  <c r="AC561" i="16"/>
  <c r="N801" i="16"/>
  <c r="W244" i="16"/>
  <c r="AA900" i="16"/>
  <c r="P1398" i="16"/>
  <c r="AC439" i="16"/>
  <c r="Y233" i="16"/>
  <c r="W597" i="16"/>
  <c r="N569" i="16"/>
  <c r="U149" i="16"/>
  <c r="AA1122" i="16"/>
  <c r="W658" i="16"/>
  <c r="P319" i="16"/>
  <c r="W671" i="16"/>
  <c r="AC748" i="16"/>
  <c r="N377" i="16"/>
  <c r="W148" i="16"/>
  <c r="P68" i="16"/>
  <c r="AA319" i="16"/>
  <c r="Y386" i="16"/>
  <c r="Y509" i="16"/>
  <c r="W603" i="16"/>
  <c r="AA1249" i="16"/>
  <c r="AA259" i="16"/>
  <c r="Y30" i="16"/>
  <c r="AC596" i="16"/>
  <c r="W883" i="16"/>
  <c r="N578" i="16"/>
  <c r="P303" i="16"/>
  <c r="Y1247" i="16"/>
  <c r="W655" i="16"/>
  <c r="P111" i="16"/>
  <c r="AC1065" i="16"/>
  <c r="P461" i="16"/>
  <c r="AC119" i="16"/>
  <c r="U1605" i="16"/>
  <c r="U1140" i="16"/>
  <c r="AA253" i="16"/>
  <c r="N969" i="16"/>
  <c r="AA355" i="16"/>
  <c r="AA922" i="16"/>
  <c r="W431" i="16"/>
  <c r="N1521" i="16"/>
  <c r="U232" i="16"/>
  <c r="AC1058" i="16"/>
  <c r="P475" i="16"/>
  <c r="Y511" i="16"/>
  <c r="U685" i="16"/>
  <c r="P564" i="16"/>
  <c r="AA440" i="16"/>
  <c r="AA1296" i="16"/>
  <c r="U121" i="16"/>
  <c r="P897" i="16"/>
  <c r="Y660" i="16"/>
  <c r="U467" i="16"/>
  <c r="W227" i="16"/>
  <c r="N942" i="16"/>
  <c r="AC890" i="16"/>
  <c r="U192" i="16"/>
  <c r="U569" i="16"/>
  <c r="U1229" i="16"/>
  <c r="Y125" i="16"/>
  <c r="W528" i="16"/>
  <c r="AA1264" i="16"/>
  <c r="U1515" i="16"/>
  <c r="AA946" i="16"/>
  <c r="L144" i="16"/>
  <c r="W653" i="16"/>
  <c r="U1015" i="16"/>
  <c r="N220" i="16"/>
  <c r="N4" i="16"/>
  <c r="AC1130" i="16"/>
  <c r="AA1259" i="16"/>
  <c r="AC1724" i="16"/>
  <c r="Y290" i="16"/>
  <c r="P737" i="16"/>
  <c r="N469" i="16"/>
  <c r="U1360" i="16"/>
  <c r="U1426" i="16"/>
  <c r="N589" i="16"/>
  <c r="W64" i="16"/>
  <c r="N951" i="16"/>
  <c r="AA468" i="16"/>
  <c r="AA947" i="16"/>
  <c r="U136" i="16"/>
  <c r="U1372" i="16"/>
  <c r="W166" i="16"/>
  <c r="L410" i="16"/>
  <c r="P302" i="16"/>
  <c r="Y633" i="16"/>
  <c r="N110" i="16"/>
  <c r="Y1009" i="16"/>
  <c r="W982" i="16"/>
  <c r="Y700" i="16"/>
  <c r="U161" i="16"/>
  <c r="Y1358" i="16"/>
  <c r="AA1185" i="16"/>
  <c r="AA328" i="16"/>
  <c r="AC841" i="16"/>
  <c r="AC515" i="16"/>
  <c r="Y22" i="16"/>
  <c r="W338" i="16"/>
  <c r="L393" i="16"/>
  <c r="W1606" i="16"/>
  <c r="P296" i="16"/>
  <c r="Y128" i="16"/>
  <c r="U1534" i="16"/>
  <c r="N1141" i="16"/>
  <c r="AC1269" i="16"/>
  <c r="Y710" i="16"/>
  <c r="L786" i="16"/>
  <c r="Y173" i="16"/>
  <c r="U1666" i="16"/>
  <c r="W1801" i="16"/>
  <c r="L39" i="16"/>
  <c r="Y298" i="16"/>
  <c r="U695" i="16"/>
  <c r="L708" i="16"/>
  <c r="AC520" i="16"/>
  <c r="AC107" i="16"/>
  <c r="L307" i="16"/>
  <c r="AC24" i="16"/>
  <c r="AA447" i="16"/>
  <c r="AA769" i="16"/>
  <c r="W277" i="16"/>
  <c r="U2058" i="16"/>
  <c r="P899" i="16"/>
  <c r="W372" i="16"/>
  <c r="P245" i="16"/>
  <c r="U333" i="16"/>
  <c r="W739" i="16"/>
  <c r="P238" i="16"/>
  <c r="L1274" i="16"/>
  <c r="P834" i="16"/>
  <c r="L212" i="16"/>
  <c r="AA897" i="16"/>
  <c r="Y688" i="16"/>
  <c r="N927" i="16"/>
  <c r="N394" i="16"/>
  <c r="P975" i="16"/>
  <c r="AA473" i="16"/>
  <c r="W513" i="16"/>
  <c r="W753" i="16"/>
  <c r="W1056" i="16"/>
  <c r="W1723" i="16"/>
  <c r="AC840" i="16"/>
  <c r="Y443" i="16"/>
  <c r="AA156" i="16"/>
  <c r="P985" i="16"/>
  <c r="AA795" i="16"/>
  <c r="AC1102" i="16"/>
  <c r="U694" i="16"/>
  <c r="N11" i="16"/>
  <c r="AC76" i="16"/>
  <c r="N1118" i="16"/>
  <c r="N453" i="16"/>
  <c r="U625" i="16"/>
  <c r="U941" i="16"/>
  <c r="Y731" i="16"/>
  <c r="AC1029" i="16"/>
  <c r="AA398" i="16"/>
  <c r="N169" i="16"/>
  <c r="U1326" i="16"/>
  <c r="N1289" i="16"/>
  <c r="AA50" i="16"/>
  <c r="P91" i="16"/>
  <c r="AA1294" i="16"/>
  <c r="N213" i="16"/>
  <c r="P757" i="16"/>
  <c r="W595" i="16"/>
  <c r="N842" i="16"/>
  <c r="Y991" i="16"/>
  <c r="W1050" i="16"/>
  <c r="Y375" i="16"/>
  <c r="N437" i="16"/>
  <c r="U175" i="16"/>
  <c r="Y982" i="16"/>
  <c r="W1752" i="16"/>
  <c r="P1029" i="16"/>
  <c r="AA703" i="16"/>
  <c r="AC333" i="16"/>
  <c r="U489" i="16"/>
  <c r="W1715" i="16"/>
  <c r="U1746" i="16"/>
  <c r="Y1518" i="16"/>
  <c r="AC272" i="16"/>
  <c r="P981" i="16"/>
  <c r="N332" i="16"/>
  <c r="U589" i="16"/>
  <c r="N139" i="16"/>
  <c r="P905" i="16"/>
  <c r="N434" i="16"/>
  <c r="Y1181" i="16"/>
  <c r="AC236" i="16"/>
  <c r="AA380" i="16"/>
  <c r="W460" i="16"/>
  <c r="U337" i="16"/>
  <c r="AC994" i="16"/>
  <c r="P901" i="16"/>
  <c r="N27" i="16"/>
  <c r="AE1798" i="16"/>
  <c r="Y314" i="16"/>
  <c r="AC17" i="16"/>
  <c r="U454" i="16"/>
  <c r="L377" i="16"/>
  <c r="AA1236" i="16"/>
  <c r="W1742" i="16"/>
  <c r="W233" i="16"/>
  <c r="N122" i="16"/>
  <c r="L321" i="16"/>
  <c r="W1739" i="16"/>
  <c r="L357" i="16"/>
  <c r="Y270" i="16"/>
  <c r="W1320" i="16"/>
  <c r="W1352" i="16"/>
  <c r="N1535" i="16"/>
  <c r="U1730" i="16"/>
  <c r="W492" i="16"/>
  <c r="U797" i="16"/>
  <c r="U358" i="16"/>
  <c r="AA1279" i="16"/>
  <c r="Y1250" i="16"/>
  <c r="P386" i="16"/>
  <c r="L1050" i="16"/>
  <c r="AE1782" i="16"/>
  <c r="N161" i="16"/>
  <c r="N1182" i="16"/>
  <c r="W402" i="16"/>
  <c r="U715" i="16"/>
  <c r="W79" i="16"/>
  <c r="L136" i="16"/>
  <c r="AC22" i="16"/>
  <c r="L95" i="16"/>
  <c r="Y627" i="16"/>
  <c r="AA543" i="16"/>
  <c r="P516" i="16"/>
  <c r="W1073" i="16"/>
  <c r="Y215" i="16"/>
  <c r="W1356" i="16"/>
  <c r="P1142" i="16"/>
  <c r="W1463" i="16"/>
  <c r="Y62" i="16"/>
  <c r="P884" i="16"/>
  <c r="L1080" i="16"/>
  <c r="Y27" i="16"/>
  <c r="Y402" i="16"/>
  <c r="N422" i="16"/>
  <c r="Y107" i="16"/>
  <c r="U226" i="16"/>
  <c r="W755" i="16"/>
  <c r="N1161" i="16"/>
  <c r="L681" i="16"/>
  <c r="W732" i="16"/>
  <c r="W756" i="16"/>
  <c r="N718" i="16"/>
  <c r="P741" i="16"/>
  <c r="Y214" i="16"/>
  <c r="U372" i="16"/>
  <c r="N380" i="16"/>
  <c r="AC387" i="16"/>
  <c r="L493" i="16"/>
  <c r="Y161" i="16"/>
  <c r="Y672" i="16"/>
  <c r="AC1243" i="16"/>
  <c r="W618" i="16"/>
  <c r="AA1211" i="16"/>
  <c r="L176" i="16"/>
  <c r="U619" i="16"/>
  <c r="L693" i="16"/>
  <c r="L469" i="16"/>
  <c r="U392" i="16"/>
  <c r="U154" i="16"/>
  <c r="W1695" i="16"/>
  <c r="AA11" i="16"/>
  <c r="W465" i="16"/>
  <c r="N518" i="16"/>
  <c r="L805" i="16"/>
  <c r="U690" i="16"/>
  <c r="W474" i="16"/>
  <c r="L237" i="16"/>
  <c r="AC989" i="16"/>
  <c r="AC191" i="16"/>
  <c r="W789" i="16"/>
  <c r="AA1356" i="16"/>
  <c r="W657" i="16"/>
  <c r="W1321" i="16"/>
  <c r="AC111" i="16"/>
  <c r="N126" i="16"/>
  <c r="U127" i="16"/>
  <c r="N1639" i="16"/>
  <c r="Y1393" i="16"/>
  <c r="P364" i="16"/>
  <c r="U196" i="16"/>
  <c r="L335" i="16"/>
  <c r="N266" i="16"/>
  <c r="AA357" i="16"/>
  <c r="U1161" i="16"/>
  <c r="Y1628" i="16"/>
  <c r="U920" i="16"/>
  <c r="AA957" i="16"/>
  <c r="N234" i="16"/>
  <c r="W1214" i="16"/>
  <c r="N976" i="16"/>
  <c r="L1004" i="16"/>
  <c r="AA1660" i="16"/>
  <c r="AC1370" i="16"/>
  <c r="P1020" i="16"/>
  <c r="AC276" i="16"/>
  <c r="W453" i="16"/>
  <c r="Y1225" i="16"/>
  <c r="L183" i="16"/>
  <c r="W282" i="16"/>
  <c r="P1145" i="16"/>
  <c r="AA91" i="16"/>
  <c r="W1551" i="16"/>
  <c r="U82" i="16"/>
  <c r="U538" i="16"/>
  <c r="AA1312" i="16"/>
  <c r="C976" i="16" l="1"/>
  <c r="A976" i="16"/>
  <c r="A1639" i="16"/>
  <c r="C1639" i="16"/>
  <c r="C805" i="16"/>
  <c r="A842" i="16"/>
  <c r="C927" i="16"/>
  <c r="A927" i="16"/>
  <c r="C951" i="16"/>
  <c r="A951" i="16"/>
  <c r="C942" i="16"/>
  <c r="A942" i="16"/>
  <c r="A1521" i="16"/>
  <c r="C1521" i="16"/>
  <c r="A969" i="16"/>
  <c r="C969" i="16"/>
  <c r="A801" i="16"/>
  <c r="C1018" i="16"/>
  <c r="A1018" i="16"/>
  <c r="A853" i="16"/>
  <c r="C872" i="16"/>
  <c r="C1012" i="16"/>
  <c r="A1012" i="16"/>
  <c r="C838" i="16"/>
  <c r="C905" i="16"/>
  <c r="A905" i="16"/>
  <c r="C1731" i="16"/>
  <c r="A1731" i="16"/>
  <c r="C797" i="16"/>
  <c r="A851" i="16"/>
  <c r="C919" i="16"/>
  <c r="A919" i="16"/>
  <c r="C816" i="16"/>
  <c r="C811" i="16"/>
  <c r="C1708" i="16"/>
  <c r="A1708" i="16"/>
  <c r="A1610" i="16"/>
  <c r="C1610" i="16"/>
  <c r="C1664" i="16"/>
  <c r="A1664" i="16"/>
  <c r="C1441" i="16"/>
  <c r="A1441" i="16"/>
  <c r="A809" i="16"/>
  <c r="C871" i="16"/>
  <c r="A1650" i="16"/>
  <c r="C1650" i="16"/>
  <c r="C850" i="16"/>
  <c r="C801" i="16"/>
  <c r="C804" i="16"/>
  <c r="C908" i="16"/>
  <c r="A908" i="16"/>
  <c r="C926" i="16"/>
  <c r="A926" i="16"/>
  <c r="C993" i="16"/>
  <c r="A993" i="16"/>
  <c r="C906" i="16"/>
  <c r="A906" i="16"/>
  <c r="A843" i="16"/>
  <c r="C1509" i="16"/>
  <c r="A1509" i="16"/>
  <c r="A1033" i="16"/>
  <c r="C1033" i="16"/>
  <c r="A980" i="16"/>
  <c r="C980" i="16"/>
  <c r="C1024" i="16"/>
  <c r="A1024" i="16"/>
  <c r="A916" i="16"/>
  <c r="C916" i="16"/>
  <c r="C828" i="16"/>
  <c r="C1593" i="16"/>
  <c r="A1593" i="16"/>
  <c r="C869" i="16"/>
  <c r="C956" i="16"/>
  <c r="A956" i="16"/>
  <c r="C814" i="16"/>
  <c r="C1481" i="16"/>
  <c r="A1481" i="16"/>
  <c r="C863" i="16"/>
  <c r="C844" i="16"/>
  <c r="A815" i="16"/>
  <c r="C820" i="16"/>
  <c r="C1697" i="16"/>
  <c r="A1697" i="16"/>
  <c r="C892" i="16"/>
  <c r="A892" i="16"/>
  <c r="A867" i="16"/>
  <c r="C1025" i="16"/>
  <c r="A1025" i="16"/>
  <c r="A810" i="16"/>
  <c r="A950" i="16"/>
  <c r="C950" i="16"/>
  <c r="C909" i="16"/>
  <c r="A909" i="16"/>
  <c r="C899" i="16"/>
  <c r="A899" i="16"/>
  <c r="C868" i="16"/>
  <c r="A813" i="16"/>
  <c r="A1026" i="16"/>
  <c r="C1026" i="16"/>
  <c r="C1599" i="16"/>
  <c r="A1599" i="16"/>
  <c r="A819" i="16"/>
  <c r="C832" i="16"/>
  <c r="C932" i="16"/>
  <c r="A932" i="16"/>
  <c r="C858" i="16"/>
  <c r="C831" i="16"/>
  <c r="A806" i="16"/>
  <c r="A889" i="16"/>
  <c r="C889" i="16"/>
  <c r="A872" i="16"/>
  <c r="C854" i="16"/>
  <c r="A797" i="16"/>
  <c r="A876" i="16"/>
  <c r="C918" i="16"/>
  <c r="A918" i="16"/>
  <c r="C1013" i="16"/>
  <c r="A1013" i="16"/>
  <c r="A832" i="16"/>
  <c r="C940" i="16"/>
  <c r="A940" i="16"/>
  <c r="C923" i="16"/>
  <c r="A923" i="16"/>
  <c r="C983" i="16"/>
  <c r="A983" i="16"/>
  <c r="A823" i="16"/>
  <c r="A933" i="16"/>
  <c r="C933" i="16"/>
  <c r="C846" i="16"/>
  <c r="A804" i="16"/>
  <c r="A1004" i="16"/>
  <c r="C1004" i="16"/>
  <c r="A848" i="16"/>
  <c r="A833" i="16"/>
  <c r="C812" i="16"/>
  <c r="C1038" i="16"/>
  <c r="A1038" i="16"/>
  <c r="C948" i="16"/>
  <c r="A948" i="16"/>
  <c r="C928" i="16"/>
  <c r="A928" i="16"/>
  <c r="C822" i="16"/>
  <c r="A1030" i="16"/>
  <c r="C1030" i="16"/>
  <c r="A1624" i="16"/>
  <c r="C1624" i="16"/>
  <c r="C1016" i="16"/>
  <c r="A1016" i="16"/>
  <c r="C1008" i="16"/>
  <c r="A1008" i="16"/>
  <c r="A978" i="16"/>
  <c r="C978" i="16"/>
  <c r="A1495" i="16"/>
  <c r="C1495" i="16"/>
  <c r="A799" i="16"/>
  <c r="A879" i="16"/>
  <c r="C879" i="16"/>
  <c r="A1621" i="16"/>
  <c r="C1621" i="16"/>
  <c r="A831" i="16"/>
  <c r="C806" i="16"/>
  <c r="A837" i="16"/>
  <c r="A877" i="16"/>
  <c r="C883" i="16"/>
  <c r="A883" i="16"/>
  <c r="C810" i="16"/>
  <c r="A807" i="16"/>
  <c r="A869" i="16"/>
  <c r="C941" i="16"/>
  <c r="A941" i="16"/>
  <c r="A895" i="16"/>
  <c r="C895" i="16"/>
  <c r="C1603" i="16"/>
  <c r="A1603" i="16"/>
  <c r="C823" i="16"/>
  <c r="C874" i="16"/>
  <c r="C967" i="16"/>
  <c r="A967" i="16"/>
  <c r="C835" i="16"/>
  <c r="C1015" i="16"/>
  <c r="A1015" i="16"/>
  <c r="A937" i="16"/>
  <c r="C937" i="16"/>
  <c r="C830" i="16"/>
  <c r="A958" i="16"/>
  <c r="C958" i="16"/>
  <c r="A812" i="16"/>
  <c r="C876" i="16"/>
  <c r="A991" i="16"/>
  <c r="C991" i="16"/>
  <c r="A914" i="16"/>
  <c r="C914" i="16"/>
  <c r="C843" i="16"/>
  <c r="A1667" i="16"/>
  <c r="C1667" i="16"/>
  <c r="C809" i="16"/>
  <c r="C954" i="16"/>
  <c r="A954" i="16"/>
  <c r="A1001" i="16"/>
  <c r="C1001" i="16"/>
  <c r="C856" i="16"/>
  <c r="C870" i="16"/>
  <c r="C965" i="16"/>
  <c r="A965" i="16"/>
  <c r="A847" i="16"/>
  <c r="C802" i="16"/>
  <c r="C803" i="16"/>
  <c r="A1591" i="16"/>
  <c r="C1591" i="16"/>
  <c r="A1482" i="16"/>
  <c r="C1482" i="16"/>
  <c r="A822" i="16"/>
  <c r="A828" i="16"/>
  <c r="A802" i="16"/>
  <c r="C1692" i="16"/>
  <c r="A1692" i="16"/>
  <c r="C990" i="16"/>
  <c r="A990" i="16"/>
  <c r="C875" i="16"/>
  <c r="C847" i="16"/>
  <c r="A875" i="16"/>
  <c r="A1688" i="16"/>
  <c r="C1688" i="16"/>
  <c r="A900" i="16"/>
  <c r="C900" i="16"/>
  <c r="A936" i="16"/>
  <c r="C936" i="16"/>
  <c r="A1034" i="16"/>
  <c r="C1034" i="16"/>
  <c r="A1020" i="16"/>
  <c r="C1020" i="16"/>
  <c r="C794" i="16"/>
  <c r="C1486" i="16"/>
  <c r="A1486" i="16"/>
  <c r="A834" i="16"/>
  <c r="C974" i="16"/>
  <c r="A974" i="16"/>
  <c r="C999" i="16"/>
  <c r="A999" i="16"/>
  <c r="C994" i="16"/>
  <c r="A994" i="16"/>
  <c r="A964" i="16"/>
  <c r="C964" i="16"/>
  <c r="A961" i="16"/>
  <c r="C961" i="16"/>
  <c r="A962" i="16"/>
  <c r="C962" i="16"/>
  <c r="C1003" i="16"/>
  <c r="A1003" i="16"/>
  <c r="A1709" i="16"/>
  <c r="C1709" i="16"/>
  <c r="C1037" i="16"/>
  <c r="A1037" i="16"/>
  <c r="C1021" i="16"/>
  <c r="A1021" i="16"/>
  <c r="C798" i="16"/>
  <c r="C987" i="16"/>
  <c r="A987" i="16"/>
  <c r="A2057" i="16"/>
  <c r="C205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5" authorId="0" shapeId="0" xr:uid="{00000000-0006-0000-0200-000001000000}">
      <text>
        <r>
          <rPr>
            <sz val="11"/>
            <color indexed="81"/>
            <rFont val="Arial"/>
            <family val="2"/>
          </rPr>
          <t xml:space="preserve">This is the number of points targeted divided by the number of points available. </t>
        </r>
      </text>
    </comment>
    <comment ref="K117" authorId="0" shapeId="0" xr:uid="{00000000-0006-0000-02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4" authorId="0" shapeId="0" xr:uid="{2221B91D-15E8-4681-90BB-B92833458064}">
      <text>
        <r>
          <rPr>
            <sz val="11"/>
            <color indexed="81"/>
            <rFont val="Arial"/>
            <family val="2"/>
          </rPr>
          <t xml:space="preserve">This is the number of points targeted divided by the number of points available. </t>
        </r>
      </text>
    </comment>
    <comment ref="K116" authorId="0" shapeId="0" xr:uid="{20C2C5A4-24C4-46E9-B52A-4CD2DC97B909}">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22" authorId="0" shapeId="0" xr:uid="{00000000-0006-0000-0300-000001000000}">
      <text>
        <r>
          <rPr>
            <sz val="11"/>
            <color indexed="81"/>
            <rFont val="Arial"/>
            <family val="2"/>
          </rPr>
          <t xml:space="preserve">This is the number of points targeted divided by the number of points available. </t>
        </r>
      </text>
    </comment>
    <comment ref="K124" authorId="0" shapeId="0" xr:uid="{00000000-0006-0000-03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I70" authorId="0" shapeId="0" xr:uid="{00000000-0006-0000-0400-000001000000}">
      <text>
        <r>
          <rPr>
            <sz val="14"/>
            <color indexed="81"/>
            <rFont val="Tahoma"/>
            <family val="2"/>
          </rPr>
          <t>This is the maximum number of points available for the project dependent on the credit pathway selected.</t>
        </r>
      </text>
    </comment>
    <comment ref="I89" authorId="0" shapeId="0" xr:uid="{00000000-0006-0000-0400-000002000000}">
      <text>
        <r>
          <rPr>
            <sz val="14"/>
            <color indexed="81"/>
            <rFont val="Cambria"/>
            <family val="2"/>
            <scheme val="major"/>
          </rPr>
          <t xml:space="preserve">This is the maximum number of points available for the project dependent on the credit pathways selected.
</t>
        </r>
      </text>
    </comment>
    <comment ref="I96" authorId="0" shapeId="0" xr:uid="{00000000-0006-0000-0400-000003000000}">
      <text>
        <r>
          <rPr>
            <sz val="14"/>
            <color indexed="81"/>
            <rFont val="Tahoma"/>
            <family val="2"/>
          </rPr>
          <t>The total number of points available in the Land Use &amp; Ecology category is 5. Any combination of criteria may be claimed in this credit to a maximum of 5 points.</t>
        </r>
      </text>
    </comment>
    <comment ref="J111" authorId="0" shapeId="0" xr:uid="{00000000-0006-0000-0400-000004000000}">
      <text>
        <r>
          <rPr>
            <sz val="14"/>
            <color indexed="81"/>
            <rFont val="Cambria"/>
            <family val="2"/>
            <scheme val="major"/>
          </rPr>
          <t>A maximum of 10 points can be awarded in the Innovation category.</t>
        </r>
      </text>
    </comment>
    <comment ref="J115" authorId="0" shapeId="0" xr:uid="{00000000-0006-0000-0400-000005000000}">
      <text>
        <r>
          <rPr>
            <sz val="14"/>
            <color indexed="81"/>
            <rFont val="Tahoma"/>
            <family val="2"/>
          </rPr>
          <t xml:space="preserve">This is the core number of points targeted divided by the core number of points available. </t>
        </r>
      </text>
    </comment>
    <comment ref="J117" authorId="0" shapeId="0" xr:uid="{00000000-0006-0000-0400-000006000000}">
      <text>
        <r>
          <rPr>
            <sz val="14"/>
            <color indexed="81"/>
            <rFont val="Tahoma"/>
            <family val="2"/>
          </rPr>
          <t xml:space="preserve">This is the core score plus the Innovation points targeted. See the Introductions section of the Submission Guidelines for additional detail.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J103" authorId="0" shapeId="0" xr:uid="{300BE857-C128-4196-A5F4-2DFB0CC5B4ED}">
      <text>
        <r>
          <rPr>
            <sz val="14"/>
            <color indexed="81"/>
            <rFont val="Cambria"/>
            <family val="2"/>
            <scheme val="major"/>
          </rPr>
          <t>A maximum of 10 points can be awarded in the Innovation category.</t>
        </r>
      </text>
    </comment>
    <comment ref="J107" authorId="0" shapeId="0" xr:uid="{E1A2DB25-0101-4704-BAAA-0CCD412626A8}">
      <text>
        <r>
          <rPr>
            <sz val="14"/>
            <color indexed="81"/>
            <rFont val="Tahoma"/>
            <family val="2"/>
          </rPr>
          <t xml:space="preserve">This is the core number of points targeted divided by the core number of points available. </t>
        </r>
      </text>
    </comment>
    <comment ref="J109" authorId="0" shapeId="0" xr:uid="{D54AD562-C6CA-4678-8470-7A719EDA6AA1}">
      <text>
        <r>
          <rPr>
            <sz val="14"/>
            <color indexed="81"/>
            <rFont val="Tahoma"/>
            <family val="2"/>
          </rPr>
          <t xml:space="preserve">This is the core score plus the Innovation points targeted. See the Introductions section of the Submission Guidelines for additional detail.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06" authorId="0" shapeId="0" xr:uid="{00000000-0006-0000-0600-000001000000}">
      <text>
        <r>
          <rPr>
            <sz val="11"/>
            <color indexed="81"/>
            <rFont val="Arial"/>
            <family val="2"/>
          </rPr>
          <t xml:space="preserve">This is the number of points targeted divided by the number of points available. </t>
        </r>
      </text>
    </comment>
    <comment ref="K108" authorId="0" shapeId="0" xr:uid="{00000000-0006-0000-06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L112" authorId="0" shapeId="0" xr:uid="{00000000-0006-0000-0700-000001000000}">
      <text>
        <r>
          <rPr>
            <sz val="14"/>
            <color indexed="81"/>
            <rFont val="Tahoma"/>
            <family val="2"/>
          </rPr>
          <t xml:space="preserve">This is the number of core points targeted divided by the number of core points available. </t>
        </r>
      </text>
    </comment>
    <comment ref="L114" authorId="0" shapeId="0" xr:uid="{00000000-0006-0000-0700-000002000000}">
      <text>
        <r>
          <rPr>
            <sz val="14"/>
            <color indexed="81"/>
            <rFont val="Tahoma"/>
            <family val="2"/>
          </rPr>
          <t>This is the Core Score plus the Innovation points targeted. See the Introduction section of the Submission Guidelines for additional detail.</t>
        </r>
      </text>
    </comment>
    <comment ref="J117" authorId="0" shapeId="0" xr:uid="{00000000-0006-0000-0700-000003000000}">
      <text>
        <r>
          <rPr>
            <sz val="8"/>
            <color indexed="81"/>
            <rFont val="Tahoma"/>
            <family val="2"/>
          </rPr>
          <t>This is for the building's most recent operational budget and must cover at least three months of the project's performance period.</t>
        </r>
        <r>
          <rPr>
            <b/>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Karl Desai</author>
  </authors>
  <commentList>
    <comment ref="K115" authorId="0" shapeId="0" xr:uid="{00000000-0006-0000-0900-000001000000}">
      <text>
        <r>
          <rPr>
            <sz val="11"/>
            <color indexed="81"/>
            <rFont val="Arial"/>
            <family val="2"/>
          </rPr>
          <t xml:space="preserve">This is the number of points targeted divided by the number of points available. </t>
        </r>
      </text>
    </comment>
    <comment ref="K117" authorId="0" shapeId="0" xr:uid="{00000000-0006-0000-0900-000002000000}">
      <text>
        <r>
          <rPr>
            <sz val="11"/>
            <color indexed="81"/>
            <rFont val="Tahoma"/>
            <family val="2"/>
          </rPr>
          <t>This is the core score plus the Innovation points targeted. See the Submission Guidelines for additional detail.</t>
        </r>
        <r>
          <rPr>
            <sz val="8"/>
            <color indexed="81"/>
            <rFont val="Tahoma"/>
            <family val="2"/>
          </rPr>
          <t xml:space="preserve">
</t>
        </r>
      </text>
    </comment>
  </commentList>
</comments>
</file>

<file path=xl/sharedStrings.xml><?xml version="1.0" encoding="utf-8"?>
<sst xmlns="http://schemas.openxmlformats.org/spreadsheetml/2006/main" count="36779" uniqueCount="1757">
  <si>
    <t>Financial Transparency Disclosure Template</t>
  </si>
  <si>
    <t xml:space="preserve"> Use in conjunction with the 'Financial Transparency' Innovation Challenge.</t>
  </si>
  <si>
    <t>Instructions</t>
  </si>
  <si>
    <t>Definitions</t>
  </si>
  <si>
    <t>Change Log</t>
  </si>
  <si>
    <t>Release Date</t>
  </si>
  <si>
    <t>Summary of Changes</t>
  </si>
  <si>
    <t>Minor format corrections</t>
  </si>
  <si>
    <t xml:space="preserve">Update logos. Minor corrections </t>
  </si>
  <si>
    <t>-The aim of the credit, code ,credit criteria and points available are updated to match with the submission guidelines for GS Design and As Built NZ v1.0.
- Similar changes have been made to interiors template to match with the submission guidelines for GS Interiors NZ v1.0</t>
  </si>
  <si>
    <t>- All work sheets have been updated to correlate with Green Star Scorecards. 
- Each worksheet is used for a different rating tool and All current versions are inclduded within the single sheet. different versions can be selected to show changes in credits.
- Extra fields have been added to capture project and submission information.
- Fields to enter costs and comments are made available (cell is not greyed out) when the credit has been targeted or NA.
- A summary of the minimum requirements for the Innovation Point are provided at the bottom of the worksheet to help identify any missing or incorrect information.</t>
  </si>
  <si>
    <t>Updated the Project Cost input in the Green Star - Performance worksheet. The Project Cost is the building's yearly operational budget. This determines the cost for obtaining a Green Star rating relative to this yearly budget.</t>
  </si>
  <si>
    <t>Updated worksheet for the Green Star - Interiors PILOT (May 2013) rating tool.</t>
  </si>
  <si>
    <t xml:space="preserve">Initial public release. </t>
  </si>
  <si>
    <t>x</t>
  </si>
  <si>
    <t xml:space="preserve">SUMMARY OF CHANGES - INTERNAL USE ONLY </t>
  </si>
  <si>
    <t>Release Number</t>
  </si>
  <si>
    <t>Date</t>
  </si>
  <si>
    <t>Author</t>
  </si>
  <si>
    <t>Reviewer</t>
  </si>
  <si>
    <t>Approver</t>
  </si>
  <si>
    <t>Sheet</t>
  </si>
  <si>
    <t>Range</t>
  </si>
  <si>
    <t>New
Value</t>
  </si>
  <si>
    <t>Old
Value</t>
  </si>
  <si>
    <t>Comments</t>
  </si>
  <si>
    <t>SN</t>
  </si>
  <si>
    <t>Design &amp; As Built</t>
  </si>
  <si>
    <t>B54</t>
  </si>
  <si>
    <t>15C</t>
  </si>
  <si>
    <t>&lt;blank&gt;</t>
  </si>
  <si>
    <t>C54</t>
  </si>
  <si>
    <t>GHG Emissions Reduction - BASIX Pathway</t>
  </si>
  <si>
    <t>C15</t>
  </si>
  <si>
    <t>Building Operations and Maintenance Information</t>
  </si>
  <si>
    <t>B15</t>
  </si>
  <si>
    <t>B14</t>
  </si>
  <si>
    <t>C14</t>
  </si>
  <si>
    <t>Building Information</t>
  </si>
  <si>
    <t>D15</t>
  </si>
  <si>
    <t>'=IF($A$3=$R$4, 0,1)</t>
  </si>
  <si>
    <t>D16</t>
  </si>
  <si>
    <t>D14</t>
  </si>
  <si>
    <t>'=IF($A$3=$R$4, 1,0)</t>
  </si>
  <si>
    <t>B23</t>
  </si>
  <si>
    <t>C23</t>
  </si>
  <si>
    <t>High Quality Staff Support</t>
  </si>
  <si>
    <t>A21</t>
  </si>
  <si>
    <t>'=IF(A3=R4, "Responsible Construction Practices", "Construction Environmental Management")</t>
  </si>
  <si>
    <t>Construction Environmental Management</t>
  </si>
  <si>
    <t>D23</t>
  </si>
  <si>
    <t>D53</t>
  </si>
  <si>
    <t>'=IF($A$3=$R$4, 16,12)</t>
  </si>
  <si>
    <t>D54</t>
  </si>
  <si>
    <t>'=IF($A$3=$R$2, 0,16)</t>
  </si>
  <si>
    <t>D55</t>
  </si>
  <si>
    <t>'=IF($A$3=$R$4, 20,16)</t>
  </si>
  <si>
    <t>'52:52</t>
  </si>
  <si>
    <t>B52</t>
  </si>
  <si>
    <t>15A.7</t>
  </si>
  <si>
    <t>S2</t>
  </si>
  <si>
    <t>S3</t>
  </si>
  <si>
    <t>S4</t>
  </si>
  <si>
    <t>T2:T4, S2:S4</t>
  </si>
  <si>
    <t>D52</t>
  </si>
  <si>
    <t>'=VLOOKUP(A3,R2:S4,2, FALSE)</t>
  </si>
  <si>
    <t>C52</t>
  </si>
  <si>
    <t>Accredited GreenPower</t>
  </si>
  <si>
    <t>Interiors v1</t>
  </si>
  <si>
    <t>H14</t>
  </si>
  <si>
    <t>'=IF($E$1=$AD$3, "Fitout Information", "Fitout Operations and Maintenance Information")</t>
  </si>
  <si>
    <t>Fitout Operations and Maintenance Information</t>
  </si>
  <si>
    <t>H15</t>
  </si>
  <si>
    <t>'=IF($E$1=$AD$3, "", "Fitout User Information")</t>
  </si>
  <si>
    <t>Fitout User Information</t>
  </si>
  <si>
    <t>I15</t>
  </si>
  <si>
    <t>'=IF($E$1=$AD$3, 0, 1)</t>
  </si>
  <si>
    <t>AE1</t>
  </si>
  <si>
    <t>AE2</t>
  </si>
  <si>
    <t>AE3</t>
  </si>
  <si>
    <t>I57</t>
  </si>
  <si>
    <t>'=IF($F$51=$P$51,VLOOKUP($E$1,$AD$1:$AE$3,2, FALSE),0)</t>
  </si>
  <si>
    <t>'=IF($F$51=$P$51,3,0)</t>
  </si>
  <si>
    <t>I63</t>
  </si>
  <si>
    <t>'=IF($F$51=$P$52,3,0)</t>
  </si>
  <si>
    <t>G23</t>
  </si>
  <si>
    <t>'=IF(E1=AD3, "6.2", "")</t>
  </si>
  <si>
    <t>H23</t>
  </si>
  <si>
    <t>'=IF(E1=AD3, "High Quality Support Staff", "")</t>
  </si>
  <si>
    <t>I23</t>
  </si>
  <si>
    <t>'=IF(E1=AD3, 1, "")</t>
  </si>
  <si>
    <t>Release 2</t>
  </si>
  <si>
    <t>EC</t>
  </si>
  <si>
    <t>DF</t>
  </si>
  <si>
    <t>All Sheets</t>
  </si>
  <si>
    <t>Sheet Inserts
ALL SHEETS ARE NEW 
D&amp;AB + Int up to date with v1.3</t>
  </si>
  <si>
    <t>New Sheets for every type of rating tool
Sheets were copied from the relevant Scorecard Workbook and contain the same formatting/formulas as scorecards</t>
  </si>
  <si>
    <t>T9:U154</t>
  </si>
  <si>
    <r>
      <t>=IF(ISBLANK($</t>
    </r>
    <r>
      <rPr>
        <sz val="10"/>
        <color rgb="FFFF0000"/>
        <rFont val="Arial"/>
        <family val="2"/>
      </rPr>
      <t>K9</t>
    </r>
    <r>
      <rPr>
        <sz val="10"/>
        <color theme="1"/>
        <rFont val="Arial"/>
        <family val="2"/>
      </rPr>
      <t>)=FALSE,IF(</t>
    </r>
    <r>
      <rPr>
        <sz val="10"/>
        <color rgb="FFFF0000"/>
        <rFont val="Arial"/>
        <family val="2"/>
      </rPr>
      <t>R9</t>
    </r>
    <r>
      <rPr>
        <sz val="10"/>
        <color theme="1"/>
        <rFont val="Arial"/>
        <family val="2"/>
      </rPr>
      <t>="","No","Yes"),"")
OR for NA Credits
'=IF(OR(ISBLANK(</t>
    </r>
    <r>
      <rPr>
        <sz val="10"/>
        <color rgb="FFFF0000"/>
        <rFont val="Arial"/>
        <family val="2"/>
      </rPr>
      <t>$K31</t>
    </r>
    <r>
      <rPr>
        <sz val="10"/>
        <color theme="1"/>
        <rFont val="Arial"/>
        <family val="2"/>
      </rPr>
      <t>)=FALSE,</t>
    </r>
    <r>
      <rPr>
        <sz val="10"/>
        <color rgb="FFFF0000"/>
        <rFont val="Arial"/>
        <family val="2"/>
      </rPr>
      <t>$C31</t>
    </r>
    <r>
      <rPr>
        <sz val="10"/>
        <color theme="1"/>
        <rFont val="Arial"/>
        <family val="2"/>
      </rPr>
      <t>=TRUE),IF(</t>
    </r>
    <r>
      <rPr>
        <sz val="10"/>
        <color rgb="FFFF0000"/>
        <rFont val="Arial"/>
        <family val="2"/>
      </rPr>
      <t>Q31</t>
    </r>
    <r>
      <rPr>
        <sz val="10"/>
        <color theme="1"/>
        <rFont val="Arial"/>
        <family val="2"/>
      </rPr>
      <t>="","No","Yes"),"")</t>
    </r>
  </si>
  <si>
    <t>Checks if credit is NA and if Implementation Cost is provided
Cell reference in red changes for each credit
Cell range given is for D&amp;AB - in other sheets: 2 Columns after Comments Column</t>
  </si>
  <si>
    <t>Last rows of sheets</t>
  </si>
  <si>
    <t>FINANCIAL TRANSPARENCY INNOVATION POINT</t>
  </si>
  <si>
    <t>Inserted table to check if all required items for Financial Transparency point are met. At bottom of scorecard for every sheet. This will be shown to project teams however, the last row of the table which states if the point should be awarded or not will remain hidden from project teams</t>
  </si>
  <si>
    <t>Credit Map</t>
  </si>
  <si>
    <t>Sheet Insert</t>
  </si>
  <si>
    <t>New sheet linking to every rating tool and individual credits for future data exporting</t>
  </si>
  <si>
    <t>I168</t>
  </si>
  <si>
    <t>Green Star Documentation Cost</t>
  </si>
  <si>
    <t>Green Star Collation Fees</t>
  </si>
  <si>
    <t>Deleted Green Star Collation Fees from Additional Costs</t>
  </si>
  <si>
    <t>Design &amp; As Built
Interiors</t>
  </si>
  <si>
    <t>I182 (D&amp;AB)
H151 (Int)</t>
  </si>
  <si>
    <t>Percentage of Overall Project Cost</t>
  </si>
  <si>
    <t xml:space="preserve">Checking if the total costs for purusing GS are too high </t>
  </si>
  <si>
    <t>J182 (D&amp;AB)
I151 (Int)</t>
  </si>
  <si>
    <r>
      <t>=</t>
    </r>
    <r>
      <rPr>
        <sz val="10"/>
        <color rgb="FFFF0000"/>
        <rFont val="Arial"/>
        <family val="2"/>
      </rPr>
      <t>K171</t>
    </r>
  </si>
  <si>
    <t>K177</t>
  </si>
  <si>
    <t xml:space="preserve">'=J177&lt;J175 CONCATENATE(J175-J177," documentation cost missing") IF(J177=0,"No credits entered",IF(COUNTIF(Q9:Q154,0)&gt;0,CONCATENATE(COUNTIF(Q9:Q154,0)," $0 cost(s) provided. Enter a value or explain the $0 value in the Comments column."),"No Issues")) </t>
  </si>
  <si>
    <t>Flags issue of having $0 entered as documentation costs. Project team instructed to provide a value or explain in the comments why they have given $0.</t>
  </si>
  <si>
    <t>K178</t>
  </si>
  <si>
    <t>=IF(J178&lt;(J175-J176),CONCATENATE(J175-J178-J176," implementation cost missing"),IF(J178=0,"No credits entered",IF(COUNTIF(R9:R154,0)&gt;ROUND(0.25*J175,0),CONCATENATE(COUNTIF(R9:R154,0)," $0 cost(s) provided. Enter a value or explain the $0 value in the Comments column."),"No Issues")))</t>
  </si>
  <si>
    <t>Flags issue of having &gt;25% $0 entered as implementation costs. Project team instructed to provide a value or explain in the comments why they have given $0.</t>
  </si>
  <si>
    <t>K182</t>
  </si>
  <si>
    <t xml:space="preserve">'=J182=0 "Additional Costs have not been entered yet" J182&gt;=0.1 "Implementing Green Star cost is unusually high. Check that only additional costs incurred as a result of pursuing a rating were included in the Green Star Certification Fees." "No Issues" </t>
  </si>
  <si>
    <t>Flags issue of percentage of GS on overall project costs being more than 10%. Prompts project team to check additional costs and tick the box if it is correct</t>
  </si>
  <si>
    <t>Interiors</t>
  </si>
  <si>
    <t>J146</t>
  </si>
  <si>
    <t xml:space="preserve">'=I146&lt;I144 CONCATENATE(I144-I146," documentation cost missing") IF(I146=0,"No credits entered",IF(COUNTIF(L9:L123,0)&gt;0,CONCATENATE(COUNTIF(L9:L123,0),"$0 cost(s) provided. Enter a value or explain the $0 value in the Comments column."),"No Issues")) </t>
  </si>
  <si>
    <t>J147</t>
  </si>
  <si>
    <t xml:space="preserve">'=I147&lt;(I144-I145) CONCATENATE(I144-I147-I145," implementation cost missing") I147=0 "No credits entered" COUNTIF(M9:M123,0)&gt;ROUND(0.25*I144,0) COUNTIF(M9:M123,0) " $0 cost(s) provided.  Enter a value or explain the $0 value in the Comments column." </t>
  </si>
  <si>
    <t>J151</t>
  </si>
  <si>
    <t xml:space="preserve">'=I151=0 "Additional Costs have not been entered yet" I151&gt;=0.1 "Implementing Green Star cost is unusually high. Check that only additional costs incurred as a result of pursuing a rating were included in the Green Star Certification Fees." "No Issues" </t>
  </si>
  <si>
    <t>Communities</t>
  </si>
  <si>
    <t>K126</t>
  </si>
  <si>
    <t xml:space="preserve">'=J126&lt;J124 CONCATENATE(J124-J126," documentation cost missing") IF(J126=0,"No credits entered",IF(COUNTIF(M9:M101,0)&gt;0,CONCATENATE(COUNTIF(M9:M101,0)," $0 cost(s) provided. Enter a value or explain the $0 value in the Comments column."),"No Issues")) </t>
  </si>
  <si>
    <t>K127</t>
  </si>
  <si>
    <t xml:space="preserve">'=J127&lt;(J124-J125) CONCATENATE(J124-J127-J125," implementation cost missing") J127=0 "No credits entered" COUNTIF(N9:N101,0)&gt;ROUND(0.25*J124,0) COUNTIF(N9:N101,0) " $0 cost(s) provided. Enter a value or explain the $0 value in the Comments column." </t>
  </si>
  <si>
    <t>Performance</t>
  </si>
  <si>
    <t>L129</t>
  </si>
  <si>
    <t xml:space="preserve">'=K129&lt;K127 CONCATENATE(K127-K129," documentation costs missing") K129=0 "No credits entered" IF(COUNTIF(N10:N107,0)&gt;0,CONCATENATE(COUNTIF(N10:N107,0)," $0 cost(s) provided. Enter a value or explain the $0 value in the Comments column."),"No Issues") </t>
  </si>
  <si>
    <t>L130</t>
  </si>
  <si>
    <t xml:space="preserve">'=K130&lt;(K127-K128) CONCATENATE(K127-K130-K128," implementation costs missing") K130=0 "No credits entered" COUNTIF(O10:O107,0)&gt;ROUND(0.25*K127,0) COUNTIF(O10:O107,0) " $0 cost(s) provided. Enter a value or explain the $0 value in the Comments column." </t>
  </si>
  <si>
    <t>Interiors PILOT</t>
  </si>
  <si>
    <t>E110</t>
  </si>
  <si>
    <t xml:space="preserve">'=D110&lt;D108 CONCATENATE(D108-D110," documentation costs missing") IF(D110=0,"No credits entered",IF(COUNTIF(G9:G93,0)&gt;0,CONCATENATE(COUNTIF(G9:G93,0)," $0 cost(s) provided. Enter a value or explain the $0 value in the Comments column."),"No Issues")) </t>
  </si>
  <si>
    <t>E111</t>
  </si>
  <si>
    <t xml:space="preserve">'=D111&lt;(D108-D109) CONCATENATE(D108-D111-D109," implementation costs missing") D111=0 "No credits entered" COUNTIF(H9:H93,0)&gt;ROUND(0.25*D108,0) COUNTIF(H9:H93,0) " $0 cost(s) provided. Enter a value or explain the $0 value in the Comments column." </t>
  </si>
  <si>
    <t>Communities PILOT</t>
  </si>
  <si>
    <t>K134</t>
  </si>
  <si>
    <t xml:space="preserve">'=J134&lt;J133 CONCATENATE(J133-J134," documentation costs missing") IF(J134=0,"No credits entered",IF(COUNTIF(M9:M110,0)&gt;0,CONCATENATE(COUNTIF(M9:M110,0)," $0 cost(s) provided. Enter a value or explain the $0 value in the Comments column."),"No Issues")) </t>
  </si>
  <si>
    <t>K135</t>
  </si>
  <si>
    <t>'=J135&lt;J133 CONCATENATE(J133-J135," implementation costs missing") J135=0 "No credits entered" COUNTIF(N9:N110,0)&gt;ROUND(0.25*J133,0) CONCATENATE(COUNTIF(N9:N110,0)," $0 cost(s) provided. Enter a value or explain the $0 value in the Comments column.") "No I</t>
  </si>
  <si>
    <t>Healthcare v1</t>
  </si>
  <si>
    <t>F138</t>
  </si>
  <si>
    <t xml:space="preserve">'=E138&lt;E136 CONCATENATE(E136-E138," documentation costs missing") IF(E138=0,"No credits entered",IF(COUNTIF(H9:H121,0)&gt;0,CONCATENATE(COUNTIF(H9:H121,0)," $0 cost(s) provided. Enter a value or explain the $0 value in the Comments column."),"No Issues")) </t>
  </si>
  <si>
    <t>F139</t>
  </si>
  <si>
    <t xml:space="preserve">'=E139&lt;(E136-E137) CONCATENATE(E136-E139-E137," implementation costs missing") E139=0 "No credits entered" COUNTIF(I9:I121,0)&gt;ROUND(0.25*E136,0) COUNTIF(I9:I121,0) " $0 cost(s) provided. Enter a value or explain the $0 value in the Comments column." </t>
  </si>
  <si>
    <t>Office</t>
  </si>
  <si>
    <t>F140</t>
  </si>
  <si>
    <t xml:space="preserve">'=E140&lt;E138 CONCATENATE(E138-E140," documentation costs missing") IF(E140=0,"No credits entered",IF(COUNTIF(H9:H123,0)&gt;0,CONCATENATE(COUNTIF(H9:H123,0)," $0 cost(s) provided. Enter a value or explain the $0 value in the Comments column."),"No Issues")) </t>
  </si>
  <si>
    <t>F141</t>
  </si>
  <si>
    <t xml:space="preserve">'=E141&lt;(E138-E139) CONCATENATE(E138-E141-E139," implementation costs missing") E141=0 "No credits entered" COUNTIF(I9:I123,0)&gt;ROUND(0.25*E138,0) COUNTIF(I9:I123,0) " $0 cost(s) provided. Enter a value or explain the $0 value in the Comments column." </t>
  </si>
  <si>
    <t>Education v1</t>
  </si>
  <si>
    <t>F134</t>
  </si>
  <si>
    <t xml:space="preserve">'=E134&lt;E132 CONCATENATE(E132-E134," documentation costs missing") IF(E134=0,"No credits entered",IF(COUNTIF(H9:H117,0)&gt;0,CONCATENATE(COUNTIF(H9:H117,0)," $0 cost(s) provided. Enter a value or explain the $0 value in the Comments column."),"No Issues")) </t>
  </si>
  <si>
    <t>F135</t>
  </si>
  <si>
    <t xml:space="preserve">'=E135&lt;(E132-E133) CONCATENATE(E132-E135-E133," implementation costs missing") E135=0 "No credits entered" COUNTIF(I9:I117,0)&gt;ROUND(0.25*E132,0) COUNTIF(I9:I117,0) " $0 cost(s) provided. Enter a value or explain the $0 value in the Comments column." </t>
  </si>
  <si>
    <t>Industrial v1</t>
  </si>
  <si>
    <t>F120</t>
  </si>
  <si>
    <t xml:space="preserve">'=E120&lt;E118 CONCATENATE(E118-E120," documentation costs missing") IF(E120=0,"No credits entered",IF(COUNTIF(H9:H103,0)&gt;0,CONCATENATE(COUNTIF(H9:H103,0)," $0 cost(s) provided. Enter a value or explain the $0 value in the Comments column."),"No Issues")) </t>
  </si>
  <si>
    <t>F121</t>
  </si>
  <si>
    <t xml:space="preserve">'=E121&lt;(E118-E119) CONCATENATE(E118-E121-E119," implementation costs missing") E121=0 "No credits entered" COUNTIF(I9:I103,0)&gt;ROUND(0.25*E118,0) COUNTIF(I9:I103,0) " $0 cost(s) provided. Enter a value or explain the $0 value in the Comments column." </t>
  </si>
  <si>
    <t>MURT v1</t>
  </si>
  <si>
    <t>F130</t>
  </si>
  <si>
    <t xml:space="preserve">'=E130&lt;E128 CONCATENATE(E128-E130," documentation costs missing") IF(E130=0,"No credits entered",IF(COUNTIF(H9:H113,0)&gt;0,CONCATENATE(COUNTIF(H9:H113,0)," $0 cost(s) provided. Enter a value or explain the $0 value in the Comments column."),"No Issues")) </t>
  </si>
  <si>
    <t>F131</t>
  </si>
  <si>
    <t xml:space="preserve">'=E131&lt;(E128-E129) CONCATENATE(E128-E131-E129," implementation costs missing") E131=0 "No credits entered" COUNTIF(I9:I113,0)&gt;ROUND(0.25*E128,0) COUNTIF(I9:I113,0) " $0 cost(s) provided. Enter a value or explain the $0 value in the Comments column." </t>
  </si>
  <si>
    <t>Public Building v1</t>
  </si>
  <si>
    <t>E112</t>
  </si>
  <si>
    <t xml:space="preserve">'=D112&lt;D110 CONCATENATE(D110-D112," documentation costs missing") IF(D112=0,"No credits entered",IF(COUNTIF(G9:G95,0)&gt;0,CONCATENATE(COUNTIF(G9:G95,0)," $0 cost(s) provided. Enter a value or explain the $0 value in the Comments column."),"No Issues")) </t>
  </si>
  <si>
    <t>E113</t>
  </si>
  <si>
    <t xml:space="preserve">'=D113&lt;(D110-D111) CONCATENATE(D110-D113-D111," implementation costs missing") D113=0 "No credits entered" COUNTIF(H9:H95,0)&gt;ROUND(0.25*D110,0) COUNTIF(H9:H95,0) " $0 cost(s) provided. Enter a value or explain the $0 value in the Comments column." </t>
  </si>
  <si>
    <t>Retail Centre v1</t>
  </si>
  <si>
    <t>F118</t>
  </si>
  <si>
    <t xml:space="preserve">'=E118&lt;E116 CONCATENATE(E116-E118," documentation costs missing") IF(E118=0,"No credits entered",IF(COUNTIF(H9:H101,0)&gt;0,CONCATENATE(COUNTIF(H9:H101,0)," $0 cost(s) provided. Enter a value or explain the $0 value in the Comments column."),"No Issues")) </t>
  </si>
  <si>
    <t>F119</t>
  </si>
  <si>
    <t xml:space="preserve">'=E119&lt;(E116-E117) CONCATENATE(E116-E119-E117," implementation costs missing") E119=0 "No credits entered" COUNTIF(I9:I101,0)&gt;ROUND(0.25*E116,0) COUNTIF(I9:I101,0) " $0 cost(s) provided. Enter a value or explain the $0 value in the Comments column." </t>
  </si>
  <si>
    <t>I183</t>
  </si>
  <si>
    <t>HAVE ALL THE ISSUES OUTLINED BEEN ADDRESSED?</t>
  </si>
  <si>
    <t>Removed the tick boxes as the Innovation Point Recommendation will be made visbile to project teams and tick boxes were redundant. Instead, added in an option (hidden) for Team Admin to indicate that project team have checked the issues outlined and addressed them e.g. added comments for the $0 costs. The messages for the issues will remain and team admin and select yes or no which will then change the point recommendation for the assessor to see.</t>
  </si>
  <si>
    <t>J184</t>
  </si>
  <si>
    <t>'=IF(OR(COUNTIF(K174:L182,"No Issues*")=9,K183="YES"),"1 POINT AWARDED", "1 POINT NOT AWARDED")</t>
  </si>
  <si>
    <t>H152</t>
  </si>
  <si>
    <t>I153</t>
  </si>
  <si>
    <t>'=IF(OR(COUNTIF(J143:K151,"No Issues*")=9,J152="YES"),"1 POINT AWARDED","1 POINT NOT AWARDED")</t>
  </si>
  <si>
    <t>I131</t>
  </si>
  <si>
    <t>J132</t>
  </si>
  <si>
    <t>'=IF(OR(COUNTIF(K123:L130,"No Issues*")=8,K131="YES"),"1 POINT AWARDED","1 POINT NOT AWARDED")</t>
  </si>
  <si>
    <t>J133</t>
  </si>
  <si>
    <t>'=IF(OR(COUNTIF(L126:M132,"No Issues*")=7,L133="YES"),"1 POINT AWARDED","1 POINT NOT AWARDED")</t>
  </si>
  <si>
    <t>C115</t>
  </si>
  <si>
    <t>D116</t>
  </si>
  <si>
    <t>'=IF(OR(COUNTIF(E107:F114,"No Issues*")=8,E115="YES"),"1 POINT AWARDED","1 POINT NOT AWARDED")</t>
  </si>
  <si>
    <t>I139</t>
  </si>
  <si>
    <t>J140</t>
  </si>
  <si>
    <t>'=IF(OR(COUNTIF(K132:L138,"No Issues*")=7,K139="YES"),"1 POINT AWARDED","1 POINT NOT AWARDED")</t>
  </si>
  <si>
    <t>D143</t>
  </si>
  <si>
    <t>E144</t>
  </si>
  <si>
    <t>'=IF(OR(COUNTIF(F135:G142,"No Issues*")=8,F143="YES"),"1 POINT AWARDED","1 POINT NOT AWARDED")</t>
  </si>
  <si>
    <t>D145</t>
  </si>
  <si>
    <t>E146</t>
  </si>
  <si>
    <t>'=IF(OR(COUNTIF(F137:G144,"No Issues*")=8,F145="YES"),"1 POINT AWARDED","1 POINT NOT AWARDED")</t>
  </si>
  <si>
    <t>D139</t>
  </si>
  <si>
    <t>E140</t>
  </si>
  <si>
    <t>'=IF(OR(COUNTIF(F131:G138,"No Issues*")=8,F139="YES"),"1 POINT AWARDED","1 POINT NOT AWARDED")</t>
  </si>
  <si>
    <t>D125</t>
  </si>
  <si>
    <t>E126</t>
  </si>
  <si>
    <t>'=IF(OR(COUNTIF(F117:G124,"No Issues*")=8,F125="YES"),"1 POINT AWARDED","1 POINT NOT AWARDED")</t>
  </si>
  <si>
    <t>D135</t>
  </si>
  <si>
    <t>E136</t>
  </si>
  <si>
    <t>'=IF(OR(COUNTIF(F127:G134,"No Issues*")=8,F135="YES"),"1 POINT AWARDED","1 POINT NOT AWARDED")</t>
  </si>
  <si>
    <t>C117</t>
  </si>
  <si>
    <t>D118</t>
  </si>
  <si>
    <t>'=IF(OR(COUNTIF(E109:F116,"No Issues*")=8,E117="YES"),"1 POINT AWARDED","1 POINT NOT AWARDED")</t>
  </si>
  <si>
    <t>D123</t>
  </si>
  <si>
    <t>E124</t>
  </si>
  <si>
    <t>'=IF(OR(COUNTIF(F115:G122,"No Issues*")=8,F123="YES"),"1 POINT AWARDED","1 POINT NOT AWARDED")</t>
  </si>
  <si>
    <t>Green Star Number:</t>
  </si>
  <si>
    <t>Please enter the Green Star number</t>
  </si>
  <si>
    <t>Project Name:</t>
  </si>
  <si>
    <t>Please enter the project name</t>
  </si>
  <si>
    <t>Points Available</t>
  </si>
  <si>
    <t>NA Points</t>
  </si>
  <si>
    <t>NA - T/F</t>
  </si>
  <si>
    <t>Targeted Rating:</t>
  </si>
  <si>
    <t>Please select targeted rating</t>
  </si>
  <si>
    <t>CORE POINTS AVAILABLE</t>
  </si>
  <si>
    <t>TOTAL SCORE TARGETED</t>
  </si>
  <si>
    <t>Rating Tool</t>
  </si>
  <si>
    <t>Design &amp; As Built NZ v1.0</t>
  </si>
  <si>
    <t>Design Review</t>
  </si>
  <si>
    <t>Select round of submission</t>
  </si>
  <si>
    <t>NA</t>
  </si>
  <si>
    <t>CATEGORY / CREDIT</t>
  </si>
  <si>
    <t>AIM OF THE CREDIT / SELECTION</t>
  </si>
  <si>
    <t>CODE</t>
  </si>
  <si>
    <t>CREDIT CRITERIA</t>
  </si>
  <si>
    <t>POINTS AVAILABLE</t>
  </si>
  <si>
    <t>POINTS TARGETED</t>
  </si>
  <si>
    <t>DOCUMENTATION COST</t>
  </si>
  <si>
    <t>IMPLEMENTATION COST</t>
  </si>
  <si>
    <t>COMMENTS</t>
  </si>
  <si>
    <t>Check Documentation Cost Provided</t>
  </si>
  <si>
    <t>Check Implementation Cost Provided</t>
  </si>
  <si>
    <t>Management</t>
  </si>
  <si>
    <t>Select type of submission</t>
  </si>
  <si>
    <t>4 Star</t>
  </si>
  <si>
    <t>Green Star Accredited Professional</t>
  </si>
  <si>
    <t>To recognise projects that engage a Green Star Accredited Professional to support the Green Star certification process.</t>
  </si>
  <si>
    <t>Round 1</t>
  </si>
  <si>
    <t>5 Star</t>
  </si>
  <si>
    <t>Commissioning and Tuning</t>
  </si>
  <si>
    <t>To encourage and recognise commissioning, handover and tuning initiatives that ensure all building services operate to their full potential and as designed.</t>
  </si>
  <si>
    <t>Environmental Performance Targets</t>
  </si>
  <si>
    <t>-</t>
  </si>
  <si>
    <t>Performance Pathway</t>
  </si>
  <si>
    <t>Complies</t>
  </si>
  <si>
    <t>As Built</t>
  </si>
  <si>
    <t>Round 2</t>
  </si>
  <si>
    <t>6 Star</t>
  </si>
  <si>
    <t>Services and Maintainability Review</t>
  </si>
  <si>
    <t>Prescriptive Pathway</t>
  </si>
  <si>
    <t>Core</t>
  </si>
  <si>
    <t>Awarded - Compliant</t>
  </si>
  <si>
    <t>Does not comply</t>
  </si>
  <si>
    <t>Building Commissioning</t>
  </si>
  <si>
    <t>Stage 1</t>
  </si>
  <si>
    <t>Awarded - Minor non-compliance</t>
  </si>
  <si>
    <t>Building Systems Tuning</t>
  </si>
  <si>
    <t>Stage 2</t>
  </si>
  <si>
    <t>Not Awarded - Major non-compliance</t>
  </si>
  <si>
    <t>Independent Commissioning Agent</t>
  </si>
  <si>
    <t>Stage 3</t>
  </si>
  <si>
    <t>Adaptation and Resilience</t>
  </si>
  <si>
    <t>To encourage and recognise projects that are resilient to the impacts of a changing climate and natural disasters.</t>
  </si>
  <si>
    <t>Implementation of a Climate Adaptation Plan</t>
  </si>
  <si>
    <t>Earthquake Resilience</t>
  </si>
  <si>
    <t>To recognise the development and provision of building information that facilitates operator and user understanding of a building's systems, their operation and maintenance requirements, and their environmental targets, to enable optimised performance.</t>
  </si>
  <si>
    <t>Commitment to Performance</t>
  </si>
  <si>
    <t>To recognise practices that encourage building owners, building occupants and facilities management teams to set targets and monitor environmental performance in a collaborative way.</t>
  </si>
  <si>
    <t>Environmental Building Performance</t>
  </si>
  <si>
    <t>End of Life Waste Performance</t>
  </si>
  <si>
    <t>Metering and Monitoring</t>
  </si>
  <si>
    <t>To recognise the implementation of effective energy and water metering and monitoring systems.</t>
  </si>
  <si>
    <t>Metering</t>
  </si>
  <si>
    <t>Monitoring Systems</t>
  </si>
  <si>
    <t>Responsible Construction Practices</t>
  </si>
  <si>
    <t>To reward responsible construction practices that manage environmental impacts, enhance staff health and wellbeing, and improve sustainability knowledge on site.</t>
  </si>
  <si>
    <t>Environmental Management Plan</t>
  </si>
  <si>
    <t>Formalised Environmental Management System</t>
  </si>
  <si>
    <t>Operational Waste</t>
  </si>
  <si>
    <t>8A</t>
  </si>
  <si>
    <t>Performance Pathway - Specialist Plan</t>
  </si>
  <si>
    <t>8B</t>
  </si>
  <si>
    <t>Prescriptive Pathway - Facilities</t>
  </si>
  <si>
    <t>Total</t>
  </si>
  <si>
    <t>Indoor Environment Quality</t>
  </si>
  <si>
    <t>Indoor Air Quality</t>
  </si>
  <si>
    <t>To recognise projects that provide high indoor air quality to occupants.</t>
  </si>
  <si>
    <t>Ventilation System Attributes</t>
  </si>
  <si>
    <t>Provision of Outdoor Air</t>
  </si>
  <si>
    <t>Exhaust or Elimination of Pollutants</t>
  </si>
  <si>
    <t>Acoustic Comfort</t>
  </si>
  <si>
    <t>To reward projects that provide appropriate and comfortable acoustic conditions for occupants.</t>
  </si>
  <si>
    <t>Internal Noise Levels</t>
  </si>
  <si>
    <t>Reverberation</t>
  </si>
  <si>
    <t>Acoustic Separation</t>
  </si>
  <si>
    <t>Lighting Comfort</t>
  </si>
  <si>
    <t>To encourage and recognise well-lit spaces that provide a high degree of comfort to users.</t>
  </si>
  <si>
    <t>Minimum Lighting Comfort</t>
  </si>
  <si>
    <t>General Illuminance and Glare Reduction</t>
  </si>
  <si>
    <t>Surface Illuminance</t>
  </si>
  <si>
    <t>Localised Lighting Control</t>
  </si>
  <si>
    <t>Visual Comfort</t>
  </si>
  <si>
    <t>To recognise the delivery of well-lit spaces that provide high levels of visual comfort to building occupants.</t>
  </si>
  <si>
    <t>Glare Reduction</t>
  </si>
  <si>
    <t>Daylight</t>
  </si>
  <si>
    <t>Views</t>
  </si>
  <si>
    <t>Indoor Pollutants</t>
  </si>
  <si>
    <t>To recognise projects that safeguard occupant health through the reduction in internal air pollutant levels.</t>
  </si>
  <si>
    <t>Paints, Adhesives, Sealants and Carpets</t>
  </si>
  <si>
    <t>Engineered Wood Products</t>
  </si>
  <si>
    <t>Thermal Comfort</t>
  </si>
  <si>
    <t>To recognise projects that achieve high levels of thermal comfort.</t>
  </si>
  <si>
    <t>Advanced Thermal Comfort</t>
  </si>
  <si>
    <t>Energy</t>
  </si>
  <si>
    <t>Greenhouse Gas Emissions</t>
  </si>
  <si>
    <t>To encourage energy efficient buildings and the reduction of greenhouse gas (GHG) emissions associated with the use of energy in building operations.</t>
  </si>
  <si>
    <t>Conditional Requirement</t>
  </si>
  <si>
    <t>GHG Emissions Reduction: Reference Building Pathway</t>
  </si>
  <si>
    <t>Peak Electricity Demand Reduction</t>
  </si>
  <si>
    <t>16A</t>
  </si>
  <si>
    <t>Prescriptive Pathway: On-site Energy Generation</t>
  </si>
  <si>
    <t>16B</t>
  </si>
  <si>
    <t>Modelled Performance Pathway: Reference Building</t>
  </si>
  <si>
    <t>Transport</t>
  </si>
  <si>
    <t>Sustainable Transport</t>
  </si>
  <si>
    <t>To reward projects that implement design and operational measures that reduce the carbon emissions arising from occupant travel to and from the project, when compared to a reference building. This also promotes the health and fitness of commuters, and the increased liveability of the location.</t>
  </si>
  <si>
    <t>Access by Public Transport</t>
  </si>
  <si>
    <t>Reduced Car Parking Provision</t>
  </si>
  <si>
    <t>Low Emission Vehicle Infrastructure</t>
  </si>
  <si>
    <t>Active Transport Facilities</t>
  </si>
  <si>
    <t>Walkable Neighbourhoods</t>
  </si>
  <si>
    <t>Water</t>
  </si>
  <si>
    <t>Potable Water</t>
  </si>
  <si>
    <t>18A</t>
  </si>
  <si>
    <t>Potable Water - Performance Pathway</t>
  </si>
  <si>
    <t>18B.1</t>
  </si>
  <si>
    <t>Sanitary Fixture Efficiency</t>
  </si>
  <si>
    <t>18B.2</t>
  </si>
  <si>
    <t>Rainwater Reuse</t>
  </si>
  <si>
    <t>18B.3</t>
  </si>
  <si>
    <t>Heat Rejection</t>
  </si>
  <si>
    <t>18B.4</t>
  </si>
  <si>
    <t>Landscape Irrigation</t>
  </si>
  <si>
    <t>18B.5</t>
  </si>
  <si>
    <t>Fire System Test Water</t>
  </si>
  <si>
    <t>Materials</t>
  </si>
  <si>
    <t>Life Cycle Assessment/Impacts</t>
  </si>
  <si>
    <t>Prescriptive Pathway - Life Cycle Impacts</t>
  </si>
  <si>
    <t>19A.1</t>
  </si>
  <si>
    <t>Comparative Life Cycle Assessment</t>
  </si>
  <si>
    <t>Performance Pathway - Life Cycle Assessment</t>
  </si>
  <si>
    <t>19A.2</t>
  </si>
  <si>
    <t>Additional Reporting</t>
  </si>
  <si>
    <t>19B.1</t>
  </si>
  <si>
    <t>Concrete</t>
  </si>
  <si>
    <t>19B.2</t>
  </si>
  <si>
    <t>Steel</t>
  </si>
  <si>
    <t>19B.3</t>
  </si>
  <si>
    <t>Building Reuse</t>
  </si>
  <si>
    <t>19B.4</t>
  </si>
  <si>
    <t>Structural Timber</t>
  </si>
  <si>
    <t>Responsible Building Materials</t>
  </si>
  <si>
    <t>To reward projects that include building materials that are responsibly sourced or have a sustainable supply chain.</t>
  </si>
  <si>
    <t>Structural and Reinforcing Steel</t>
  </si>
  <si>
    <t xml:space="preserve">Timber </t>
  </si>
  <si>
    <t>Permanent Formwork, Pipes, Flooring, Blinds and Cables</t>
  </si>
  <si>
    <t>Sustainable Products</t>
  </si>
  <si>
    <t>To encourage sustainability and transparency in product specification.</t>
  </si>
  <si>
    <t>Product Transparency and Sustainability</t>
  </si>
  <si>
    <t>Construction and Demolition Waste</t>
  </si>
  <si>
    <t>Percentage Benchmark</t>
  </si>
  <si>
    <t>22A</t>
  </si>
  <si>
    <t>Fixed Benchmark</t>
  </si>
  <si>
    <t>22B</t>
  </si>
  <si>
    <t>Land Use &amp; Ecology</t>
  </si>
  <si>
    <t>Ecological Value</t>
  </si>
  <si>
    <t>To reward projects that improve the ecological value of their site.</t>
  </si>
  <si>
    <t>Sustainable Sites</t>
  </si>
  <si>
    <t>To reward projects that choose to develop sites that have limited ecological value, that reuse previously developed land, and that remediate contaminated land.</t>
  </si>
  <si>
    <t>Conditional Requirement: Ecological Protection</t>
  </si>
  <si>
    <t>Reuse of Land</t>
  </si>
  <si>
    <t>Contamination and Hazardous Materials</t>
  </si>
  <si>
    <t>Emissions</t>
  </si>
  <si>
    <t>Stormwater</t>
  </si>
  <si>
    <t>To reward projects that minimise peak storm water outflows from the site and reduce pollutants entering the public sewer infrastructure or other water bodies.</t>
  </si>
  <si>
    <t>Stormwater Peak Discharge</t>
  </si>
  <si>
    <t>Stormwater Pollution Targets</t>
  </si>
  <si>
    <t>Light Pollution</t>
  </si>
  <si>
    <t>To reward projects that minimise light pollution.</t>
  </si>
  <si>
    <t>Light Pollution to Neighbouring Bodies</t>
  </si>
  <si>
    <t>Light Pollution to Night Sky</t>
  </si>
  <si>
    <t>Microbial Control</t>
  </si>
  <si>
    <t>To recognise projects that implement systems to minimise the impacts associated with harmful microbes in building cooling systems.</t>
  </si>
  <si>
    <t>Legionella Impacts from Cooling Systems</t>
  </si>
  <si>
    <t>Refrigerant Impacts</t>
  </si>
  <si>
    <t>To encourage practices that minimise the environmental impacts of refrigeration and air conditioning equipment.</t>
  </si>
  <si>
    <t>Refrigerants Impacts</t>
  </si>
  <si>
    <t>Innovation</t>
  </si>
  <si>
    <t>Innovative Technology or Process</t>
  </si>
  <si>
    <t>The project meets the aims of an existing credit using a technology or process that is considered innovative in New Zealand or the world.</t>
  </si>
  <si>
    <t>Market Transformation</t>
  </si>
  <si>
    <t>The project has undertaken a sustainability initiative that substantially contributes to the broader market transformation towards sustainable development in New Zealand or in the world.</t>
  </si>
  <si>
    <t>Improving on Green Star Benchmarks</t>
  </si>
  <si>
    <t>The project has achieved full points in a Green Star credit and demonstrates a substantial improvement on the benchmark required to achieve full points.
For credits where this Innovation criterion is applicable, improved benchmarks are included in the ‘Innovation’ section of the credit.</t>
  </si>
  <si>
    <t>Innovation Challenge</t>
  </si>
  <si>
    <t>The project can target any of the current Innovation Challenges that are published on the NZGBC and GBCA website. Alternatively, where the project addresses a sustainability issue not included within any of the credits in the existing Green Star rating tools, projects may propose a new Innovation Challenge.</t>
  </si>
  <si>
    <t>Global Sustainability</t>
  </si>
  <si>
    <t>Project teams may adopt an approved credit from a Global Green Building Rating tool that addresses a sustainability issue that is currently outside the scope of this Green Star rating tool.</t>
  </si>
  <si>
    <t>TOTAL NA POINTS</t>
  </si>
  <si>
    <t>TOTALS</t>
  </si>
  <si>
    <t>AVAILABLE</t>
  </si>
  <si>
    <t>TARGETED</t>
  </si>
  <si>
    <t>CORE POINTS</t>
  </si>
  <si>
    <t>CATEGORY PERCENTAGE SCORE</t>
  </si>
  <si>
    <t>INNOVATION POINTS</t>
  </si>
  <si>
    <t>ADDITIONAL COSTS</t>
  </si>
  <si>
    <t>TOTAL 
DOCUMENTATION COST</t>
  </si>
  <si>
    <t>TOTAL 
IMPLEMENTATION COST</t>
  </si>
  <si>
    <t>Total Design Cost</t>
  </si>
  <si>
    <t>Total Construction Cost</t>
  </si>
  <si>
    <t>Total Project Cost</t>
  </si>
  <si>
    <t>Green Star Certification Fees</t>
  </si>
  <si>
    <t>Green Star Implementation Cost</t>
  </si>
  <si>
    <t>Cost of Implementing Green Star</t>
  </si>
  <si>
    <t>ISSUES</t>
  </si>
  <si>
    <t>Do points targeted match the scorecard?</t>
  </si>
  <si>
    <t>No</t>
  </si>
  <si>
    <t>Number of Credits Targeted (Including NA)</t>
  </si>
  <si>
    <t>Number of NA Credits</t>
  </si>
  <si>
    <t>Documentation Costs Provided</t>
  </si>
  <si>
    <t>Implementation Costs Provided</t>
  </si>
  <si>
    <t>Total Design Cost Provided</t>
  </si>
  <si>
    <t>Total Construction Cost Provided</t>
  </si>
  <si>
    <t>Green Star Certification Fees Provided</t>
  </si>
  <si>
    <t>YES</t>
  </si>
  <si>
    <t>INNOVATION POINT RECOMMENDATION</t>
  </si>
  <si>
    <t>Design &amp; As Built NZ v1.1</t>
  </si>
  <si>
    <t>CR</t>
  </si>
  <si>
    <t xml:space="preserve">Independent Commissioning Agent </t>
  </si>
  <si>
    <t xml:space="preserve">Climate Change Pre-Screening Checklist </t>
  </si>
  <si>
    <t xml:space="preserve">Climate Change Risk Assessment and Adaptation Plan </t>
  </si>
  <si>
    <t xml:space="preserve">Environmental Management System </t>
  </si>
  <si>
    <t xml:space="preserve">17B Perscriptive Pathway </t>
  </si>
  <si>
    <t>17.A</t>
  </si>
  <si>
    <t xml:space="preserve">Performance Pathway </t>
  </si>
  <si>
    <t>17B.1</t>
  </si>
  <si>
    <t xml:space="preserve">Access by Public Transport </t>
  </si>
  <si>
    <t xml:space="preserve">17A Performance Pathway </t>
  </si>
  <si>
    <t>17B.2</t>
  </si>
  <si>
    <t xml:space="preserve">Reduced Car Parking Provision </t>
  </si>
  <si>
    <t>17B.3</t>
  </si>
  <si>
    <t xml:space="preserve">Low Emission Vehicle Infrastructure </t>
  </si>
  <si>
    <t>17B.4</t>
  </si>
  <si>
    <t xml:space="preserve">Active Transport Facilities </t>
  </si>
  <si>
    <t>17B.5</t>
  </si>
  <si>
    <t>Life Cycle Impacts</t>
  </si>
  <si>
    <t xml:space="preserve">Absolute Value Pathway - Upfront Carbon Reduction </t>
  </si>
  <si>
    <t xml:space="preserve">Reference Building Pathway - Upfront Carbon Reduction </t>
  </si>
  <si>
    <t xml:space="preserve">Long term Carbon Storage </t>
  </si>
  <si>
    <t xml:space="preserve">Reporting Accuracy </t>
  </si>
  <si>
    <t>22.2A</t>
  </si>
  <si>
    <t>22.2B</t>
  </si>
  <si>
    <t xml:space="preserve">Conditional Requirement: Ecological Protection and Highly Productive Land </t>
  </si>
  <si>
    <t>Core Points Available</t>
  </si>
  <si>
    <t xml:space="preserve">Total Score Targeted </t>
  </si>
  <si>
    <t>Rating Tool:</t>
  </si>
  <si>
    <t>Please select rating tool version</t>
  </si>
  <si>
    <t>Design &amp; As Built v1</t>
  </si>
  <si>
    <t>Design &amp; As Built v1.1</t>
  </si>
  <si>
    <t>Design &amp; As Built v1.2</t>
  </si>
  <si>
    <t>Accredited Professional</t>
  </si>
  <si>
    <t>Design &amp; As Built v1.3</t>
  </si>
  <si>
    <t>Minimum Requirement</t>
  </si>
  <si>
    <t>To recognise the development and provision of building information that facilitates understanding of a building's systems, operation and maintenance requirements, and environmental targets to enable the optimised performance.</t>
  </si>
  <si>
    <t>B. Prescriptive Pathway</t>
  </si>
  <si>
    <t>Performance Pathway: Specialist Plan</t>
  </si>
  <si>
    <t>A. Performance Pathway</t>
  </si>
  <si>
    <t>Prescriptive Pathway: Facilities</t>
  </si>
  <si>
    <t>To recognise projects that provide high air quality to occupants.</t>
  </si>
  <si>
    <t>To encourage and recognise projects that achieve high levels of thermal comfort.</t>
  </si>
  <si>
    <t>B. Performance Pathway</t>
  </si>
  <si>
    <t>Prescriptive Pathway: On-Site Energy Generation</t>
  </si>
  <si>
    <t>A. Prescriptive Pathway</t>
  </si>
  <si>
    <t>Performance Pathway: Reference Building</t>
  </si>
  <si>
    <t>A. Performance Pathway - Life Cycle Assessment</t>
  </si>
  <si>
    <t>B. Prescriptive Pathway - Life Cycle Impacts</t>
  </si>
  <si>
    <t>A. Reduced Mass of Steel Framing</t>
  </si>
  <si>
    <t>B. Reduced Use of Steel Reinforcement</t>
  </si>
  <si>
    <t xml:space="preserve">To reward projects that include materials that are responsibly sourced or have a sustainable supply chain. </t>
  </si>
  <si>
    <t>Timber Products</t>
  </si>
  <si>
    <t xml:space="preserve">To encourage sustainability and transparency in product specification. </t>
  </si>
  <si>
    <t>Endangered, Threatened or Vulnerable Species</t>
  </si>
  <si>
    <t>To reward projects that choose to develop sites that have limited ecological value, re-use previously developed land and remediate contaminate land.</t>
  </si>
  <si>
    <t>Heat Island Effect</t>
  </si>
  <si>
    <t>To encourage and recognise projects that reduce the contribution of the project site to the heat island effect.</t>
  </si>
  <si>
    <t>Heat Island Effect Reduction</t>
  </si>
  <si>
    <t>To reward projects that minimise peak stormwater flows and reduce pollutants entering public sewer infrastructure.</t>
  </si>
  <si>
    <t>To recognise projects that implement systems to minimise the impacts associated with harmful microbes in building systems.</t>
  </si>
  <si>
    <t>To encourage operational practices that minimise the environmental impacts of refrigeration equipment.</t>
  </si>
  <si>
    <t>The project meets the aims of an existing credit using a technology or process that is considered innovative in Australia or the world.</t>
  </si>
  <si>
    <t>30A</t>
  </si>
  <si>
    <t>The project has undertaken a sustainability initiative that substantially contributes to the broader market transformation towards sustainable development in Australia or in the world.</t>
  </si>
  <si>
    <t>30B</t>
  </si>
  <si>
    <t>The project has achieved full points in a Green Star credit and demonstrates a substantial improvement on the benchmark required to achieve full points.</t>
  </si>
  <si>
    <t>30C</t>
  </si>
  <si>
    <t>Where the project addresses an sustainability issue not included within any of the Credits in the existing Green Star rating tools.</t>
  </si>
  <si>
    <t>30D</t>
  </si>
  <si>
    <t>Project teams may adopt an approved credit from a Global Green Building Rating tool that addresses a sustainability issue that is currently outside the scope of this Green Star rating tools.</t>
  </si>
  <si>
    <t>30E</t>
  </si>
  <si>
    <t>Please enter the name of the project</t>
  </si>
  <si>
    <t>Total Score Targeted</t>
  </si>
  <si>
    <t>Interiors v1.1</t>
  </si>
  <si>
    <t>Interiors NZ v1.0</t>
  </si>
  <si>
    <t>Interiors v1.2</t>
  </si>
  <si>
    <t>Interiors v1.3</t>
  </si>
  <si>
    <t xml:space="preserve">No naturally ventilated space </t>
  </si>
  <si>
    <t>Awarded - Minor Non-compliance</t>
  </si>
  <si>
    <t>To recognise projects that engage a Green Star Accredited Professional to support the Green Star
certification process.</t>
  </si>
  <si>
    <t>Not Awarded - Major Non-compliance</t>
  </si>
  <si>
    <t>To encourage and recognise commissioning, handover and tuning initiatives that ensure all services
operate to their full potential and as designed.</t>
  </si>
  <si>
    <t>Fitout Commissioning</t>
  </si>
  <si>
    <t>Fitout Systems Tuning</t>
  </si>
  <si>
    <t>Fitout Information</t>
  </si>
  <si>
    <t>To recognise the development and provision of information that facilitates operator and user
understanding of fitout systems, their operation and maintenance requirements, and their
environmental targets, to enable optimised performance.</t>
  </si>
  <si>
    <t>Environmental Fitout Performance</t>
  </si>
  <si>
    <t>Ongoing Procurement</t>
  </si>
  <si>
    <t xml:space="preserve">Metering </t>
  </si>
  <si>
    <t>Monitoring System</t>
  </si>
  <si>
    <t>To reward projects that use best practice formal environmental management procedures during construction.</t>
  </si>
  <si>
    <t>Environmental Management Plan (EMP)</t>
  </si>
  <si>
    <t>Formalised Environmental Management System (EMS)</t>
  </si>
  <si>
    <t>7A</t>
  </si>
  <si>
    <t xml:space="preserve">Performance Pathway: Specialist Plan </t>
  </si>
  <si>
    <t>7B</t>
  </si>
  <si>
    <t>Indoor Plants</t>
  </si>
  <si>
    <t>Quality of Amenities</t>
  </si>
  <si>
    <t>Amenity Space – Prescriptive Pathway</t>
  </si>
  <si>
    <t>14A</t>
  </si>
  <si>
    <t>Amenity Space – Performance Pathway</t>
  </si>
  <si>
    <t>14B</t>
  </si>
  <si>
    <t>Ergonomics</t>
  </si>
  <si>
    <t>To recognise the provision of equipment and spaces that provide good user comfort and avoid stress or injury.</t>
  </si>
  <si>
    <t>Ergonomics Strategy</t>
  </si>
  <si>
    <t>Conditional Requirement: Prescriptive Pathway</t>
  </si>
  <si>
    <t>A. GHG Emissions Reduction – Prescriptive Pathway: Commercial or other Non-Residential Fitouts</t>
  </si>
  <si>
    <t>16.2.1 Lighting</t>
  </si>
  <si>
    <t>B. GHG Emissions Reduction – Prescriptive Pathway: Residential Fitouts</t>
  </si>
  <si>
    <t>16.2.2 Ventilation and Air-Conditioning</t>
  </si>
  <si>
    <t>C. GHG Emissions Reduction – NABERS Energy Commitment Agreement Pathway</t>
  </si>
  <si>
    <t xml:space="preserve">16.2.2.1 Naturally Ventilated Spaces </t>
  </si>
  <si>
    <t xml:space="preserve">16.2.2.2 Fan Motor Power and Pump Power </t>
  </si>
  <si>
    <t xml:space="preserve">16.2.2.3 Supplementary Space Heating </t>
  </si>
  <si>
    <t xml:space="preserve">16.2.2.4 Mechanical Cooling </t>
  </si>
  <si>
    <t>16.2.3 Domestic Hot Water Systems</t>
  </si>
  <si>
    <t>D. GHG Emissions Reduction – Reference Fitout Pathway</t>
  </si>
  <si>
    <t xml:space="preserve">16.2.4 IT Equipment </t>
  </si>
  <si>
    <t>16.2.5 Appliances and Equipment</t>
  </si>
  <si>
    <t xml:space="preserve">Deemed-to-satisfy </t>
  </si>
  <si>
    <t>To reward projects that implement design and operational measures that reduce the carbon emissions arising from occupant travel to and from the project, when compared to a reference fitout. This also promotes the health and fitness of commuters, and the increased liveability of the location.</t>
  </si>
  <si>
    <t xml:space="preserve">Transport Calculator </t>
  </si>
  <si>
    <t>Domestic Appliances Efficiency</t>
  </si>
  <si>
    <t>Commercial or Industrial Appliances</t>
  </si>
  <si>
    <t>Shared Amenities</t>
  </si>
  <si>
    <t>Life Cycle Assessment</t>
  </si>
  <si>
    <t>To reward the reduction of the environmental impacts of building materials and methods for the whole
fitout over its entire life cycle.</t>
  </si>
  <si>
    <t>Additional Life Cycle Impact Reporting</t>
  </si>
  <si>
    <t xml:space="preserve">To reward projects that include building materials that are responsibly sourced or have a sustainable supply chain. </t>
  </si>
  <si>
    <t>Timber</t>
  </si>
  <si>
    <t>Sustainable  Products</t>
  </si>
  <si>
    <t>Permanent Formwork, Cables, Pipes, Floors and Blinds</t>
  </si>
  <si>
    <t>To reward projects that reduce construction waste going to landfill by reusing or recycling building materials.</t>
  </si>
  <si>
    <t>Reduction of Construction and Demolition Waste - Percentage Benchmark</t>
  </si>
  <si>
    <t>To reward projects that choose to develop sites that have limited ecological value, that reuse previously developed land, and that remediate interiors.</t>
  </si>
  <si>
    <t>Base Building Sustainability</t>
  </si>
  <si>
    <t>Base Building Cultural Heritage Significance</t>
  </si>
  <si>
    <t>Hazardous Materials</t>
  </si>
  <si>
    <t xml:space="preserve">Resilient Building </t>
  </si>
  <si>
    <t>TOTAL DOCUMENTATION COST</t>
  </si>
  <si>
    <t>TOTAL IMPLEMENTATION COST</t>
  </si>
  <si>
    <t xml:space="preserve">CORE SCORE </t>
  </si>
  <si>
    <t>Issues</t>
  </si>
  <si>
    <t>Yes</t>
  </si>
  <si>
    <t>Credits Targeted</t>
  </si>
  <si>
    <t>Interiors NZ v1.1</t>
  </si>
  <si>
    <t xml:space="preserve">Conditional Requirement </t>
  </si>
  <si>
    <t>Non Residential Fitouts: Perspective Pathway</t>
  </si>
  <si>
    <t>16.2A</t>
  </si>
  <si>
    <t>16.2B</t>
  </si>
  <si>
    <t xml:space="preserve">Non Residential Fitouts: Reference Fitout Pathway </t>
  </si>
  <si>
    <t>17A</t>
  </si>
  <si>
    <t xml:space="preserve">17B Prescriptive Pathway </t>
  </si>
  <si>
    <t>Deemed to Satisfy</t>
  </si>
  <si>
    <t>A. Performance Pathway: Specialist Plan</t>
  </si>
  <si>
    <t>Prescriptive Pathway: Amenity Space</t>
  </si>
  <si>
    <t>B. Prescriptive Pathway: Residential Fitouts</t>
  </si>
  <si>
    <t>16A.0</t>
  </si>
  <si>
    <t>16A.1</t>
  </si>
  <si>
    <t>Lighting</t>
  </si>
  <si>
    <t>16A.2</t>
  </si>
  <si>
    <t>Ventilation and Air-Conditioning</t>
  </si>
  <si>
    <t>C. NABERS Energy Commitment Agreement Pathway</t>
  </si>
  <si>
    <t>16A.3</t>
  </si>
  <si>
    <t>D. Reference Fitout Pathway</t>
  </si>
  <si>
    <t>16A.4</t>
  </si>
  <si>
    <t xml:space="preserve">IT Equipment </t>
  </si>
  <si>
    <t>16A.5</t>
  </si>
  <si>
    <t>Appliances and Equipment</t>
  </si>
  <si>
    <t>16A.6</t>
  </si>
  <si>
    <t>16B.0</t>
  </si>
  <si>
    <t>Conditional Requirement: Residential Fitout Pathway</t>
  </si>
  <si>
    <t>16B.1</t>
  </si>
  <si>
    <t>16B.2</t>
  </si>
  <si>
    <t>16B.3</t>
  </si>
  <si>
    <t>Domestic Hot Water</t>
  </si>
  <si>
    <t>16B.4</t>
  </si>
  <si>
    <t>Domestic Appliances and Equipment</t>
  </si>
  <si>
    <t>16B.5</t>
  </si>
  <si>
    <t>16C.0</t>
  </si>
  <si>
    <t>Conditional Requirement: NABERS Energy Commitment Agreement</t>
  </si>
  <si>
    <t>16C.1</t>
  </si>
  <si>
    <t>16D.0</t>
  </si>
  <si>
    <t>16D.1</t>
  </si>
  <si>
    <t>A. Fixed Benchmark</t>
  </si>
  <si>
    <t>B. Percentage Benchmark</t>
  </si>
  <si>
    <t>Light Pollution to Neighbouring Properties</t>
  </si>
  <si>
    <t>27A</t>
  </si>
  <si>
    <t>27B</t>
  </si>
  <si>
    <t>27C</t>
  </si>
  <si>
    <t>27D</t>
  </si>
  <si>
    <t>27E</t>
  </si>
  <si>
    <t>YES/NO</t>
  </si>
  <si>
    <t>Communities v1</t>
  </si>
  <si>
    <t>Communities v1.1</t>
  </si>
  <si>
    <t>Initial</t>
  </si>
  <si>
    <t>Recertification</t>
  </si>
  <si>
    <t>DOCUMENTATION
COST</t>
  </si>
  <si>
    <t>IMPLEMENTATION
COST</t>
  </si>
  <si>
    <t>Governance</t>
  </si>
  <si>
    <t>To encourage and recognise projects that undertake a design review process designed to facilitate sustainable urbanism.</t>
  </si>
  <si>
    <t>Site Planning and Layout</t>
  </si>
  <si>
    <t>Urban Design</t>
  </si>
  <si>
    <t>Engagement</t>
  </si>
  <si>
    <t>To encourage and recognise projects that develop and implement a comprehensive, project specific stakeholder engagement strategy early in the planning process to inform the planning and design of the plan for development.</t>
  </si>
  <si>
    <t>Stakeholder Engagement Strategy</t>
  </si>
  <si>
    <t>Strategy Implementation</t>
  </si>
  <si>
    <t>Climate Adaptation</t>
  </si>
  <si>
    <t>Community Resilience</t>
  </si>
  <si>
    <t>Corporate Responsibility</t>
  </si>
  <si>
    <t xml:space="preserve">To encourage and recognise projects with a project applicant that has corporate responsibility as a core value. </t>
  </si>
  <si>
    <t>Sustainability Reporting</t>
  </si>
  <si>
    <t>Sustainability Awareness</t>
  </si>
  <si>
    <t>To encourage and recognise those projects that enhance knowledge and understanding of its sustainability attributes.</t>
  </si>
  <si>
    <t>Community Users' Guide</t>
  </si>
  <si>
    <t>Sustainability Education Facilities</t>
  </si>
  <si>
    <t>Community Participation and Governance</t>
  </si>
  <si>
    <t>To encourage and recognise projects that establish mechanisms for community management arrangements for facilities and programs.</t>
  </si>
  <si>
    <t>Community Facility Management</t>
  </si>
  <si>
    <t>Community Program Management</t>
  </si>
  <si>
    <t>Environmental Management</t>
  </si>
  <si>
    <t xml:space="preserve">To encourage and recognise the adoption of formal environmental management practices.  </t>
  </si>
  <si>
    <t>Environmental Management System</t>
  </si>
  <si>
    <t>Liveability</t>
  </si>
  <si>
    <t>Healthy and Active Living</t>
  </si>
  <si>
    <t>To encourage and recognise projects that promote healthy and active living.</t>
  </si>
  <si>
    <t>Minimum Requirement - Footpaths</t>
  </si>
  <si>
    <t>Active Lifestyle</t>
  </si>
  <si>
    <t>Recreational Facilities</t>
  </si>
  <si>
    <t>Healthy Places</t>
  </si>
  <si>
    <t>Community Development</t>
  </si>
  <si>
    <t>To encourage and recognise projects that engage in and facilitate the development of the project’s community.</t>
  </si>
  <si>
    <t>Minimum Requirement - Community Development Plan</t>
  </si>
  <si>
    <t>Community Development Officer</t>
  </si>
  <si>
    <t>Community Group</t>
  </si>
  <si>
    <t>Community Events</t>
  </si>
  <si>
    <t>Community Information</t>
  </si>
  <si>
    <t>Sustainable Buildings</t>
  </si>
  <si>
    <t>Certified Non-Residential Buildings</t>
  </si>
  <si>
    <t>NatHERS and Livable Housing Australia</t>
  </si>
  <si>
    <t>Culture, Heritage and Identity</t>
  </si>
  <si>
    <t>To encourage and recognise projects that celebrate and incorporate the heritage, culture and historical context of the project site, supporting communities and places with the development of a sense of place and identity.</t>
  </si>
  <si>
    <t>Understanding Culture, Heritage and Identity</t>
  </si>
  <si>
    <t>Enhancing Community Culture, Heritage and Identity</t>
  </si>
  <si>
    <t>Walkable Access to Amenities</t>
  </si>
  <si>
    <t>To encourage and recognise projects that have walkable access to a diverse number of amenities that reflect the predicted demographic of the project’s community.</t>
  </si>
  <si>
    <t>Access to Fresh Food</t>
  </si>
  <si>
    <t xml:space="preserve">To encourage and recognise projects that have access to fresh food locally. </t>
  </si>
  <si>
    <t>Local Food Production</t>
  </si>
  <si>
    <t>Safe Places</t>
  </si>
  <si>
    <t>To recognise projects in which the activity of planning and detailed design for land use, development and redevelopment takes into consideration designing out crime principles.</t>
  </si>
  <si>
    <t>Minimum Requirement - Visibility</t>
  </si>
  <si>
    <t>Design for Safety</t>
  </si>
  <si>
    <t>Economic Prosperity</t>
  </si>
  <si>
    <t>Community Investment</t>
  </si>
  <si>
    <t>To encourage and recognise projects investing in infrastructure within the development for community benefit.</t>
  </si>
  <si>
    <t>Community Infrastructure Investment</t>
  </si>
  <si>
    <t>Affordability</t>
  </si>
  <si>
    <t>Residential Affordability Strategies</t>
  </si>
  <si>
    <t>Non-Residential Affordability Strategies</t>
  </si>
  <si>
    <t>Employment and Economic Resilience</t>
  </si>
  <si>
    <t>To encourage and recognise projects with local and diverse employment opportunities.</t>
  </si>
  <si>
    <t>Net Percentage Increase of Local Jobs</t>
  </si>
  <si>
    <t>Diverse Local Employment - Performance Pathway</t>
  </si>
  <si>
    <t>18.2A</t>
  </si>
  <si>
    <t>Diverse Local Employment – Performance Pathway</t>
  </si>
  <si>
    <t>18.2B</t>
  </si>
  <si>
    <t>Proximity to Major City – Prescriptive Pathway</t>
  </si>
  <si>
    <t>Proximity to Major City - Prescriptive Pathway</t>
  </si>
  <si>
    <t>18.2C</t>
  </si>
  <si>
    <t>NCC Class mix – Prescriptive Pathway</t>
  </si>
  <si>
    <t>NCC Class Mix - Prescriptive Pathway</t>
  </si>
  <si>
    <t>Education and Skills Development</t>
  </si>
  <si>
    <t>To encourage and recognise projects that have access to further education and/or provide a skills and industry capacity development opportunities.</t>
  </si>
  <si>
    <t>Higher Education Facilities</t>
  </si>
  <si>
    <t>Skills Development Programs</t>
  </si>
  <si>
    <t>Industry Capacity Development</t>
  </si>
  <si>
    <t>Return on Investment</t>
  </si>
  <si>
    <t>To encourage and recognise holistic methods to assess the return on investment in response to the sustainability goals for the project.</t>
  </si>
  <si>
    <t>Analysis of Direct Costs and Benefits</t>
  </si>
  <si>
    <t>Analysis of Indirect Costs and Benefits</t>
  </si>
  <si>
    <t>Incentive Programs</t>
  </si>
  <si>
    <t>Residential Incentives</t>
  </si>
  <si>
    <t>Non-residential Incentives</t>
  </si>
  <si>
    <t>Digital Infrastructure</t>
  </si>
  <si>
    <t>To encourage and recognise projects that use digital infrastructure to create greater efficiencies in the connection of individuals with other people, goods, services, and information.</t>
  </si>
  <si>
    <t>High-speed Broadband</t>
  </si>
  <si>
    <t>Wireless Local Area Network</t>
  </si>
  <si>
    <t xml:space="preserve">Peak Electricity Demand </t>
  </si>
  <si>
    <t>On-site Generation – Prescriptive Pathway</t>
  </si>
  <si>
    <t>23A</t>
  </si>
  <si>
    <t>Reduced Peak Electricity Demand - Performance Pathway</t>
  </si>
  <si>
    <t>23B.i</t>
  </si>
  <si>
    <t>23B.ii</t>
  </si>
  <si>
    <t>Energy Storage – Prescriptive Pathway</t>
  </si>
  <si>
    <t>Environment</t>
  </si>
  <si>
    <t>Integrated Water Cycle</t>
  </si>
  <si>
    <t>Water Sensitive Urban Design – Performance Pathway</t>
  </si>
  <si>
    <t>Water Management – Prescriptive Pathway</t>
  </si>
  <si>
    <t>Stormwater Quality</t>
  </si>
  <si>
    <t>Greenhouse Gas Strategy</t>
  </si>
  <si>
    <t>Greenhouse Gas Strategy  – Performance Pathway</t>
  </si>
  <si>
    <t>25A</t>
  </si>
  <si>
    <t>25B.1</t>
  </si>
  <si>
    <t>Energy Efficiency - Infrastructure Lighting</t>
  </si>
  <si>
    <t xml:space="preserve">Greenhouse Gas Strategy – Prescriptive Pathway </t>
  </si>
  <si>
    <t>25B.2</t>
  </si>
  <si>
    <t>Energy Efficiency - Existing Buildings</t>
  </si>
  <si>
    <t>25B.3</t>
  </si>
  <si>
    <t>Renewable Energy Production</t>
  </si>
  <si>
    <t>25B.4</t>
  </si>
  <si>
    <t>District Heating and Cooling</t>
  </si>
  <si>
    <t>Life Cycle Assessment (LCA) – Performance Pathway</t>
  </si>
  <si>
    <t>26A</t>
  </si>
  <si>
    <t>26B</t>
  </si>
  <si>
    <t xml:space="preserve">Life Cycle Impacts – Prescriptive Pathway </t>
  </si>
  <si>
    <t>Sustainable Transport and Movement</t>
  </si>
  <si>
    <t>Sustainable Transport and Movement: Performance Pathway</t>
  </si>
  <si>
    <t>Sustainable Transport and Movement: Prescriptive Pathway</t>
  </si>
  <si>
    <t>To encourage projects that avoid or minimise impacts on environmentally sensitive sites while recognising projects that reuse previously developed land and reclaim contaminated land using best practice remediation.</t>
  </si>
  <si>
    <t>Previously Developed Land</t>
  </si>
  <si>
    <t>Best Practice Site Decontamination</t>
  </si>
  <si>
    <t>To encourage and recognise projects that enhance the ecological value of the project site.</t>
  </si>
  <si>
    <t>Change of Ecological Value</t>
  </si>
  <si>
    <t>Biodiversity Enhancement</t>
  </si>
  <si>
    <t>Waste Management</t>
  </si>
  <si>
    <t>To encourage and recognise projects that reduce the environmental impact of waste.</t>
  </si>
  <si>
    <t>Construction, and Demolition Waste</t>
  </si>
  <si>
    <t>To encourage and recognise projects that implement measures to reduce heat island effect.</t>
  </si>
  <si>
    <t>To encourage and recognise projects that minimise the adverse impact of light emissions.</t>
  </si>
  <si>
    <t>33A</t>
  </si>
  <si>
    <t>33B</t>
  </si>
  <si>
    <t>33C</t>
  </si>
  <si>
    <t>33D</t>
  </si>
  <si>
    <t>33E</t>
  </si>
  <si>
    <t>RATING ACHIEVED</t>
  </si>
  <si>
    <t>Performance PILOT</t>
  </si>
  <si>
    <t>1 Star</t>
  </si>
  <si>
    <t>Year 1 Audit</t>
  </si>
  <si>
    <t>Performance v1</t>
  </si>
  <si>
    <t>2 Star</t>
  </si>
  <si>
    <t>Performance v1.2</t>
  </si>
  <si>
    <t>Year 2 Audit</t>
  </si>
  <si>
    <t>Performance v1.1</t>
  </si>
  <si>
    <t>3 Star</t>
  </si>
  <si>
    <t>Performance Period</t>
  </si>
  <si>
    <t>Please enter the project's performance period</t>
  </si>
  <si>
    <t>CREDIT</t>
  </si>
  <si>
    <t>AIM OF THE CREDIT / PATHWAY SELECTION</t>
  </si>
  <si>
    <t>TYPE</t>
  </si>
  <si>
    <t>To encourage and recognise the involvement of Green Star Accredited Professionals in the facilities management and operations of premises.</t>
  </si>
  <si>
    <t>Action</t>
  </si>
  <si>
    <t>GSAP - Performance</t>
  </si>
  <si>
    <t>To recognise the provision of information describing a building’s systems, operations and maintenance requirements and environmental targets for optimum holistic performance.</t>
  </si>
  <si>
    <t>Operation and Maintenance Information</t>
  </si>
  <si>
    <t>Occupant and User Information</t>
  </si>
  <si>
    <t>To recognise the operational practices which facilitate the effective ongoing monitoring of water and energy consumption.</t>
  </si>
  <si>
    <t>Building</t>
  </si>
  <si>
    <t>Tuning and Commissioning</t>
  </si>
  <si>
    <t>To recognise the ongoing tuning processes (as well as effective commissioning, recommissioning or retro-commissioning) that ensure building systems operate to their optimum performance.</t>
  </si>
  <si>
    <t>Comprehensive Tuning Process</t>
  </si>
  <si>
    <t>Commissioning, Recommissioning or Retro-commissioning</t>
  </si>
  <si>
    <t>To recognise the adoption of a formal system of environmental management, in line with established leading practice guidelines for the operation of facilities.</t>
  </si>
  <si>
    <t>Policy</t>
  </si>
  <si>
    <t>Formalised Management System</t>
  </si>
  <si>
    <t>Third-party Certification of Management System</t>
  </si>
  <si>
    <t>Green Cleaning</t>
  </si>
  <si>
    <t>To encourage green cleaning services that prevent the use of contaminants that impact on indoor environment quality, occupant health and the natural environment.</t>
  </si>
  <si>
    <t>Green Cleaning Policy</t>
  </si>
  <si>
    <t>Green Cleaning Implementation in Common Areas</t>
  </si>
  <si>
    <t>Green Cleaning Implementation in All Areas</t>
  </si>
  <si>
    <t>To recognise operational practices that allow and encourage building owners, building occupants and facilities management teams to set targets and monitor environmental performance in a collaborative way.</t>
  </si>
  <si>
    <t>End-of-life Waste Performance</t>
  </si>
  <si>
    <t>Best Practice Procedures for Indoor Environment</t>
  </si>
  <si>
    <t>To recognise operational practices that provide occupants with high quality indoor air.</t>
  </si>
  <si>
    <t>HVAC Maintenance, Cleaning and Hygiene</t>
  </si>
  <si>
    <t>Outdoor Pollutant Control: 
Carbon Monoxide Concentration</t>
  </si>
  <si>
    <t>Data</t>
  </si>
  <si>
    <t>Indoor Pollutant Control: 
Carbon Dioxide Concentration</t>
  </si>
  <si>
    <t>To recognise operational practices and actions that reduce health risks to occupants associated with the presence of hazardous materials in buildings.</t>
  </si>
  <si>
    <t>Location Assessment</t>
  </si>
  <si>
    <t>Refurbishment and Demolition Assessment</t>
  </si>
  <si>
    <t>To recognise the operational practices providing occupants with a high degree of lighting comfort.</t>
  </si>
  <si>
    <t>Lighting Fixture Performance</t>
  </si>
  <si>
    <t>General Illuminance</t>
  </si>
  <si>
    <t xml:space="preserve">Daylight &amp; Views </t>
  </si>
  <si>
    <t>To recognise naturally lit spaces providing occupants with access to appropriate daylight and views for the activities being performed during the performance period.</t>
  </si>
  <si>
    <t>Daylight Access</t>
  </si>
  <si>
    <t>Views and Lines of Sight</t>
  </si>
  <si>
    <t>A. Measurement</t>
  </si>
  <si>
    <t>12A.1</t>
  </si>
  <si>
    <t>Indoor Temperature</t>
  </si>
  <si>
    <t>B. NABERS IE Rating</t>
  </si>
  <si>
    <t>12A.2</t>
  </si>
  <si>
    <t>Relative Humidity</t>
  </si>
  <si>
    <t>12B.1</t>
  </si>
  <si>
    <t>NABERS IE Annual Monitoring</t>
  </si>
  <si>
    <t>12B.2</t>
  </si>
  <si>
    <t>NABERS IE Spot Measurements</t>
  </si>
  <si>
    <t>To encourage operational practices that monitor and maintain internal noise levels from building systems and outside sources at an appropriate and comfortable level.</t>
  </si>
  <si>
    <t>Occupant Satisfaction</t>
  </si>
  <si>
    <t>To encourage the assessment of thermal comfort, acoustics, indoor air quality, lighting and any other comfort issues for building occupants.</t>
  </si>
  <si>
    <t>Occupant Satisfaction Survey</t>
  </si>
  <si>
    <t>Occupant Satisfaction Levels</t>
  </si>
  <si>
    <t>B. Building Energy Baselines</t>
  </si>
  <si>
    <t>15A</t>
  </si>
  <si>
    <t>NABERS Energy</t>
  </si>
  <si>
    <t>A. NABERS Energy</t>
  </si>
  <si>
    <t>15B</t>
  </si>
  <si>
    <t>Peer Group of Comparable Buildings</t>
  </si>
  <si>
    <t>C. Peer Group of Comparable Buildings</t>
  </si>
  <si>
    <t>15D</t>
  </si>
  <si>
    <t>Longitudinal Benchmarking</t>
  </si>
  <si>
    <t>D. Longitudinal Benchmarking</t>
  </si>
  <si>
    <t>Peak Electricity Demand</t>
  </si>
  <si>
    <t>A. Peer Group of Comparable Buildings</t>
  </si>
  <si>
    <t>Peer Group of Comparable Buildings.</t>
  </si>
  <si>
    <t>Longitudinal Benchmarking.</t>
  </si>
  <si>
    <t>B. Longitudinal Benchmarking</t>
  </si>
  <si>
    <t>Sustainable Transport Program</t>
  </si>
  <si>
    <t>To recognise initiatives promoting and facilitating the use of alternative transport for commuting, reducing impacts from conventional single-occupant vehicles.</t>
  </si>
  <si>
    <t>Sustainable Transport Policy - 
Regular Occupants</t>
  </si>
  <si>
    <t>Sustainable Transport Policy -
Visitors</t>
  </si>
  <si>
    <t>Sustainable Transport Initiatives -
Regular Occupants</t>
  </si>
  <si>
    <t>Sustainable Transport Initiatives -
Visitors</t>
  </si>
  <si>
    <t>Transport Modes</t>
  </si>
  <si>
    <t>To recognise the outcomes of initiatives that support commuting via sustainable transport modes and in so doing reduce the impacts of vehicles carrying a single occupant.</t>
  </si>
  <si>
    <t>Transport Modes Survey</t>
  </si>
  <si>
    <t>Improved Transport Modes Performance</t>
  </si>
  <si>
    <t>A. NABERS Water</t>
  </si>
  <si>
    <t>19A</t>
  </si>
  <si>
    <t>NABERS Water</t>
  </si>
  <si>
    <t>19B</t>
  </si>
  <si>
    <t>B. Industry Developed Potable Water Benchmarks</t>
  </si>
  <si>
    <t>19C</t>
  </si>
  <si>
    <r>
      <t>Peer Group of Comparable Buildings</t>
    </r>
    <r>
      <rPr>
        <sz val="11"/>
        <color theme="0" tint="-4.9989318521683403E-2"/>
        <rFont val="Arial"/>
        <family val="2"/>
      </rPr>
      <t>..</t>
    </r>
  </si>
  <si>
    <t>19D</t>
  </si>
  <si>
    <r>
      <t>Longitudinal Benchmarking</t>
    </r>
    <r>
      <rPr>
        <sz val="11"/>
        <color theme="0" tint="-4.9989318521683403E-2"/>
        <rFont val="Arial"/>
        <family val="2"/>
      </rPr>
      <t>..</t>
    </r>
  </si>
  <si>
    <t>Fire Protection Testing Water</t>
  </si>
  <si>
    <t>To encourage operational practices that reduce consumption of potable water for the testing of fire protection systems.</t>
  </si>
  <si>
    <t>Testing Regimen</t>
  </si>
  <si>
    <t>Potable Water Use for Testing</t>
  </si>
  <si>
    <t>Procurement and Purchasing</t>
  </si>
  <si>
    <t>To encourage the measurement and reduction of the environmental impacts of materials used in building operations, maintenance and upgrades.</t>
  </si>
  <si>
    <t>Sustainable Procurement Framework</t>
  </si>
  <si>
    <t>Consumable Materials</t>
  </si>
  <si>
    <t>Refurbishment Materials</t>
  </si>
  <si>
    <t>Waste from Operations</t>
  </si>
  <si>
    <t>To reward operational practices that reduce the amount of landfill waste from typical building operations.</t>
  </si>
  <si>
    <t>Operational Waste Management Plan</t>
  </si>
  <si>
    <t>Waste to Landfill Reduction</t>
  </si>
  <si>
    <t>Waste from Refurbishments</t>
  </si>
  <si>
    <t>To reward operational practices that reduce the amount of landfill waste from refurbishments, construction or demolition works.</t>
  </si>
  <si>
    <t>Waste Management Plan</t>
  </si>
  <si>
    <t>Waste Diverted from Landfill</t>
  </si>
  <si>
    <t>To recognise practices that preserve the ecological value of an occupied site and enhance its natural diversity.</t>
  </si>
  <si>
    <t>Operational Requirements for Biodiversity</t>
  </si>
  <si>
    <t>Natural Diversity</t>
  </si>
  <si>
    <t xml:space="preserve">Groundskeeping </t>
  </si>
  <si>
    <t>To encourage environmentally sensitive landscape, hard surface and building exterior maintenance practices that reduce environmental impacts and improve ecological value.</t>
  </si>
  <si>
    <t>Site Maintenance Procedures</t>
  </si>
  <si>
    <t>Landscape</t>
  </si>
  <si>
    <t>Hard Surfaces and Building Exterior</t>
  </si>
  <si>
    <t>To encourage the minimisation of peak stormwater flows, the minimisation of pollutants in stormwater run-off and to minimise subsequent environmental impacts.</t>
  </si>
  <si>
    <t>Stormwater Management Plan</t>
  </si>
  <si>
    <t>Stormwater Runoff Pollutants</t>
  </si>
  <si>
    <t>To recognise operational practices that minimise direct and indirect night-time light pollution during the performance period.</t>
  </si>
  <si>
    <t>External Lighting</t>
  </si>
  <si>
    <t>Internal Lighting</t>
  </si>
  <si>
    <t xml:space="preserve">To encourage and recognise building systems that minimise the risk of Legionella. </t>
  </si>
  <si>
    <t>To recognise and encourage pioneering initiatives in sustainable design, process, operational practices or advocacy.</t>
  </si>
  <si>
    <t>All</t>
  </si>
  <si>
    <t>Innovation Challenges</t>
  </si>
  <si>
    <t>TOTAL COSTS</t>
  </si>
  <si>
    <t>Yearly Operational Budget</t>
  </si>
  <si>
    <t>Total Green Star Fees and Costs</t>
  </si>
  <si>
    <t>Percentage of Yearly Operational Budget</t>
  </si>
  <si>
    <t>Please select</t>
  </si>
  <si>
    <t>Yearly Operational Budget Provided</t>
  </si>
  <si>
    <t>CATEGORY/CREDIT</t>
  </si>
  <si>
    <t>Documentation Cost</t>
  </si>
  <si>
    <t>Implementation Cost</t>
  </si>
  <si>
    <t>Green Star Accredited Professional - Interiors</t>
  </si>
  <si>
    <t xml:space="preserve">Commitment to Performance </t>
  </si>
  <si>
    <t>Commitment to ongoing procurement</t>
  </si>
  <si>
    <t>Commitment to ongoing performance</t>
  </si>
  <si>
    <t>Commitment to end of fitout performance</t>
  </si>
  <si>
    <t>Commissioning &amp; Tuning</t>
  </si>
  <si>
    <t>Minimum compliance</t>
  </si>
  <si>
    <t>Commissioning</t>
  </si>
  <si>
    <t>Tuning</t>
  </si>
  <si>
    <t xml:space="preserve">Independent commissioning </t>
  </si>
  <si>
    <t>Management of construction works</t>
  </si>
  <si>
    <t>Reporting environmental impacts</t>
  </si>
  <si>
    <t>Metering Strategy</t>
  </si>
  <si>
    <t>Monitoring strategy</t>
  </si>
  <si>
    <t>Advanced monitoring strategy</t>
  </si>
  <si>
    <t xml:space="preserve">Operational waste </t>
  </si>
  <si>
    <t>Waste stream management</t>
  </si>
  <si>
    <t>User and Maintenance Information</t>
  </si>
  <si>
    <t xml:space="preserve">Information for the user </t>
  </si>
  <si>
    <t>Operational information</t>
  </si>
  <si>
    <t xml:space="preserve">Maintenance information </t>
  </si>
  <si>
    <t>Total Number of Points</t>
  </si>
  <si>
    <t>Quality of Internal Air</t>
  </si>
  <si>
    <t>Ventilation system attributes</t>
  </si>
  <si>
    <t>Provision of Outside Air</t>
  </si>
  <si>
    <t>Distribution of air</t>
  </si>
  <si>
    <t>Exhaust of pollutants</t>
  </si>
  <si>
    <t>Thermal comfort</t>
  </si>
  <si>
    <t>Individual control</t>
  </si>
  <si>
    <t>NA Available</t>
  </si>
  <si>
    <t>General illuminance</t>
  </si>
  <si>
    <t>Individual Control</t>
  </si>
  <si>
    <t>Glare</t>
  </si>
  <si>
    <t xml:space="preserve">Acoustic Comfort </t>
  </si>
  <si>
    <t>Speech Privacy</t>
  </si>
  <si>
    <t>Hazardous Materials in the project</t>
  </si>
  <si>
    <t>Reduced Exposure to Pollutants</t>
  </si>
  <si>
    <t>Paints, adhesives and sealants</t>
  </si>
  <si>
    <t xml:space="preserve">Carpets </t>
  </si>
  <si>
    <t xml:space="preserve">Engineered wood products </t>
  </si>
  <si>
    <t xml:space="preserve">Indoor Plants </t>
  </si>
  <si>
    <t>Space, Interaction, Ventilation, Daylight &amp; lighting, Landscape and Noise</t>
  </si>
  <si>
    <t>Ergonomics strategy</t>
  </si>
  <si>
    <t>Commuting Mass Transport</t>
  </si>
  <si>
    <t>Mass transport</t>
  </si>
  <si>
    <t>Walkability</t>
  </si>
  <si>
    <t>Alternative Transport</t>
  </si>
  <si>
    <t>Cyclist facilities</t>
  </si>
  <si>
    <t>Reduced use of private fossil fuel vehicles</t>
  </si>
  <si>
    <t>Flooring</t>
  </si>
  <si>
    <t>Assemblies</t>
  </si>
  <si>
    <t>Furniture</t>
  </si>
  <si>
    <t>PVC</t>
  </si>
  <si>
    <t>Best Practice PVC,  Reused PVC and PVC replacements</t>
  </si>
  <si>
    <t>Essential and significant timber criteria and Reused timber</t>
  </si>
  <si>
    <t>Recovered Products and Materials</t>
  </si>
  <si>
    <t>Land Use and Ecology</t>
  </si>
  <si>
    <t>Site Selection</t>
  </si>
  <si>
    <t>Base Building Selection, Base Building Sustainability, Base Building Cultural Heritage Significance</t>
  </si>
  <si>
    <t>Impacts from Refrigerants</t>
  </si>
  <si>
    <t>Applicability</t>
  </si>
  <si>
    <t>Refrigerant impacts and Legionella impacts</t>
  </si>
  <si>
    <t>Innovative technology or process, Market transformation, Improving on Green Star benchmarks, Green Star Challenges and Exceeding the scope of Green Star</t>
  </si>
  <si>
    <t>Cost of implementing Green Star</t>
  </si>
  <si>
    <t>Please enter the Green Star Number</t>
  </si>
  <si>
    <t>Communities PILOT v0.0</t>
  </si>
  <si>
    <t>Communities PILOT v0.1</t>
  </si>
  <si>
    <t>Communities PILOT v0.2</t>
  </si>
  <si>
    <t>GOV-1</t>
  </si>
  <si>
    <t>GOV-2</t>
  </si>
  <si>
    <t>Corporate Responsibility Policy</t>
  </si>
  <si>
    <t>GOV-3</t>
  </si>
  <si>
    <t>Industry Capacity Building</t>
  </si>
  <si>
    <t>Community Users Guide</t>
  </si>
  <si>
    <t>GOV-4</t>
  </si>
  <si>
    <t>Community Vision</t>
  </si>
  <si>
    <t>GOV-5</t>
  </si>
  <si>
    <t>Operational Governanve</t>
  </si>
  <si>
    <t>GOV-6</t>
  </si>
  <si>
    <t>GOV-7</t>
  </si>
  <si>
    <t>Design</t>
  </si>
  <si>
    <t>DES-1</t>
  </si>
  <si>
    <t>DES-2</t>
  </si>
  <si>
    <t>DES-3</t>
  </si>
  <si>
    <t>DES-4</t>
  </si>
  <si>
    <t>Livability</t>
  </si>
  <si>
    <t>LIV-1</t>
  </si>
  <si>
    <t>Access to Amenities</t>
  </si>
  <si>
    <t>LIV-2</t>
  </si>
  <si>
    <t>LIV-3</t>
  </si>
  <si>
    <t>LIV-4</t>
  </si>
  <si>
    <t>LIV-5</t>
  </si>
  <si>
    <t>LIV-6</t>
  </si>
  <si>
    <t>Culture, Heritage, and Identity</t>
  </si>
  <si>
    <t>Accessible and Adaptable Dwellings</t>
  </si>
  <si>
    <t>Accessible Transport, Outdoor Spaces, and Buildings</t>
  </si>
  <si>
    <t>Economic Propserity</t>
  </si>
  <si>
    <t>ECO-1</t>
  </si>
  <si>
    <t>Minimum Requirement - Net Percentage Increase of Local Jobs</t>
  </si>
  <si>
    <t>Local Area Employment</t>
  </si>
  <si>
    <t>Select an Option if Applicable</t>
  </si>
  <si>
    <t>1.3A</t>
  </si>
  <si>
    <t>1.3B</t>
  </si>
  <si>
    <t>ECO-2</t>
  </si>
  <si>
    <t>ECO-3</t>
  </si>
  <si>
    <t>ECO-4</t>
  </si>
  <si>
    <t>ECO-5</t>
  </si>
  <si>
    <t>ECO-6</t>
  </si>
  <si>
    <t>ECO-7</t>
  </si>
  <si>
    <t>ECO-8</t>
  </si>
  <si>
    <t>Reduced Peak Electricity Demand</t>
  </si>
  <si>
    <t>8.2A</t>
  </si>
  <si>
    <t>Deemed-to-Satisfy: Fuel Substitution</t>
  </si>
  <si>
    <t>8.2B</t>
  </si>
  <si>
    <t>Deemed-to-Satisfy: Energy Storage</t>
  </si>
  <si>
    <t>8.2C</t>
  </si>
  <si>
    <t>Deemed-to-Satisfy: On-site Generation</t>
  </si>
  <si>
    <t>ENV-1</t>
  </si>
  <si>
    <t>ENV-2</t>
  </si>
  <si>
    <t>Ecological Enhancement</t>
  </si>
  <si>
    <t>ENV-3</t>
  </si>
  <si>
    <t>ENV-4</t>
  </si>
  <si>
    <t>ENV-5</t>
  </si>
  <si>
    <t>ENV-6</t>
  </si>
  <si>
    <t>ENV-7</t>
  </si>
  <si>
    <t>Potable Water Consumption</t>
  </si>
  <si>
    <t>Alternative Water Sources</t>
  </si>
  <si>
    <t>ENV-8</t>
  </si>
  <si>
    <t>Volume</t>
  </si>
  <si>
    <t>Pollution Reduction</t>
  </si>
  <si>
    <t>ENV-9</t>
  </si>
  <si>
    <t>Minimum Requirement - Responsible Sourcing</t>
  </si>
  <si>
    <t>ENV-10</t>
  </si>
  <si>
    <t>Reduction in Site, Construction, and Demolition Waste</t>
  </si>
  <si>
    <t>ENV-11</t>
  </si>
  <si>
    <t>Integrated Transport Planning</t>
  </si>
  <si>
    <t>Shared, Pooled or Common Use Parking Regime</t>
  </si>
  <si>
    <t>INN-1</t>
  </si>
  <si>
    <t>State:</t>
  </si>
  <si>
    <t>Please select state</t>
  </si>
  <si>
    <t>NA Check</t>
  </si>
  <si>
    <t>ACT</t>
  </si>
  <si>
    <t>NSW</t>
  </si>
  <si>
    <t>NT</t>
  </si>
  <si>
    <t>QLD</t>
  </si>
  <si>
    <t>CATEGORY/CREDIT NO.</t>
  </si>
  <si>
    <t>SA</t>
  </si>
  <si>
    <t>Weighting</t>
  </si>
  <si>
    <t>TAS</t>
  </si>
  <si>
    <t>MAN-1</t>
  </si>
  <si>
    <t>VIC</t>
  </si>
  <si>
    <t>MAN-2</t>
  </si>
  <si>
    <t>Commissioning - Clauses</t>
  </si>
  <si>
    <t>Requirement for Commissioning</t>
  </si>
  <si>
    <t>WA</t>
  </si>
  <si>
    <t>Design Intent</t>
  </si>
  <si>
    <t>MAN-3</t>
  </si>
  <si>
    <t>Building Tuning</t>
  </si>
  <si>
    <t>MAN-4</t>
  </si>
  <si>
    <t>MAN-5</t>
  </si>
  <si>
    <t>Building Guides</t>
  </si>
  <si>
    <t>MAN-6</t>
  </si>
  <si>
    <t>MAN-7</t>
  </si>
  <si>
    <t>MAN-9</t>
  </si>
  <si>
    <t>Building Management Systems</t>
  </si>
  <si>
    <t>MAN-11</t>
  </si>
  <si>
    <t>Maintainability</t>
  </si>
  <si>
    <t>MAN-12</t>
  </si>
  <si>
    <t>Construction Indoor Air Quality Plan</t>
  </si>
  <si>
    <t>IAQ Plan</t>
  </si>
  <si>
    <t>Ductwork</t>
  </si>
  <si>
    <t>MAN-13</t>
  </si>
  <si>
    <t>Sustainable Procurement Guide</t>
  </si>
  <si>
    <t/>
  </si>
  <si>
    <t>IEQ-1</t>
  </si>
  <si>
    <t>Ventilation Rates</t>
  </si>
  <si>
    <t>IEQ-2</t>
  </si>
  <si>
    <t>Air Change Effectiveness</t>
  </si>
  <si>
    <t>IEQ-3</t>
  </si>
  <si>
    <t>Carbon Dioxide Monitoring &amp; Control &amp; VOC Monitoring</t>
  </si>
  <si>
    <t>IEQ-4</t>
  </si>
  <si>
    <t>IEQ-5</t>
  </si>
  <si>
    <t>IEQ-6</t>
  </si>
  <si>
    <t>IEQ-7</t>
  </si>
  <si>
    <t>IEQ-8</t>
  </si>
  <si>
    <t>Volatile Organic Compounds</t>
  </si>
  <si>
    <t>Paints</t>
  </si>
  <si>
    <t>Adhesives and Sealants</t>
  </si>
  <si>
    <t>Wall and Ceiling Coverings</t>
  </si>
  <si>
    <t>Mattresses</t>
  </si>
  <si>
    <t>IEQ-9</t>
  </si>
  <si>
    <t>Formaldehyde Minimisation</t>
  </si>
  <si>
    <t>IEQ-10</t>
  </si>
  <si>
    <t>Air Distribution System</t>
  </si>
  <si>
    <t>IEQ-11</t>
  </si>
  <si>
    <t>Daylight Glare Control</t>
  </si>
  <si>
    <t>IEQ-12</t>
  </si>
  <si>
    <t>High Frequency Ballasts</t>
  </si>
  <si>
    <t>IEQ-13</t>
  </si>
  <si>
    <t>Electric Lighting Levels</t>
  </si>
  <si>
    <t>IEQ-14</t>
  </si>
  <si>
    <t>External Views</t>
  </si>
  <si>
    <t>IEQ-15</t>
  </si>
  <si>
    <t>Individual Thermal Comfort Control</t>
  </si>
  <si>
    <t>IEQ-16</t>
  </si>
  <si>
    <t>Exhaust Riser</t>
  </si>
  <si>
    <t>IEQ-18</t>
  </si>
  <si>
    <t>Outdoor Pollutant Control</t>
  </si>
  <si>
    <t>IEQ-19</t>
  </si>
  <si>
    <t>Places of Respite</t>
  </si>
  <si>
    <t>ENE</t>
  </si>
  <si>
    <t>ENE-1</t>
  </si>
  <si>
    <t>ENE-2</t>
  </si>
  <si>
    <t>Energy Sub-metering</t>
  </si>
  <si>
    <t>ENE-3</t>
  </si>
  <si>
    <t>Peak Energy Demand Reduction</t>
  </si>
  <si>
    <t>ENE-4</t>
  </si>
  <si>
    <t>Lighting Zoning</t>
  </si>
  <si>
    <t>ENE-6</t>
  </si>
  <si>
    <t>Car Park Ventilation</t>
  </si>
  <si>
    <t>ENE-9</t>
  </si>
  <si>
    <t>Efficient External Lighting</t>
  </si>
  <si>
    <t>TRA-1</t>
  </si>
  <si>
    <t>Provision of Car Parking</t>
  </si>
  <si>
    <t>TRA-2</t>
  </si>
  <si>
    <t>Fuel-Efficient Transport</t>
  </si>
  <si>
    <t>TRA-3</t>
  </si>
  <si>
    <t>Cyclist Facilities</t>
  </si>
  <si>
    <t>Facilities for Building Staff</t>
  </si>
  <si>
    <t>Facilities for Vistors</t>
  </si>
  <si>
    <t>TRA-4</t>
  </si>
  <si>
    <t>TRA-6</t>
  </si>
  <si>
    <t>Transport Design &amp; Planning</t>
  </si>
  <si>
    <t>WAT-1</t>
  </si>
  <si>
    <t>Occupant Amenity Water</t>
  </si>
  <si>
    <t>WAT-2</t>
  </si>
  <si>
    <t>Water Meters</t>
  </si>
  <si>
    <t>WAT-3</t>
  </si>
  <si>
    <t>WAT-4</t>
  </si>
  <si>
    <t>Heat Rejection Water</t>
  </si>
  <si>
    <t>WAT-5</t>
  </si>
  <si>
    <t>Fire System Water</t>
  </si>
  <si>
    <t>WAT-6</t>
  </si>
  <si>
    <t>Potable Water Use for Equipment</t>
  </si>
  <si>
    <t>MAT-1</t>
  </si>
  <si>
    <t>Recycling Waste Storage</t>
  </si>
  <si>
    <t>MAT-2</t>
  </si>
  <si>
    <t>Existing Façade</t>
  </si>
  <si>
    <t>Existing Major Structure</t>
  </si>
  <si>
    <t>MAT-3</t>
  </si>
  <si>
    <t>Recycled Content &amp; Re-used Products and Materials</t>
  </si>
  <si>
    <t>MAT-4</t>
  </si>
  <si>
    <t>Concrete (July 2012)</t>
  </si>
  <si>
    <t>Portland Cement</t>
  </si>
  <si>
    <t>Aggregate and Water</t>
  </si>
  <si>
    <t>MAT-5</t>
  </si>
  <si>
    <t>Steel (August 2010)</t>
  </si>
  <si>
    <t>Structural Steel</t>
  </si>
  <si>
    <t>Reinforcing Steel</t>
  </si>
  <si>
    <t>MAT-6</t>
  </si>
  <si>
    <t>PVC (May 2011)</t>
  </si>
  <si>
    <t>MAT-7</t>
  </si>
  <si>
    <t>Timber (January 2010)</t>
  </si>
  <si>
    <t>MAT-8</t>
  </si>
  <si>
    <t>Design for Disassembly</t>
  </si>
  <si>
    <t>MAT-9</t>
  </si>
  <si>
    <t>Dematerialisation</t>
  </si>
  <si>
    <t>Standard Structural Requirement</t>
  </si>
  <si>
    <t>Combination of Initiatives</t>
  </si>
  <si>
    <t>MAT-11</t>
  </si>
  <si>
    <t>MAT-12</t>
  </si>
  <si>
    <t>Joinery</t>
  </si>
  <si>
    <t>MAT-13</t>
  </si>
  <si>
    <t>Loose Furniture</t>
  </si>
  <si>
    <t>MAT-14</t>
  </si>
  <si>
    <t>Ceilings, Walls and Partitions</t>
  </si>
  <si>
    <t>ECO</t>
  </si>
  <si>
    <t>Conditional Requirement (March 2009)</t>
  </si>
  <si>
    <t>Topsoil</t>
  </si>
  <si>
    <t>Re-use of Land</t>
  </si>
  <si>
    <t>Reclaimed Contaminated Land</t>
  </si>
  <si>
    <t>EMI-1</t>
  </si>
  <si>
    <t>Refrigerant ODP</t>
  </si>
  <si>
    <t>EMI-2</t>
  </si>
  <si>
    <t>Refrigerant GWP</t>
  </si>
  <si>
    <t>EMI-3</t>
  </si>
  <si>
    <t>Refrigerant Leaks</t>
  </si>
  <si>
    <t>EMI-4</t>
  </si>
  <si>
    <t>Insulant ODP</t>
  </si>
  <si>
    <t>EMI-5</t>
  </si>
  <si>
    <t>Stormwater (January 2011)</t>
  </si>
  <si>
    <t>EMI-6</t>
  </si>
  <si>
    <t>Discharge to Sewer</t>
  </si>
  <si>
    <t>Reduction in Flows to Sewer</t>
  </si>
  <si>
    <t>Blackwater Plant</t>
  </si>
  <si>
    <t>EMI-7</t>
  </si>
  <si>
    <t>EMI-8</t>
  </si>
  <si>
    <t>Legionella (April 2008)</t>
  </si>
  <si>
    <t>EMI-9</t>
  </si>
  <si>
    <t>Trade Waste Pollution</t>
  </si>
  <si>
    <t>Innovative Strategies &amp; Technologies (September 2013)</t>
  </si>
  <si>
    <t>INN-2</t>
  </si>
  <si>
    <t>Exceeding Green Star Benchmarks (September 2013)</t>
  </si>
  <si>
    <t>INN-3</t>
  </si>
  <si>
    <t>Environmental Design Initiatives (September 2013)</t>
  </si>
  <si>
    <t>Financial Transaprency Disclosure Template</t>
  </si>
  <si>
    <t>NA Allowed</t>
  </si>
  <si>
    <t>Office v2</t>
  </si>
  <si>
    <t>Office v3</t>
  </si>
  <si>
    <t>Office Interiors v1.1</t>
  </si>
  <si>
    <t>Building Users Guide</t>
  </si>
  <si>
    <t>Building Maintenance Guide</t>
  </si>
  <si>
    <t>MAN-10</t>
  </si>
  <si>
    <t>Learning Resources</t>
  </si>
  <si>
    <t>Daylight Factor - Desk Level</t>
  </si>
  <si>
    <t>Primary and Seconday Daylight Factor</t>
  </si>
  <si>
    <t>Building Services Design</t>
  </si>
  <si>
    <t>Overall Building</t>
  </si>
  <si>
    <t>Carpets and Flooring</t>
  </si>
  <si>
    <t>Tenancy Fitout Items</t>
  </si>
  <si>
    <t>Air Distribution System (December 2013)</t>
  </si>
  <si>
    <t>ENE-7</t>
  </si>
  <si>
    <t>Unoccupied Areas</t>
  </si>
  <si>
    <t>ENE-8</t>
  </si>
  <si>
    <t>Stairs</t>
  </si>
  <si>
    <t>ENE-10</t>
  </si>
  <si>
    <t>Shared Energy Systems</t>
  </si>
  <si>
    <t>Facilities for Students</t>
  </si>
  <si>
    <t>Facilities for Staff</t>
  </si>
  <si>
    <t>Potable Water Use in Laboratories</t>
  </si>
  <si>
    <t>Building Users' Guide</t>
  </si>
  <si>
    <t>MAN-16</t>
  </si>
  <si>
    <t xml:space="preserve">Metering  </t>
  </si>
  <si>
    <t>Electricity Meters</t>
  </si>
  <si>
    <t>Indoor Pollutant Monitoring &amp; Control</t>
  </si>
  <si>
    <t>Industrial Space</t>
  </si>
  <si>
    <t>Occupied Space</t>
  </si>
  <si>
    <t>Individual Comfort Control</t>
  </si>
  <si>
    <t>Design Sound Level</t>
  </si>
  <si>
    <t>Sound Insulation</t>
  </si>
  <si>
    <t>IEQ-17</t>
  </si>
  <si>
    <t>Breakout Space</t>
  </si>
  <si>
    <t>IEQ-23</t>
  </si>
  <si>
    <t>Small Occupied Spaces</t>
  </si>
  <si>
    <t>Trip Reduction - Mixed Use</t>
  </si>
  <si>
    <t>Fire System Water Consumption</t>
  </si>
  <si>
    <t>Sub Total</t>
  </si>
  <si>
    <t>Legionella</t>
  </si>
  <si>
    <t>EMI-10</t>
  </si>
  <si>
    <t>Noise Pollution</t>
  </si>
  <si>
    <t>No of NA Credits</t>
  </si>
  <si>
    <t>Multi Unit Residential v1</t>
  </si>
  <si>
    <t>Energy Sub-Metering</t>
  </si>
  <si>
    <t>Smart-Metering</t>
  </si>
  <si>
    <t>IEQ-20</t>
  </si>
  <si>
    <t>Private External Space</t>
  </si>
  <si>
    <t>IEQ-21</t>
  </si>
  <si>
    <t>Dwelling Ventilation</t>
  </si>
  <si>
    <t>Room Ventilation</t>
  </si>
  <si>
    <t>Kitchens</t>
  </si>
  <si>
    <t>IEQ-22</t>
  </si>
  <si>
    <t>Natural Ventilation</t>
  </si>
  <si>
    <t>Mechanical Ventilation</t>
  </si>
  <si>
    <t>Common Lobbies</t>
  </si>
  <si>
    <t>Occupancy Controls</t>
  </si>
  <si>
    <t>Automated Controls</t>
  </si>
  <si>
    <t>ENE-11</t>
  </si>
  <si>
    <t>Energy Efficient Appliances</t>
  </si>
  <si>
    <t>Clothesline</t>
  </si>
  <si>
    <t>ENE-12</t>
  </si>
  <si>
    <t>Parking Spaces</t>
  </si>
  <si>
    <t>Car Sharing</t>
  </si>
  <si>
    <t>Facilities for Dwellings</t>
  </si>
  <si>
    <t>Facilities for Visitors</t>
  </si>
  <si>
    <t xml:space="preserve">Fire System Water </t>
  </si>
  <si>
    <t>WAT-7</t>
  </si>
  <si>
    <t>Water Efficient Appliances</t>
  </si>
  <si>
    <t>WAT-8</t>
  </si>
  <si>
    <t>Swimming Pool/Spa Water Efficiency</t>
  </si>
  <si>
    <t>Internal Walls</t>
  </si>
  <si>
    <t>MAT-15</t>
  </si>
  <si>
    <t>Universal Design</t>
  </si>
  <si>
    <t>Outdoor Communal Facilities</t>
  </si>
  <si>
    <t>State</t>
  </si>
  <si>
    <t>ENE-Con</t>
  </si>
  <si>
    <t>Fuel Efficient Transport</t>
  </si>
  <si>
    <t>Transport Design and Planning</t>
  </si>
  <si>
    <t>Swimming Pool Water Efficiency</t>
  </si>
  <si>
    <t>Building Re-use</t>
  </si>
  <si>
    <t>ECO-CON</t>
  </si>
  <si>
    <t>Change in Ecological Value</t>
  </si>
  <si>
    <t>Tenancy Fitout Guide</t>
  </si>
  <si>
    <t>MAN-8</t>
  </si>
  <si>
    <t>Waste and Recycling Management Plan</t>
  </si>
  <si>
    <t>Plan</t>
  </si>
  <si>
    <t>Storage Facilities</t>
  </si>
  <si>
    <t>Carbon Dioxide Monitoring and Control</t>
  </si>
  <si>
    <t>Building Sub-Metering</t>
  </si>
  <si>
    <t>Tenancy Sub-Metering</t>
  </si>
  <si>
    <t>TRA-5</t>
  </si>
  <si>
    <t>Trip Reduction Mixed Use</t>
  </si>
  <si>
    <t>Existing Major Strcuture</t>
  </si>
  <si>
    <t>Recycled Content and Reused Products and Materials</t>
  </si>
  <si>
    <t>Refrigerent Leak Detection</t>
  </si>
  <si>
    <t>Innovative Strategies &amp; Technologies</t>
  </si>
  <si>
    <t>Exceeding Green Star Benchmarks</t>
  </si>
  <si>
    <t xml:space="preserve">Environmental Design Initiatives </t>
  </si>
  <si>
    <t>ID</t>
  </si>
  <si>
    <t>Tool Name Reference</t>
  </si>
  <si>
    <t>Version</t>
  </si>
  <si>
    <t>Category</t>
  </si>
  <si>
    <t>Abbr.</t>
  </si>
  <si>
    <t>Code</t>
  </si>
  <si>
    <t>Credit Criteria</t>
  </si>
  <si>
    <t>Tool (Sheet) Name</t>
  </si>
  <si>
    <t>COL.</t>
  </si>
  <si>
    <t>GS NUMBER</t>
  </si>
  <si>
    <t>ASSESSMENT TYPE</t>
  </si>
  <si>
    <t>ROUND</t>
  </si>
  <si>
    <t>INDEX ARRAY</t>
  </si>
  <si>
    <t>MATCH VALUE</t>
  </si>
  <si>
    <t>MATCH ARRAY</t>
  </si>
  <si>
    <t>INDEX COLUMN</t>
  </si>
  <si>
    <t>CELL</t>
  </si>
  <si>
    <t>TOTAL Design Cost</t>
  </si>
  <si>
    <t>TOTAL Construction Cost</t>
  </si>
  <si>
    <t>GS Certification Fees</t>
  </si>
  <si>
    <t>Green Star - Communities</t>
  </si>
  <si>
    <t>PILOT v0.0</t>
  </si>
  <si>
    <t>1. Gov</t>
  </si>
  <si>
    <t>'Communities PILOT'!</t>
  </si>
  <si>
    <t>G</t>
  </si>
  <si>
    <t>M</t>
  </si>
  <si>
    <t>O</t>
  </si>
  <si>
    <t>I9:N110</t>
  </si>
  <si>
    <t>I9:I110</t>
  </si>
  <si>
    <t>K122</t>
  </si>
  <si>
    <t>K123</t>
  </si>
  <si>
    <t>K125</t>
  </si>
  <si>
    <t>Global Reporting Initiatives (GRI)</t>
  </si>
  <si>
    <t>GRI project level reporting</t>
  </si>
  <si>
    <t>2. Des</t>
  </si>
  <si>
    <t>Site Decontamination</t>
  </si>
  <si>
    <t>Site and Context Analysis</t>
  </si>
  <si>
    <t>2. Liv</t>
  </si>
  <si>
    <t>Active Transport</t>
  </si>
  <si>
    <t>Managing and Interpreting Cultural Heritage Significance</t>
  </si>
  <si>
    <t>Adaptive Re-use</t>
  </si>
  <si>
    <t>Art and Cultural Programs</t>
  </si>
  <si>
    <t>LIV-7</t>
  </si>
  <si>
    <t>3. Econ</t>
  </si>
  <si>
    <t>ANZSIC Sector Jobs</t>
  </si>
  <si>
    <t>Deemed-to-Satisfy: Proximity to Global or Large City CBD</t>
  </si>
  <si>
    <t>Deemed-to-Satisfy: Non-residential Developments</t>
  </si>
  <si>
    <t>Minimum Requirement - Living Affordability</t>
  </si>
  <si>
    <t>Minimum Requirement - Residential Connectivity</t>
  </si>
  <si>
    <t>Telecommute Infrastructure</t>
  </si>
  <si>
    <t>4. Env</t>
  </si>
  <si>
    <t>Mass Transport</t>
  </si>
  <si>
    <t>Green Buildings</t>
  </si>
  <si>
    <t>Leak Detection</t>
  </si>
  <si>
    <t>Frequency</t>
  </si>
  <si>
    <t>Asphalt</t>
  </si>
  <si>
    <t>Aggregate</t>
  </si>
  <si>
    <t>PILOT v0.1</t>
  </si>
  <si>
    <t>Sustainability Reporting (Core)</t>
  </si>
  <si>
    <t>Sustainability Reporting (Comprehensive)</t>
  </si>
  <si>
    <t>Context Analysis</t>
  </si>
  <si>
    <t>Manging and Interpreting Culture, Heritage and Identity</t>
  </si>
  <si>
    <t>Developing and Enhancing Community Culture, Heritage and Identity</t>
  </si>
  <si>
    <t>Diverse Employment</t>
  </si>
  <si>
    <t>Deemed-to-Satisfy: Proximity to Major City</t>
  </si>
  <si>
    <t>Deemed-to-Satisfy: NCC Class Mix</t>
  </si>
  <si>
    <t>Fibre-to-the-Premesis (FTTP)</t>
  </si>
  <si>
    <t>Public Transport</t>
  </si>
  <si>
    <t>Greenhouse Gas Intensity</t>
  </si>
  <si>
    <t>Green Star Certified Buildings</t>
  </si>
  <si>
    <t>NatHERS and Livable Housing Design</t>
  </si>
  <si>
    <t>Reduced Peak Discharge</t>
  </si>
  <si>
    <t>Sustainable Building Materials</t>
  </si>
  <si>
    <t>PILOT v0.2</t>
  </si>
  <si>
    <t>Communities!</t>
  </si>
  <si>
    <t>H9:N101</t>
  </si>
  <si>
    <t>H9:H101</t>
  </si>
  <si>
    <t>K113</t>
  </si>
  <si>
    <t>K114</t>
  </si>
  <si>
    <t>K116</t>
  </si>
  <si>
    <t>24A</t>
  </si>
  <si>
    <t>Water Sensitive Urban Design - Performance Pathway</t>
  </si>
  <si>
    <t>24B.1</t>
  </si>
  <si>
    <t>Alternative Water Sources-Public Open Spaces</t>
  </si>
  <si>
    <t>24B.2</t>
  </si>
  <si>
    <t>Alternative Water Sources - Buildings</t>
  </si>
  <si>
    <t>24B.3</t>
  </si>
  <si>
    <t>Stormwater Management</t>
  </si>
  <si>
    <t>24B.4</t>
  </si>
  <si>
    <t>24B.5</t>
  </si>
  <si>
    <t>24A.1</t>
  </si>
  <si>
    <t>Stormwater – Performance Pathway</t>
  </si>
  <si>
    <t>24A.2</t>
  </si>
  <si>
    <t>Alternative Water Sources - Public Open Spaces</t>
  </si>
  <si>
    <t>Green Star - Design &amp; As Built</t>
  </si>
  <si>
    <t>1. Man</t>
  </si>
  <si>
    <t>'Design &amp; As Built'!</t>
  </si>
  <si>
    <t>Q</t>
  </si>
  <si>
    <t>S</t>
  </si>
  <si>
    <t>H9:R154</t>
  </si>
  <si>
    <t>H9:H154</t>
  </si>
  <si>
    <t>K164</t>
  </si>
  <si>
    <t>K165</t>
  </si>
  <si>
    <t>K167</t>
  </si>
  <si>
    <t>Building User Information</t>
  </si>
  <si>
    <t>2. IEQ</t>
  </si>
  <si>
    <t>3. Ene</t>
  </si>
  <si>
    <t>15A.0</t>
  </si>
  <si>
    <t>15A.1</t>
  </si>
  <si>
    <t>Building Envelope</t>
  </si>
  <si>
    <t>15A.2</t>
  </si>
  <si>
    <t>Glazing</t>
  </si>
  <si>
    <t>15A.3</t>
  </si>
  <si>
    <t>15A.4</t>
  </si>
  <si>
    <t>Ventilation and Air-conditioning</t>
  </si>
  <si>
    <t>15A.5</t>
  </si>
  <si>
    <t>Domestic Hot Water Systems</t>
  </si>
  <si>
    <t>15A.6</t>
  </si>
  <si>
    <t>Building Sealing</t>
  </si>
  <si>
    <t>15B.0</t>
  </si>
  <si>
    <t>Conditional Requirement: NatHERS Pathway</t>
  </si>
  <si>
    <t>15B.1</t>
  </si>
  <si>
    <t>NatHERS Pathway</t>
  </si>
  <si>
    <t>15C.0</t>
  </si>
  <si>
    <t>Conditional Requirement: BASIX Pathway</t>
  </si>
  <si>
    <t>15C.1</t>
  </si>
  <si>
    <t>BASIX Pathway</t>
  </si>
  <si>
    <t>15D.0</t>
  </si>
  <si>
    <t>Conditional Requirement: NABERS Pathway</t>
  </si>
  <si>
    <t>15D.1</t>
  </si>
  <si>
    <t>NABERS Energy Commitment Agreement Pathway</t>
  </si>
  <si>
    <t>15E.0</t>
  </si>
  <si>
    <t>Conditional Requirement: Reference Building Pathway</t>
  </si>
  <si>
    <t>15E.1</t>
  </si>
  <si>
    <t>Comparison to a Reference Building Pathway</t>
  </si>
  <si>
    <t>4. Tra</t>
  </si>
  <si>
    <t>17A.1</t>
  </si>
  <si>
    <t>5. Wat</t>
  </si>
  <si>
    <t>18A.1</t>
  </si>
  <si>
    <t>6. Mat</t>
  </si>
  <si>
    <t>19B.1.1</t>
  </si>
  <si>
    <t>19B.1.1 Portland Cement Reduction</t>
  </si>
  <si>
    <t>I9:I154</t>
  </si>
  <si>
    <t>19B.1.2</t>
  </si>
  <si>
    <t>19B.1.2 Water Reduction</t>
  </si>
  <si>
    <t>19B.1.3</t>
  </si>
  <si>
    <t>19B.1.3 Aggregates Reduction</t>
  </si>
  <si>
    <t>19B.3A Façade Reuse</t>
  </si>
  <si>
    <t>19B.3B Structure Reuse</t>
  </si>
  <si>
    <t>7. Eco</t>
  </si>
  <si>
    <t>8. Emi</t>
  </si>
  <si>
    <t>Reduced Pollution Targets</t>
  </si>
  <si>
    <t>9. Inn</t>
  </si>
  <si>
    <t>19B.3.1 Façade Reuse</t>
  </si>
  <si>
    <t>19B.3.2 Structure Reuse</t>
  </si>
  <si>
    <t>19B.4.0 Responsible Sourcing</t>
  </si>
  <si>
    <t>19B.4.1 Reduced Embodied Impacts</t>
  </si>
  <si>
    <t>Wall-Glazing Construction and Retail Display Glazing</t>
  </si>
  <si>
    <t>Ventilation and Air Conditioning</t>
  </si>
  <si>
    <t>Transition Plan</t>
  </si>
  <si>
    <t>Fuel Switching</t>
  </si>
  <si>
    <t>15A.8</t>
  </si>
  <si>
    <t>On-Site Storage</t>
  </si>
  <si>
    <t>15A.9</t>
  </si>
  <si>
    <t>Vertical Transportation</t>
  </si>
  <si>
    <t>15A.10</t>
  </si>
  <si>
    <t>Off-Site Renewables</t>
  </si>
  <si>
    <t>Thermal and Energy Performance</t>
  </si>
  <si>
    <t>15B.2.1</t>
  </si>
  <si>
    <t>15B.2.1 Lighting</t>
  </si>
  <si>
    <t>15B.2.2</t>
  </si>
  <si>
    <t>15B.2.2 Ventilation and Air Conditioning</t>
  </si>
  <si>
    <t>15B.2.3</t>
  </si>
  <si>
    <t>15B.2.3 Domestic Hot Water</t>
  </si>
  <si>
    <t>15B.2.4</t>
  </si>
  <si>
    <t>15B.2.4 Appliances &amp; Equipment</t>
  </si>
  <si>
    <t>15B.2.5</t>
  </si>
  <si>
    <t>15B.2.5 Fuel Switching</t>
  </si>
  <si>
    <t>15B.2.6</t>
  </si>
  <si>
    <t>15B.2.6 On-Site Storage</t>
  </si>
  <si>
    <t>15B.2.7</t>
  </si>
  <si>
    <t>15B.2.7 Vertical Transportation</t>
  </si>
  <si>
    <t>15B.2.8</t>
  </si>
  <si>
    <t>15B.2.8 Passive Laundry Facilities</t>
  </si>
  <si>
    <t>15B.2.9</t>
  </si>
  <si>
    <t>15B.2.9 Unoccupied Areas</t>
  </si>
  <si>
    <t>15B.2.10</t>
  </si>
  <si>
    <t>15B.2.10 Off-Site Renewables</t>
  </si>
  <si>
    <t>BASIX Greenhouse Gas Reductions</t>
  </si>
  <si>
    <t>15C.2</t>
  </si>
  <si>
    <t>NABERS Energy Greenhouse Gas Emissions Reduction</t>
  </si>
  <si>
    <t>15D.2</t>
  </si>
  <si>
    <t>15D.3.1</t>
  </si>
  <si>
    <t>15D.3.1 Transition Plan</t>
  </si>
  <si>
    <t>15D.3.2</t>
  </si>
  <si>
    <t>15D.3.2 Fuel Switching</t>
  </si>
  <si>
    <t>15D.3.3</t>
  </si>
  <si>
    <t>15D.3.3 On-Site Storage</t>
  </si>
  <si>
    <t>GHG Emissions Reduction: Building Fabric</t>
  </si>
  <si>
    <t>15E.2</t>
  </si>
  <si>
    <t>GHG Emissions Reduction</t>
  </si>
  <si>
    <t>15E.3</t>
  </si>
  <si>
    <t>15E.4</t>
  </si>
  <si>
    <t>District Services</t>
  </si>
  <si>
    <t>15E.5.1</t>
  </si>
  <si>
    <t>15E.5.1 Transition Plan</t>
  </si>
  <si>
    <t>15E.5.2</t>
  </si>
  <si>
    <t>15E.5.2 Fuel Switching</t>
  </si>
  <si>
    <t>15E.5.3</t>
  </si>
  <si>
    <t>15E.5.3 On-Site Storage</t>
  </si>
  <si>
    <t>Access By Public Transport</t>
  </si>
  <si>
    <t>Fire Protection System Test Water</t>
  </si>
  <si>
    <t>19B.2A</t>
  </si>
  <si>
    <t>19B.2B</t>
  </si>
  <si>
    <t>19B.3.1</t>
  </si>
  <si>
    <t>19B.3.2</t>
  </si>
  <si>
    <t>19B.4.0</t>
  </si>
  <si>
    <t>19B.4.1</t>
  </si>
  <si>
    <t>'Education v1'!</t>
  </si>
  <si>
    <t>C</t>
  </si>
  <si>
    <t>H</t>
  </si>
  <si>
    <t>J</t>
  </si>
  <si>
    <t>C9:I117</t>
  </si>
  <si>
    <t>C9:C117</t>
  </si>
  <si>
    <t>F122</t>
  </si>
  <si>
    <t>F124</t>
  </si>
  <si>
    <t>D9:D117</t>
  </si>
  <si>
    <t>ENE-0</t>
  </si>
  <si>
    <t>ECO-0</t>
  </si>
  <si>
    <t>'Healthcare v1'!</t>
  </si>
  <si>
    <t>C9:I121</t>
  </si>
  <si>
    <t>C9:C121</t>
  </si>
  <si>
    <t>F125</t>
  </si>
  <si>
    <t>F126</t>
  </si>
  <si>
    <t>F128</t>
  </si>
  <si>
    <t>D9:D121</t>
  </si>
  <si>
    <t>Inn-1</t>
  </si>
  <si>
    <t>Inn-2</t>
  </si>
  <si>
    <t>Inn-3</t>
  </si>
  <si>
    <t>'Industrial v1'!</t>
  </si>
  <si>
    <t>C9:I103</t>
  </si>
  <si>
    <t>C9:C103</t>
  </si>
  <si>
    <t>F107</t>
  </si>
  <si>
    <t>F108</t>
  </si>
  <si>
    <t>F110</t>
  </si>
  <si>
    <t>D9:D103</t>
  </si>
  <si>
    <t>Green Star - Interiors</t>
  </si>
  <si>
    <t>PILOT</t>
  </si>
  <si>
    <t>'Interiors PILOT'!</t>
  </si>
  <si>
    <t>I</t>
  </si>
  <si>
    <t>C9:H93</t>
  </si>
  <si>
    <t>C9:C93</t>
  </si>
  <si>
    <t>E97</t>
  </si>
  <si>
    <t>E98</t>
  </si>
  <si>
    <t>E100</t>
  </si>
  <si>
    <t>C36:H36</t>
  </si>
  <si>
    <t>C36:C36</t>
  </si>
  <si>
    <t>Interiors!</t>
  </si>
  <si>
    <t>F</t>
  </si>
  <si>
    <t>L</t>
  </si>
  <si>
    <t>N</t>
  </si>
  <si>
    <t>G9:M123</t>
  </si>
  <si>
    <t>G9:G123</t>
  </si>
  <si>
    <t>J134</t>
  </si>
  <si>
    <t>J136</t>
  </si>
  <si>
    <t>Waste Management Practices</t>
  </si>
  <si>
    <t>Conditional Requirement: GHG Emissions Reduction – Reference Fitout Pathway</t>
  </si>
  <si>
    <t>GHG Emissions Reduction – Reference Fitout Pathway</t>
  </si>
  <si>
    <t>Cables, Pipes, Floors and Blinds</t>
  </si>
  <si>
    <t>Reduction of Construction and Demolition Waste - Fixed Benchmark</t>
  </si>
  <si>
    <t>Innovative technology or process</t>
  </si>
  <si>
    <t>Market transformation</t>
  </si>
  <si>
    <t>Improving on Green Star benchmarks</t>
  </si>
  <si>
    <t>High Quality Support Staff</t>
  </si>
  <si>
    <t>B. Prescriptive Pathway: Facilities</t>
  </si>
  <si>
    <t>Performance Pathway: Needs Analysis</t>
  </si>
  <si>
    <t>Conditional Requirement: Prescriptive Pathway: Non-Residential Fitouts</t>
  </si>
  <si>
    <t>IT Equipment</t>
  </si>
  <si>
    <t>16A.7</t>
  </si>
  <si>
    <t>Off-site Renewables</t>
  </si>
  <si>
    <t>Domestic Appliances and Equimpment</t>
  </si>
  <si>
    <t>Passive Laundry Facilities</t>
  </si>
  <si>
    <t>16B.6</t>
  </si>
  <si>
    <t>NABERS Greenhouse Gas Emissions Reduction</t>
  </si>
  <si>
    <t>16C.2</t>
  </si>
  <si>
    <t>Conditional Requirement: Reference Fitout Pathway</t>
  </si>
  <si>
    <t>16D.2</t>
  </si>
  <si>
    <t>16D.3</t>
  </si>
  <si>
    <t>Reporting Accuracy</t>
  </si>
  <si>
    <t>'MURT v1'!</t>
  </si>
  <si>
    <t>C9:I113</t>
  </si>
  <si>
    <t>C9:C113</t>
  </si>
  <si>
    <t>F117</t>
  </si>
  <si>
    <t>D9:D113</t>
  </si>
  <si>
    <t>Green Star - Office Interiors</t>
  </si>
  <si>
    <t>Office!</t>
  </si>
  <si>
    <t>C9:I124</t>
  </si>
  <si>
    <t>C9:C124</t>
  </si>
  <si>
    <t>F127</t>
  </si>
  <si>
    <t>D9:D124</t>
  </si>
  <si>
    <t>Information Transfer</t>
  </si>
  <si>
    <t>Commissioning - Tenancy Fitout Tuning</t>
  </si>
  <si>
    <t>Tenant Guide</t>
  </si>
  <si>
    <t>Waste Management During Tenancy Fitout</t>
  </si>
  <si>
    <t>Outside Air Rates</t>
  </si>
  <si>
    <t>Base Building Alteration</t>
  </si>
  <si>
    <t>Blinds/Screens</t>
  </si>
  <si>
    <t>Monitors</t>
  </si>
  <si>
    <t>Workstation Control</t>
  </si>
  <si>
    <t>Base Building Alteration.</t>
  </si>
  <si>
    <t>Asbestos</t>
  </si>
  <si>
    <t>Fitout Items</t>
  </si>
  <si>
    <t>Air Supply Ductwork</t>
  </si>
  <si>
    <t>Tenant Exhaust</t>
  </si>
  <si>
    <t>Energy Efficiency (Conditional Requirement)</t>
  </si>
  <si>
    <t>Energy Improvements</t>
  </si>
  <si>
    <t>Separate Sub-metering for Lighting and Small Power Consumption</t>
  </si>
  <si>
    <t>Sub-metering for Substantive Energy Use</t>
  </si>
  <si>
    <t>Adresssble Lighting System</t>
  </si>
  <si>
    <t>Car Parking</t>
  </si>
  <si>
    <t>Provision of Cyclist Facilities</t>
  </si>
  <si>
    <t>Tenant-Initiated Cyclist Faciliaites</t>
  </si>
  <si>
    <t>Predicated Potable Water Consumption</t>
  </si>
  <si>
    <t>Dishwashers</t>
  </si>
  <si>
    <t>Replacement of Base Building Fixtures</t>
  </si>
  <si>
    <t>Workstations</t>
  </si>
  <si>
    <t>Reduced Built Zone Area</t>
  </si>
  <si>
    <t>Reduced Environmental Impact</t>
  </si>
  <si>
    <t>Chairs</t>
  </si>
  <si>
    <t>Tables</t>
  </si>
  <si>
    <t>Storage</t>
  </si>
  <si>
    <t>Ceilings</t>
  </si>
  <si>
    <t>Waste Management for Tenancy Operation</t>
  </si>
  <si>
    <t>MAT-10</t>
  </si>
  <si>
    <t>Green Star - Office As Built Certified Building</t>
  </si>
  <si>
    <t>Building Layout Efficiency</t>
  </si>
  <si>
    <t>Building Environmental Management</t>
  </si>
  <si>
    <t>Commitment to Building Performance</t>
  </si>
  <si>
    <t>Shell and Core or Integrated Fitout</t>
  </si>
  <si>
    <t>Building Conservation</t>
  </si>
  <si>
    <t>Refrigerant Ozone Depleting Potential</t>
  </si>
  <si>
    <t>Insultaion Ozone Depleting Potential</t>
  </si>
  <si>
    <t>Commissioning - Building Tuning</t>
  </si>
  <si>
    <t>Commissioning - Commissioning Agent</t>
  </si>
  <si>
    <t>Envrionmental Management Plan</t>
  </si>
  <si>
    <t>Envrionmental Management System</t>
  </si>
  <si>
    <t>Carbon Dioxide Monitoring &amp; Control</t>
  </si>
  <si>
    <t>Daylighting</t>
  </si>
  <si>
    <t>Mould Prevention</t>
  </si>
  <si>
    <t>Tenant Exhaust Riser</t>
  </si>
  <si>
    <t>Energy (Conditional Requirement)</t>
  </si>
  <si>
    <t>Energy Improvement</t>
  </si>
  <si>
    <t>Electrical Sub-metering</t>
  </si>
  <si>
    <t>Tenancy Sub-metering</t>
  </si>
  <si>
    <t>ENE-5</t>
  </si>
  <si>
    <t>Office Lighting Power Density</t>
  </si>
  <si>
    <t>Office Lighting Zoning</t>
  </si>
  <si>
    <t>Small Parking Spaces</t>
  </si>
  <si>
    <t>Staff Bicycle Storage</t>
  </si>
  <si>
    <t>Visitor Bicycle Storage</t>
  </si>
  <si>
    <t>Commuting Public Transport</t>
  </si>
  <si>
    <t>Occupant Amenity Potable Water Efficiency</t>
  </si>
  <si>
    <t>Building Management System</t>
  </si>
  <si>
    <t>Landscape Irrigation Water Efficiency</t>
  </si>
  <si>
    <t>Cooling Tower Water Consumption</t>
  </si>
  <si>
    <t>Re-use of Façade</t>
  </si>
  <si>
    <t>Re-use of Structure</t>
  </si>
  <si>
    <t>Topsoil and Fill Removal from Site</t>
  </si>
  <si>
    <t>Refrigerant Leak Detection</t>
  </si>
  <si>
    <t>Refrigerant Recovery</t>
  </si>
  <si>
    <t>Reduced Flow to Sewer</t>
  </si>
  <si>
    <t>Greenhouse Gas Emissions (December 2013)</t>
  </si>
  <si>
    <t>Metering and Monitoring of Substantive Energy Uses</t>
  </si>
  <si>
    <t>Metering and Monitoring of Lighting and Power Separetly</t>
  </si>
  <si>
    <t>Lighting Power Density</t>
  </si>
  <si>
    <t>Addressible Lighting System</t>
  </si>
  <si>
    <t>Staff Cyclist Facilities</t>
  </si>
  <si>
    <t>Visitor Bicycle Parking</t>
  </si>
  <si>
    <t>Reused Materials</t>
  </si>
  <si>
    <t>Topsoil (December 2013)</t>
  </si>
  <si>
    <t>Refrigerant Leaks (December 2013)</t>
  </si>
  <si>
    <t>Green Star - Performance</t>
  </si>
  <si>
    <t>Performance!</t>
  </si>
  <si>
    <t>P</t>
  </si>
  <si>
    <t>H9:O107</t>
  </si>
  <si>
    <t>H9:H107</t>
  </si>
  <si>
    <t>L119</t>
  </si>
  <si>
    <t>L117</t>
  </si>
  <si>
    <t>Commercial Building Baseline Study</t>
  </si>
  <si>
    <t>Industry Developed Potable Water Benchmarks</t>
  </si>
  <si>
    <t>Peer Group of Comparable Buildings..</t>
  </si>
  <si>
    <t>Longitudinal Benchmarking..</t>
  </si>
  <si>
    <t xml:space="preserve">Waste Diverted from Landfill </t>
  </si>
  <si>
    <t>Building Energy Baselines</t>
  </si>
  <si>
    <t>16C</t>
  </si>
  <si>
    <t>Preliminary Benchmark for Commercial Buildings</t>
  </si>
  <si>
    <t>Potable Water Benchmarks</t>
  </si>
  <si>
    <t>'Public Building v1'!</t>
  </si>
  <si>
    <t>C9:H95</t>
  </si>
  <si>
    <t>C9:C95</t>
  </si>
  <si>
    <t>E99</t>
  </si>
  <si>
    <t>E102</t>
  </si>
  <si>
    <t>'Retail Centre v1'!</t>
  </si>
  <si>
    <t>C9:I101</t>
  </si>
  <si>
    <t>C9:C101</t>
  </si>
  <si>
    <t>F105</t>
  </si>
  <si>
    <t>F106</t>
  </si>
  <si>
    <t>D9:D101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</si>
</sst>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quot;$&quot;#,##0"/>
    <numFmt numFmtId="165" formatCode="_-&quot;$&quot;* #,##0.00_-;\-&quot;$&quot;* #,##0.00_-;_-&quot;$&quot;* &quot;-&quot;??_-;_-@_-"/>
    <numFmt numFmtId="166" formatCode="0.0"/>
    <numFmt numFmtId="167" formatCode="&quot;$&quot;#,##0"/>
    <numFmt numFmtId="168" formatCode="[$-C09]dd\-mmm\-yy;@"/>
    <numFmt numFmtId="169" formatCode="[$-C09]d\ mmmm\ yyyy;@"/>
    <numFmt numFmtId="170" formatCode="0.0%"/>
  </numFmts>
  <fonts count="9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b/>
      <sz val="11"/>
      <color theme="0"/>
      <name val="Calibri"/>
      <family val="2"/>
      <scheme val="minor"/>
    </font>
    <font>
      <sz val="11"/>
      <color theme="0"/>
      <name val="Calibri"/>
      <family val="2"/>
      <scheme val="minor"/>
    </font>
    <font>
      <sz val="11"/>
      <color rgb="FF585858"/>
      <name val="Arial"/>
      <family val="2"/>
    </font>
    <font>
      <b/>
      <sz val="11"/>
      <color theme="0"/>
      <name val="Arial"/>
      <family val="2"/>
    </font>
    <font>
      <sz val="11"/>
      <color theme="0"/>
      <name val="Arial"/>
      <family val="2"/>
    </font>
    <font>
      <sz val="11"/>
      <color theme="6" tint="0.39997558519241921"/>
      <name val="Arial"/>
      <family val="2"/>
    </font>
    <font>
      <b/>
      <sz val="11"/>
      <color rgb="FF585858"/>
      <name val="Arial"/>
      <family val="2"/>
    </font>
    <font>
      <sz val="11"/>
      <color theme="1"/>
      <name val="Arial"/>
      <family val="2"/>
    </font>
    <font>
      <sz val="11"/>
      <color theme="1"/>
      <name val="Calibri"/>
      <family val="2"/>
      <scheme val="minor"/>
    </font>
    <font>
      <b/>
      <sz val="11"/>
      <color theme="1"/>
      <name val="Calibri"/>
      <family val="2"/>
      <scheme val="minor"/>
    </font>
    <font>
      <sz val="10"/>
      <name val="Arial"/>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8"/>
      <name val="Arial"/>
      <family val="2"/>
    </font>
    <font>
      <sz val="10"/>
      <name val="Verdana"/>
      <family val="2"/>
    </font>
    <font>
      <sz val="12"/>
      <color theme="1"/>
      <name val="Calibri"/>
      <family val="2"/>
      <scheme val="minor"/>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8" tint="0.39997558519241921"/>
      <name val="Calibri"/>
      <family val="2"/>
      <scheme val="minor"/>
    </font>
    <font>
      <sz val="11"/>
      <color theme="1" tint="0.499984740745262"/>
      <name val="Arial"/>
      <family val="2"/>
    </font>
    <font>
      <b/>
      <sz val="11"/>
      <color theme="1" tint="0.499984740745262"/>
      <name val="Arial"/>
      <family val="2"/>
    </font>
    <font>
      <sz val="9"/>
      <color theme="1"/>
      <name val="Arial"/>
      <family val="2"/>
    </font>
    <font>
      <sz val="11"/>
      <color indexed="81"/>
      <name val="Arial"/>
      <family val="2"/>
    </font>
    <font>
      <sz val="11"/>
      <color indexed="81"/>
      <name val="Tahoma"/>
      <family val="2"/>
    </font>
    <font>
      <sz val="8"/>
      <color indexed="81"/>
      <name val="Tahoma"/>
      <family val="2"/>
    </font>
    <font>
      <b/>
      <sz val="10"/>
      <name val="Arial"/>
      <family val="2"/>
    </font>
    <font>
      <b/>
      <sz val="14"/>
      <name val="Arial"/>
      <family val="2"/>
    </font>
    <font>
      <b/>
      <sz val="12"/>
      <name val="Arial"/>
      <family val="2"/>
    </font>
    <font>
      <b/>
      <sz val="24"/>
      <color rgb="FF1F3860"/>
      <name val="Arial"/>
      <family val="2"/>
    </font>
    <font>
      <sz val="24"/>
      <color rgb="FF002060"/>
      <name val="Arial"/>
      <family val="2"/>
    </font>
    <font>
      <b/>
      <sz val="10"/>
      <color rgb="FFFF0000"/>
      <name val="Arial"/>
      <family val="2"/>
    </font>
    <font>
      <b/>
      <sz val="14"/>
      <color theme="1"/>
      <name val="Arial"/>
      <family val="2"/>
    </font>
    <font>
      <b/>
      <sz val="12"/>
      <color theme="1"/>
      <name val="Arial"/>
      <family val="2"/>
    </font>
    <font>
      <b/>
      <sz val="12"/>
      <color rgb="FFFF0000"/>
      <name val="Arial"/>
      <family val="2"/>
    </font>
    <font>
      <b/>
      <sz val="14"/>
      <color theme="0"/>
      <name val="Arial"/>
      <family val="2"/>
    </font>
    <font>
      <b/>
      <sz val="11"/>
      <color rgb="FFFF0000"/>
      <name val="Arial"/>
      <family val="2"/>
    </font>
    <font>
      <b/>
      <sz val="11"/>
      <color theme="1"/>
      <name val="Arial"/>
      <family val="2"/>
    </font>
    <font>
      <sz val="14"/>
      <color indexed="81"/>
      <name val="Tahoma"/>
      <family val="2"/>
    </font>
    <font>
      <sz val="11"/>
      <name val="Arial"/>
      <family val="2"/>
    </font>
    <font>
      <b/>
      <sz val="11"/>
      <name val="Arial"/>
      <family val="2"/>
    </font>
    <font>
      <sz val="12"/>
      <color theme="1"/>
      <name val="Arial"/>
      <family val="2"/>
    </font>
    <font>
      <sz val="24"/>
      <color theme="3"/>
      <name val="Arial"/>
      <family val="2"/>
    </font>
    <font>
      <sz val="24"/>
      <color rgb="FFFFC000"/>
      <name val="Arial"/>
      <family val="2"/>
    </font>
    <font>
      <sz val="14"/>
      <color theme="1"/>
      <name val="Arial"/>
      <family val="2"/>
    </font>
    <font>
      <sz val="11"/>
      <color rgb="FFFF0000"/>
      <name val="Arial"/>
      <family val="2"/>
    </font>
    <font>
      <sz val="11"/>
      <color indexed="9"/>
      <name val="Arial"/>
      <family val="2"/>
    </font>
    <font>
      <b/>
      <sz val="11"/>
      <color indexed="9"/>
      <name val="Arial"/>
      <family val="2"/>
    </font>
    <font>
      <b/>
      <sz val="12"/>
      <color theme="0"/>
      <name val="Arial"/>
      <family val="2"/>
    </font>
    <font>
      <sz val="10"/>
      <color theme="0"/>
      <name val="Arial"/>
      <family val="2"/>
    </font>
    <font>
      <sz val="14"/>
      <color theme="0"/>
      <name val="Arial"/>
      <family val="2"/>
    </font>
    <font>
      <sz val="10"/>
      <color rgb="FFFF0000"/>
      <name val="Arial"/>
      <family val="2"/>
    </font>
    <font>
      <b/>
      <sz val="10"/>
      <color theme="1"/>
      <name val="Arial"/>
      <family val="2"/>
    </font>
    <font>
      <sz val="11"/>
      <color theme="0" tint="-4.9989318521683403E-2"/>
      <name val="Arial"/>
      <family val="2"/>
    </font>
    <font>
      <b/>
      <sz val="10"/>
      <color indexed="18"/>
      <name val="Arial"/>
      <family val="2"/>
    </font>
    <font>
      <sz val="22"/>
      <color theme="1"/>
      <name val="Arial"/>
      <family val="2"/>
    </font>
    <font>
      <i/>
      <sz val="11"/>
      <color theme="1"/>
      <name val="Arial"/>
      <family val="2"/>
    </font>
    <font>
      <sz val="10"/>
      <color theme="1" tint="0.249977111117893"/>
      <name val="Arial"/>
      <family val="2"/>
    </font>
    <font>
      <b/>
      <sz val="10"/>
      <color theme="1" tint="0.249977111117893"/>
      <name val="Arial"/>
      <family val="2"/>
    </font>
    <font>
      <sz val="10"/>
      <color theme="0" tint="-0.14999847407452621"/>
      <name val="Arial"/>
      <family val="2"/>
    </font>
    <font>
      <sz val="10"/>
      <color theme="1"/>
      <name val="Calibri"/>
      <family val="2"/>
      <scheme val="minor"/>
    </font>
    <font>
      <b/>
      <sz val="10"/>
      <color rgb="FFFF0000"/>
      <name val="Calibri"/>
      <family val="2"/>
      <scheme val="minor"/>
    </font>
    <font>
      <b/>
      <sz val="12"/>
      <color rgb="FFFF0000"/>
      <name val="Calibri"/>
      <family val="2"/>
      <scheme val="minor"/>
    </font>
    <font>
      <b/>
      <sz val="12"/>
      <color theme="1"/>
      <name val="Calibri"/>
      <family val="2"/>
      <scheme val="minor"/>
    </font>
    <font>
      <b/>
      <sz val="11"/>
      <color rgb="FFFF0000"/>
      <name val="Calibri"/>
      <family val="2"/>
      <scheme val="minor"/>
    </font>
    <font>
      <b/>
      <sz val="14"/>
      <color theme="0"/>
      <name val="Calibri"/>
      <family val="2"/>
      <scheme val="minor"/>
    </font>
    <font>
      <b/>
      <sz val="11"/>
      <name val="Calibri"/>
      <family val="2"/>
      <scheme val="minor"/>
    </font>
    <font>
      <sz val="11"/>
      <name val="Calibri"/>
      <family val="2"/>
      <scheme val="minor"/>
    </font>
    <font>
      <b/>
      <sz val="12"/>
      <name val="Calibri"/>
      <family val="2"/>
      <scheme val="minor"/>
    </font>
    <font>
      <sz val="14"/>
      <color theme="1"/>
      <name val="Calibri"/>
      <family val="2"/>
      <scheme val="minor"/>
    </font>
    <font>
      <sz val="10"/>
      <name val="Calibri"/>
      <family val="2"/>
      <scheme val="minor"/>
    </font>
    <font>
      <sz val="11"/>
      <color theme="1"/>
      <name val="Cambria"/>
      <family val="2"/>
      <scheme val="major"/>
    </font>
    <font>
      <sz val="11"/>
      <color rgb="FF9C5700"/>
      <name val="Calibri"/>
      <family val="2"/>
      <scheme val="minor"/>
    </font>
    <font>
      <b/>
      <sz val="11"/>
      <color theme="0"/>
      <name val="Cambria"/>
      <family val="2"/>
      <scheme val="major"/>
    </font>
    <font>
      <sz val="16"/>
      <color theme="1"/>
      <name val="Calibri"/>
      <family val="2"/>
      <scheme val="minor"/>
    </font>
    <font>
      <sz val="11"/>
      <name val="Cambria"/>
      <family val="2"/>
      <scheme val="major"/>
    </font>
    <font>
      <sz val="14"/>
      <color indexed="81"/>
      <name val="Cambria"/>
      <family val="2"/>
      <scheme val="major"/>
    </font>
    <font>
      <sz val="8"/>
      <name val="Calibri"/>
      <family val="2"/>
      <scheme val="minor"/>
    </font>
  </fonts>
  <fills count="54">
    <fill>
      <patternFill patternType="none"/>
    </fill>
    <fill>
      <patternFill patternType="gray125"/>
    </fill>
    <fill>
      <patternFill patternType="solid">
        <fgColor theme="6" tint="0.79998168889431442"/>
        <bgColor indexed="64"/>
      </patternFill>
    </fill>
    <fill>
      <patternFill patternType="solid">
        <fgColor theme="1"/>
        <bgColor indexed="64"/>
      </patternFill>
    </fill>
    <fill>
      <patternFill patternType="solid">
        <fgColor theme="0"/>
        <bgColor indexed="64"/>
      </patternFill>
    </fill>
    <fill>
      <patternFill patternType="solid">
        <fgColor indexed="9"/>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55"/>
      </patternFill>
    </fill>
    <fill>
      <patternFill patternType="solid">
        <fgColor indexed="42"/>
      </patternFill>
    </fill>
    <fill>
      <patternFill patternType="solid">
        <fgColor theme="8" tint="0.79998168889431442"/>
        <bgColor indexed="64"/>
      </patternFill>
    </fill>
    <fill>
      <patternFill patternType="solid">
        <fgColor rgb="FF000000"/>
        <bgColor indexed="64"/>
      </patternFill>
    </fill>
    <fill>
      <patternFill patternType="solid">
        <fgColor theme="5" tint="0.39997558519241921"/>
        <bgColor indexed="65"/>
      </patternFill>
    </fill>
    <fill>
      <patternFill patternType="solid">
        <fgColor rgb="FFFFEB9C"/>
        <bgColor indexed="64"/>
      </patternFill>
    </fill>
    <fill>
      <patternFill patternType="solid">
        <fgColor rgb="FFFFB70E"/>
        <bgColor indexed="64"/>
      </patternFill>
    </fill>
    <fill>
      <patternFill patternType="solid">
        <fgColor rgb="FFFFC000"/>
        <bgColor indexed="64"/>
      </patternFill>
    </fill>
    <fill>
      <patternFill patternType="solid">
        <fgColor theme="4" tint="0.79998168889431442"/>
        <bgColor indexed="65"/>
      </patternFill>
    </fill>
    <fill>
      <patternFill patternType="solid">
        <fgColor rgb="FFCAE8AA"/>
        <bgColor rgb="FF8DC43F"/>
      </patternFill>
    </fill>
    <fill>
      <patternFill patternType="solid">
        <fgColor theme="8" tint="-0.499984740745262"/>
        <bgColor rgb="FF8DC43F"/>
      </patternFill>
    </fill>
    <fill>
      <patternFill patternType="solid">
        <fgColor rgb="FF92D050"/>
        <bgColor rgb="FF8DC43F"/>
      </patternFill>
    </fill>
    <fill>
      <patternFill patternType="solid">
        <fgColor rgb="FF92D050"/>
        <bgColor indexed="64"/>
      </patternFill>
    </fill>
    <fill>
      <patternFill patternType="solid">
        <fgColor theme="3"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0"/>
        <bgColor rgb="FF8DC43F"/>
      </patternFill>
    </fill>
    <fill>
      <patternFill patternType="solid">
        <fgColor theme="0"/>
      </patternFill>
    </fill>
    <fill>
      <patternFill patternType="solid">
        <fgColor rgb="FFCAE8AA"/>
        <bgColor indexed="64"/>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1"/>
        <bgColor rgb="FF8DC43F"/>
      </patternFill>
    </fill>
    <fill>
      <patternFill patternType="solid">
        <fgColor rgb="FFFFC20E"/>
        <bgColor indexed="64"/>
      </patternFill>
    </fill>
    <fill>
      <patternFill patternType="solid">
        <fgColor rgb="FF1F3862"/>
        <bgColor indexed="64"/>
      </patternFill>
    </fill>
    <fill>
      <patternFill patternType="solid">
        <fgColor theme="4" tint="0.59999389629810485"/>
        <bgColor indexed="64"/>
      </patternFill>
    </fill>
    <fill>
      <patternFill patternType="solid">
        <fgColor theme="4" tint="0.59999389629810485"/>
        <bgColor rgb="FF8DC43F"/>
      </patternFill>
    </fill>
    <fill>
      <patternFill patternType="solid">
        <fgColor theme="5" tint="0.59999389629810485"/>
        <bgColor indexed="64"/>
      </patternFill>
    </fill>
    <fill>
      <patternFill patternType="solid">
        <fgColor rgb="FFC5D8A0"/>
        <bgColor indexed="64"/>
      </patternFill>
    </fill>
    <fill>
      <patternFill patternType="solid">
        <fgColor rgb="FF76933C"/>
        <bgColor indexed="64"/>
      </patternFill>
    </fill>
    <fill>
      <patternFill patternType="solid">
        <fgColor rgb="FFD8E4BC"/>
        <bgColor indexed="64"/>
      </patternFill>
    </fill>
    <fill>
      <patternFill patternType="solid">
        <fgColor rgb="FF7EBB48"/>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EB9C"/>
      </patternFill>
    </fill>
    <fill>
      <patternFill patternType="solid">
        <fgColor rgb="FFFFF9DD"/>
        <bgColor indexed="64"/>
      </patternFill>
    </fill>
    <fill>
      <patternFill patternType="solid">
        <fgColor rgb="FFFFFF00"/>
        <bgColor indexed="64"/>
      </patternFill>
    </fill>
  </fills>
  <borders count="76">
    <border>
      <left/>
      <right/>
      <top/>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auto="1"/>
      </bottom>
      <diagonal/>
    </border>
    <border>
      <left style="hair">
        <color auto="1"/>
      </left>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theme="4"/>
      </bottom>
      <diagonal/>
    </border>
    <border>
      <left style="hair">
        <color theme="4"/>
      </left>
      <right/>
      <top/>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hair">
        <color auto="1"/>
      </top>
      <bottom style="hair">
        <color theme="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hair">
        <color theme="4"/>
      </left>
      <right style="hair">
        <color auto="1"/>
      </right>
      <top/>
      <bottom style="hair">
        <color theme="4"/>
      </bottom>
      <diagonal/>
    </border>
    <border>
      <left style="hair">
        <color auto="1"/>
      </left>
      <right style="hair">
        <color auto="1"/>
      </right>
      <top style="hair">
        <color theme="4"/>
      </top>
      <bottom/>
      <diagonal/>
    </border>
    <border>
      <left/>
      <right style="hair">
        <color auto="1"/>
      </right>
      <top style="hair">
        <color auto="1"/>
      </top>
      <bottom/>
      <diagonal/>
    </border>
    <border>
      <left style="thin">
        <color indexed="64"/>
      </left>
      <right/>
      <top/>
      <bottom/>
      <diagonal/>
    </border>
    <border>
      <left/>
      <right style="thin">
        <color indexed="64"/>
      </right>
      <top/>
      <bottom/>
      <diagonal/>
    </border>
    <border>
      <left/>
      <right/>
      <top style="hair">
        <color auto="1"/>
      </top>
      <bottom style="thin">
        <color indexed="64"/>
      </bottom>
      <diagonal/>
    </border>
    <border>
      <left/>
      <right/>
      <top style="thin">
        <color theme="0"/>
      </top>
      <bottom/>
      <diagonal/>
    </border>
    <border>
      <left/>
      <right/>
      <top/>
      <bottom style="thin">
        <color rgb="FF4F6228"/>
      </bottom>
      <diagonal/>
    </border>
    <border>
      <left/>
      <right/>
      <top style="thin">
        <color rgb="FF7EBB48"/>
      </top>
      <bottom style="hair">
        <color auto="1"/>
      </bottom>
      <diagonal/>
    </border>
    <border>
      <left/>
      <right/>
      <top style="thin">
        <color rgb="FF7EBB48"/>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style="thin">
        <color indexed="64"/>
      </left>
      <right style="thin">
        <color theme="0"/>
      </right>
      <top style="thin">
        <color indexed="64"/>
      </top>
      <bottom style="thin">
        <color indexed="64"/>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hair">
        <color theme="8" tint="-0.499984740745262"/>
      </top>
      <bottom style="hair">
        <color theme="8" tint="-0.499984740745262"/>
      </bottom>
      <diagonal/>
    </border>
    <border>
      <left/>
      <right/>
      <top style="hair">
        <color theme="8" tint="-0.499984740745262"/>
      </top>
      <bottom/>
      <diagonal/>
    </border>
    <border>
      <left/>
      <right/>
      <top/>
      <bottom style="hair">
        <color theme="8" tint="-0.499984740745262"/>
      </bottom>
      <diagonal/>
    </border>
    <border>
      <left/>
      <right/>
      <top style="hair">
        <color theme="8" tint="-0.499984740745262"/>
      </top>
      <bottom style="hair">
        <color indexed="64"/>
      </bottom>
      <diagonal/>
    </border>
    <border>
      <left style="hair">
        <color auto="1"/>
      </left>
      <right style="hair">
        <color auto="1"/>
      </right>
      <top/>
      <bottom style="hair">
        <color theme="4"/>
      </bottom>
      <diagonal/>
    </border>
    <border>
      <left/>
      <right style="hair">
        <color theme="4"/>
      </right>
      <top style="hair">
        <color auto="1"/>
      </top>
      <bottom style="hair">
        <color auto="1"/>
      </bottom>
      <diagonal/>
    </border>
    <border>
      <left style="hair">
        <color theme="4"/>
      </left>
      <right style="hair">
        <color theme="4"/>
      </right>
      <top/>
      <bottom style="hair">
        <color theme="4"/>
      </bottom>
      <diagonal/>
    </border>
    <border>
      <left style="hair">
        <color auto="1"/>
      </left>
      <right style="hair">
        <color theme="4"/>
      </right>
      <top style="hair">
        <color auto="1"/>
      </top>
      <bottom/>
      <diagonal/>
    </border>
    <border>
      <left style="hair">
        <color auto="1"/>
      </left>
      <right style="hair">
        <color theme="4"/>
      </right>
      <top style="hair">
        <color auto="1"/>
      </top>
      <bottom style="hair">
        <color auto="1"/>
      </bottom>
      <diagonal/>
    </border>
    <border>
      <left style="hair">
        <color auto="1"/>
      </left>
      <right style="hair">
        <color theme="4"/>
      </right>
      <top/>
      <bottom style="hair">
        <color auto="1"/>
      </bottom>
      <diagonal/>
    </border>
    <border>
      <left/>
      <right style="hair">
        <color theme="4"/>
      </right>
      <top/>
      <bottom/>
      <diagonal/>
    </border>
    <border>
      <left style="hair">
        <color theme="4"/>
      </left>
      <right style="hair">
        <color auto="1"/>
      </right>
      <top style="hair">
        <color theme="4"/>
      </top>
      <bottom style="hair">
        <color theme="4"/>
      </bottom>
      <diagonal/>
    </border>
    <border>
      <left style="hair">
        <color theme="4"/>
      </left>
      <right style="hair">
        <color theme="4"/>
      </right>
      <top style="hair">
        <color theme="4"/>
      </top>
      <bottom style="hair">
        <color theme="4"/>
      </bottom>
      <diagonal/>
    </border>
  </borders>
  <cellStyleXfs count="257">
    <xf numFmtId="0" fontId="0" fillId="0" borderId="0"/>
    <xf numFmtId="168" fontId="15" fillId="0" borderId="0"/>
    <xf numFmtId="9" fontId="15" fillId="0" borderId="0" applyFont="0" applyFill="0" applyBorder="0" applyAlignment="0" applyProtection="0"/>
    <xf numFmtId="168" fontId="17" fillId="0" borderId="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2" fillId="5" borderId="3"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3" fillId="17" borderId="4"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9" fillId="0" borderId="0"/>
    <xf numFmtId="0" fontId="32" fillId="0" borderId="0"/>
    <xf numFmtId="168" fontId="33" fillId="0" borderId="0"/>
    <xf numFmtId="0" fontId="33" fillId="0" borderId="0"/>
    <xf numFmtId="0" fontId="33" fillId="0" borderId="0"/>
    <xf numFmtId="0" fontId="33" fillId="0" borderId="0"/>
    <xf numFmtId="0" fontId="32" fillId="0" borderId="0"/>
    <xf numFmtId="0" fontId="17" fillId="0" borderId="0"/>
    <xf numFmtId="0" fontId="33" fillId="0" borderId="0"/>
    <xf numFmtId="0" fontId="17" fillId="0" borderId="0"/>
    <xf numFmtId="0" fontId="34" fillId="0" borderId="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17" fillId="7" borderId="9" applyNumberFormat="0" applyFon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0" fontId="35" fillId="5" borderId="10" applyNumberFormat="0" applyAlignment="0" applyProtection="0"/>
    <xf numFmtId="9" fontId="33" fillId="0" borderId="0" applyFont="0" applyFill="0" applyBorder="0" applyAlignment="0" applyProtection="0"/>
    <xf numFmtId="9" fontId="34"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19" borderId="12">
      <alignment vertical="center"/>
    </xf>
    <xf numFmtId="0" fontId="7" fillId="20" borderId="0">
      <alignment horizontal="center" vertical="center" wrapText="1"/>
      <protection locked="0"/>
    </xf>
    <xf numFmtId="0" fontId="8" fillId="21" borderId="0" applyNumberFormat="0" applyBorder="0" applyAlignment="0" applyProtection="0"/>
    <xf numFmtId="0" fontId="15" fillId="22" borderId="12" applyNumberFormat="0" applyAlignment="0" applyProtection="0"/>
    <xf numFmtId="0" fontId="15" fillId="25" borderId="12" applyNumberFormat="0" applyAlignment="0" applyProtection="0"/>
    <xf numFmtId="0" fontId="17" fillId="36" borderId="0">
      <protection locked="0"/>
    </xf>
    <xf numFmtId="0" fontId="17" fillId="37" borderId="32">
      <alignment horizontal="center" vertical="center"/>
      <protection locked="0"/>
    </xf>
    <xf numFmtId="0" fontId="17" fillId="38" borderId="0">
      <protection locked="0"/>
    </xf>
    <xf numFmtId="0" fontId="46" fillId="37" borderId="0">
      <alignment vertical="center"/>
      <protection locked="0"/>
    </xf>
    <xf numFmtId="0" fontId="46" fillId="0" borderId="0">
      <protection locked="0"/>
    </xf>
    <xf numFmtId="0" fontId="47" fillId="0" borderId="0">
      <protection locked="0"/>
    </xf>
    <xf numFmtId="0" fontId="42" fillId="0" borderId="0"/>
    <xf numFmtId="169" fontId="32" fillId="0" borderId="0"/>
    <xf numFmtId="169" fontId="32" fillId="0" borderId="0"/>
    <xf numFmtId="0" fontId="15" fillId="0" borderId="0"/>
    <xf numFmtId="0" fontId="33" fillId="0" borderId="0"/>
    <xf numFmtId="169" fontId="15" fillId="0" borderId="0"/>
    <xf numFmtId="169" fontId="17" fillId="0" borderId="0"/>
    <xf numFmtId="9" fontId="17" fillId="0" borderId="0" applyFont="0" applyFill="0" applyBorder="0" applyAlignment="0" applyProtection="0"/>
    <xf numFmtId="9" fontId="15" fillId="0" borderId="0" applyFont="0" applyFill="0" applyBorder="0" applyAlignment="0" applyProtection="0"/>
    <xf numFmtId="9" fontId="42" fillId="0" borderId="0" applyFont="0" applyFill="0" applyBorder="0" applyAlignment="0" applyProtection="0"/>
    <xf numFmtId="9" fontId="34" fillId="0" borderId="0" applyFont="0" applyFill="0" applyBorder="0" applyAlignment="0" applyProtection="0"/>
    <xf numFmtId="0" fontId="17" fillId="37" borderId="33">
      <alignment vertical="center"/>
      <protection locked="0"/>
    </xf>
    <xf numFmtId="0" fontId="48" fillId="0" borderId="0">
      <protection locked="0"/>
    </xf>
    <xf numFmtId="0" fontId="15" fillId="0" borderId="0"/>
    <xf numFmtId="0" fontId="15" fillId="22" borderId="12" applyNumberFormat="0" applyAlignment="0" applyProtection="0"/>
    <xf numFmtId="168" fontId="15" fillId="0" borderId="0"/>
    <xf numFmtId="168" fontId="32" fillId="0" borderId="0"/>
    <xf numFmtId="168" fontId="33" fillId="0" borderId="0"/>
    <xf numFmtId="168" fontId="32" fillId="0" borderId="0"/>
    <xf numFmtId="168" fontId="17" fillId="0" borderId="0"/>
    <xf numFmtId="168" fontId="17" fillId="0" borderId="0"/>
    <xf numFmtId="0" fontId="15" fillId="25" borderId="12" applyNumberFormat="0" applyAlignment="0" applyProtection="0"/>
    <xf numFmtId="0" fontId="8" fillId="21" borderId="0" applyNumberFormat="0" applyBorder="0" applyAlignment="0" applyProtection="0"/>
    <xf numFmtId="0" fontId="92" fillId="51" borderId="0" applyNumberFormat="0" applyBorder="0" applyAlignment="0" applyProtection="0"/>
  </cellStyleXfs>
  <cellXfs count="1491">
    <xf numFmtId="0" fontId="0" fillId="0" borderId="0" xfId="0"/>
    <xf numFmtId="0" fontId="14" fillId="0" borderId="0" xfId="0" applyFont="1" applyProtection="1">
      <protection locked="0" hidden="1"/>
    </xf>
    <xf numFmtId="0" fontId="51" fillId="0" borderId="0" xfId="0" applyFont="1" applyAlignment="1" applyProtection="1">
      <alignment horizontal="center" vertical="center"/>
      <protection hidden="1"/>
    </xf>
    <xf numFmtId="0" fontId="14" fillId="0" borderId="0" xfId="0" applyFont="1" applyProtection="1">
      <protection hidden="1"/>
    </xf>
    <xf numFmtId="165"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53" fillId="0" borderId="0" xfId="0" applyFont="1" applyAlignment="1" applyProtection="1">
      <alignment horizontal="left" vertical="center" wrapText="1"/>
      <protection hidden="1"/>
    </xf>
    <xf numFmtId="0" fontId="10" fillId="20" borderId="0" xfId="0" applyFont="1" applyFill="1" applyAlignment="1" applyProtection="1">
      <alignment horizontal="center" vertical="center" wrapText="1"/>
      <protection hidden="1"/>
    </xf>
    <xf numFmtId="0" fontId="54" fillId="0" borderId="0" xfId="0" applyFont="1" applyAlignment="1" applyProtection="1">
      <alignment horizontal="center" vertical="center"/>
      <protection hidden="1"/>
    </xf>
    <xf numFmtId="0" fontId="54" fillId="0" borderId="0" xfId="0" applyFont="1" applyAlignment="1" applyProtection="1">
      <alignment horizontal="left" vertical="center" wrapText="1"/>
      <protection hidden="1"/>
    </xf>
    <xf numFmtId="0" fontId="14" fillId="0" borderId="0" xfId="0" applyFont="1" applyAlignment="1" applyProtection="1">
      <alignment horizontal="left" vertical="center"/>
      <protection hidden="1"/>
    </xf>
    <xf numFmtId="0" fontId="10" fillId="20" borderId="0" xfId="0" applyFont="1" applyFill="1" applyAlignment="1" applyProtection="1">
      <alignment horizontal="left" vertical="center" wrapText="1"/>
      <protection hidden="1"/>
    </xf>
    <xf numFmtId="0" fontId="56" fillId="0" borderId="0" xfId="0" applyFont="1" applyAlignment="1" applyProtection="1">
      <alignment horizontal="center" vertical="center"/>
      <protection hidden="1"/>
    </xf>
    <xf numFmtId="165" fontId="10" fillId="20" borderId="0" xfId="0" applyNumberFormat="1" applyFont="1" applyFill="1" applyAlignment="1" applyProtection="1">
      <alignment horizontal="center" vertical="center" wrapText="1"/>
      <protection hidden="1"/>
    </xf>
    <xf numFmtId="0" fontId="10" fillId="41" borderId="0" xfId="0" applyFont="1" applyFill="1" applyAlignment="1" applyProtection="1">
      <alignment horizontal="center" vertical="center" wrapText="1"/>
      <protection hidden="1"/>
    </xf>
    <xf numFmtId="0" fontId="56" fillId="4" borderId="0" xfId="0" applyFont="1" applyFill="1" applyAlignment="1" applyProtection="1">
      <alignment horizontal="center" vertical="center"/>
      <protection hidden="1"/>
    </xf>
    <xf numFmtId="0" fontId="10" fillId="20" borderId="23" xfId="223" applyFont="1" applyBorder="1" applyAlignment="1" applyProtection="1">
      <alignment horizontal="left" vertical="center" wrapText="1"/>
      <protection hidden="1"/>
    </xf>
    <xf numFmtId="0" fontId="10" fillId="20" borderId="23" xfId="223" applyFont="1" applyBorder="1" applyProtection="1">
      <alignment horizontal="center" vertical="center" wrapText="1"/>
      <protection hidden="1"/>
    </xf>
    <xf numFmtId="165" fontId="10" fillId="20" borderId="0" xfId="223" applyNumberFormat="1" applyFont="1" applyProtection="1">
      <alignment horizontal="center" vertical="center" wrapText="1"/>
      <protection hidden="1"/>
    </xf>
    <xf numFmtId="0" fontId="10" fillId="20" borderId="0" xfId="223" applyFont="1" applyProtection="1">
      <alignment horizontal="center" vertical="center" wrapText="1"/>
      <protection hidden="1"/>
    </xf>
    <xf numFmtId="165" fontId="10" fillId="31" borderId="0" xfId="0" applyNumberFormat="1" applyFont="1" applyFill="1" applyAlignment="1" applyProtection="1">
      <alignment horizontal="center" vertical="center" wrapText="1"/>
      <protection hidden="1"/>
    </xf>
    <xf numFmtId="0" fontId="10" fillId="31" borderId="0" xfId="0" applyFont="1" applyFill="1" applyAlignment="1" applyProtection="1">
      <alignment horizontal="center" vertical="center" wrapText="1"/>
      <protection hidden="1"/>
    </xf>
    <xf numFmtId="0" fontId="52" fillId="22" borderId="13" xfId="226" applyFont="1" applyFill="1" applyBorder="1" applyAlignment="1" applyProtection="1">
      <alignment horizontal="left" vertical="center" wrapText="1"/>
      <protection hidden="1"/>
    </xf>
    <xf numFmtId="0" fontId="52" fillId="22" borderId="41" xfId="226" applyFont="1" applyFill="1" applyBorder="1" applyAlignment="1" applyProtection="1">
      <alignment horizontal="left" vertical="center" wrapText="1"/>
      <protection hidden="1"/>
    </xf>
    <xf numFmtId="0" fontId="52" fillId="22" borderId="14" xfId="226" applyFont="1" applyFill="1" applyBorder="1" applyAlignment="1" applyProtection="1">
      <alignment horizontal="left" vertical="center" wrapText="1"/>
      <protection hidden="1"/>
    </xf>
    <xf numFmtId="0" fontId="52" fillId="35" borderId="13" xfId="226" applyFont="1" applyFill="1" applyBorder="1" applyAlignment="1" applyProtection="1">
      <alignment horizontal="left" vertical="center" wrapText="1"/>
      <protection hidden="1"/>
    </xf>
    <xf numFmtId="0" fontId="52" fillId="35" borderId="41" xfId="226" applyFont="1" applyFill="1" applyBorder="1" applyAlignment="1" applyProtection="1">
      <alignment horizontal="left" vertical="center" wrapText="1"/>
      <protection hidden="1"/>
    </xf>
    <xf numFmtId="0" fontId="52" fillId="35" borderId="14" xfId="226" applyFont="1" applyFill="1" applyBorder="1" applyAlignment="1" applyProtection="1">
      <alignment horizontal="left" vertical="center" wrapText="1"/>
      <protection hidden="1"/>
    </xf>
    <xf numFmtId="0" fontId="10" fillId="31" borderId="17" xfId="0" applyFont="1" applyFill="1" applyBorder="1" applyAlignment="1" applyProtection="1">
      <alignment horizontal="left" vertical="center" wrapText="1"/>
      <protection hidden="1"/>
    </xf>
    <xf numFmtId="0" fontId="10" fillId="31" borderId="17" xfId="0" applyFont="1" applyFill="1" applyBorder="1" applyAlignment="1" applyProtection="1">
      <alignment horizontal="center" vertical="center" wrapText="1"/>
      <protection hidden="1"/>
    </xf>
    <xf numFmtId="166" fontId="60" fillId="0" borderId="0" xfId="0" applyNumberFormat="1" applyFont="1" applyAlignment="1" applyProtection="1">
      <alignment horizontal="center" vertical="center"/>
      <protection hidden="1"/>
    </xf>
    <xf numFmtId="0" fontId="59" fillId="0" borderId="0" xfId="0" applyFont="1" applyAlignment="1" applyProtection="1">
      <alignment horizontal="left" vertical="center"/>
      <protection hidden="1"/>
    </xf>
    <xf numFmtId="0" fontId="59" fillId="0" borderId="0" xfId="0" applyFont="1" applyAlignment="1" applyProtection="1">
      <alignment horizontal="center" vertical="center"/>
      <protection hidden="1"/>
    </xf>
    <xf numFmtId="0" fontId="14" fillId="0" borderId="0" xfId="0" applyFont="1" applyAlignment="1" applyProtection="1">
      <alignment horizontal="left" vertical="center"/>
      <protection locked="0" hidden="1"/>
    </xf>
    <xf numFmtId="0" fontId="51" fillId="0" borderId="0" xfId="0" applyFont="1" applyAlignment="1" applyProtection="1">
      <alignment vertical="center"/>
      <protection hidden="1"/>
    </xf>
    <xf numFmtId="0" fontId="56" fillId="0" borderId="28" xfId="0" applyFont="1" applyBorder="1" applyAlignment="1" applyProtection="1">
      <alignment horizontal="center" vertical="center"/>
      <protection hidden="1"/>
    </xf>
    <xf numFmtId="0" fontId="56" fillId="0" borderId="0" xfId="0" applyFont="1" applyProtection="1">
      <protection hidden="1"/>
    </xf>
    <xf numFmtId="0" fontId="10" fillId="31" borderId="17" xfId="0" applyFont="1" applyFill="1" applyBorder="1" applyAlignment="1" applyProtection="1">
      <alignment vertical="center" wrapText="1"/>
      <protection hidden="1"/>
    </xf>
    <xf numFmtId="0" fontId="55" fillId="31" borderId="17" xfId="0" applyFont="1" applyFill="1" applyBorder="1" applyAlignment="1" applyProtection="1">
      <alignment horizontal="center" vertical="center" wrapText="1"/>
      <protection hidden="1"/>
    </xf>
    <xf numFmtId="0" fontId="55" fillId="31" borderId="0" xfId="0" applyFont="1" applyFill="1" applyAlignment="1" applyProtection="1">
      <alignment horizontal="center" vertical="center" wrapText="1"/>
      <protection hidden="1"/>
    </xf>
    <xf numFmtId="0" fontId="10" fillId="0" borderId="0" xfId="223" applyFont="1" applyFill="1" applyAlignment="1" applyProtection="1">
      <alignment horizontal="left" vertical="center" wrapText="1"/>
      <protection hidden="1"/>
    </xf>
    <xf numFmtId="0" fontId="10" fillId="0" borderId="0" xfId="223" applyFont="1" applyFill="1" applyProtection="1">
      <alignment horizontal="center" vertical="center" wrapText="1"/>
      <protection hidden="1"/>
    </xf>
    <xf numFmtId="0" fontId="10" fillId="20" borderId="0" xfId="223" applyFont="1" applyAlignment="1" applyProtection="1">
      <alignment horizontal="left" vertical="center" wrapText="1"/>
      <protection hidden="1"/>
    </xf>
    <xf numFmtId="0" fontId="48" fillId="0" borderId="0" xfId="0" applyFont="1" applyAlignment="1" applyProtection="1">
      <alignment horizontal="center" vertical="center" wrapText="1"/>
      <protection hidden="1"/>
    </xf>
    <xf numFmtId="0" fontId="60" fillId="20" borderId="0" xfId="0" applyFont="1" applyFill="1" applyAlignment="1" applyProtection="1">
      <alignment horizontal="center" vertical="center"/>
      <protection hidden="1"/>
    </xf>
    <xf numFmtId="9" fontId="59" fillId="0" borderId="0" xfId="2" applyFont="1" applyFill="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7" fillId="20" borderId="0" xfId="0" applyFont="1" applyFill="1" applyAlignment="1" applyProtection="1">
      <alignment horizontal="center" vertical="center"/>
      <protection hidden="1"/>
    </xf>
    <xf numFmtId="0" fontId="61" fillId="0" borderId="0" xfId="0" applyFont="1" applyAlignment="1" applyProtection="1">
      <alignment vertical="center"/>
      <protection hidden="1"/>
    </xf>
    <xf numFmtId="0" fontId="48" fillId="22" borderId="0" xfId="0" applyFont="1" applyFill="1" applyAlignment="1" applyProtection="1">
      <alignment horizontal="center" vertical="center"/>
      <protection hidden="1"/>
    </xf>
    <xf numFmtId="0" fontId="10" fillId="20" borderId="0" xfId="0" applyFont="1" applyFill="1" applyAlignment="1" applyProtection="1">
      <alignment horizontal="center" vertical="center" wrapText="1"/>
      <protection locked="0" hidden="1"/>
    </xf>
    <xf numFmtId="0" fontId="10" fillId="23" borderId="0" xfId="0" applyFont="1" applyFill="1" applyAlignment="1" applyProtection="1">
      <alignment horizontal="center" vertical="center" wrapText="1"/>
      <protection hidden="1"/>
    </xf>
    <xf numFmtId="0" fontId="63" fillId="0" borderId="0" xfId="0" applyFont="1" applyAlignment="1" applyProtection="1">
      <alignment horizontal="left" vertical="center" wrapText="1"/>
      <protection hidden="1"/>
    </xf>
    <xf numFmtId="0" fontId="53" fillId="42" borderId="0" xfId="0" applyFont="1" applyFill="1" applyAlignment="1" applyProtection="1">
      <alignment horizontal="center" vertical="center"/>
      <protection hidden="1"/>
    </xf>
    <xf numFmtId="0" fontId="57" fillId="0" borderId="0" xfId="0" applyFont="1" applyProtection="1">
      <protection hidden="1"/>
    </xf>
    <xf numFmtId="0" fontId="14" fillId="0" borderId="0" xfId="0" applyFont="1" applyAlignment="1" applyProtection="1">
      <alignment horizontal="center" vertical="center"/>
      <protection locked="0" hidden="1"/>
    </xf>
    <xf numFmtId="0" fontId="55" fillId="31" borderId="17" xfId="0" applyFont="1" applyFill="1" applyBorder="1" applyAlignment="1" applyProtection="1">
      <alignment vertical="center" wrapText="1"/>
      <protection hidden="1"/>
    </xf>
    <xf numFmtId="0" fontId="55" fillId="31" borderId="17" xfId="0" applyFont="1" applyFill="1" applyBorder="1" applyAlignment="1" applyProtection="1">
      <alignment vertical="center"/>
      <protection hidden="1"/>
    </xf>
    <xf numFmtId="0" fontId="59" fillId="20" borderId="0" xfId="0" applyFont="1" applyFill="1" applyAlignment="1" applyProtection="1">
      <alignment horizontal="left" vertical="center"/>
      <protection hidden="1"/>
    </xf>
    <xf numFmtId="166" fontId="60" fillId="20" borderId="0" xfId="0" applyNumberFormat="1" applyFont="1" applyFill="1" applyAlignment="1" applyProtection="1">
      <alignment horizontal="center" vertical="center"/>
      <protection hidden="1"/>
    </xf>
    <xf numFmtId="0" fontId="10" fillId="20" borderId="0" xfId="0" applyFont="1" applyFill="1" applyAlignment="1" applyProtection="1">
      <alignment horizontal="center" vertical="center"/>
      <protection hidden="1"/>
    </xf>
    <xf numFmtId="0" fontId="10" fillId="20" borderId="15" xfId="0" applyFont="1" applyFill="1" applyBorder="1" applyAlignment="1" applyProtection="1">
      <alignment horizontal="center" vertical="center" wrapText="1"/>
      <protection hidden="1"/>
    </xf>
    <xf numFmtId="0" fontId="10" fillId="20" borderId="0" xfId="223" applyFont="1" applyProtection="1">
      <alignment horizontal="center" vertical="center" wrapText="1"/>
      <protection locked="0" hidden="1"/>
    </xf>
    <xf numFmtId="0" fontId="10" fillId="0" borderId="0" xfId="223" applyFont="1" applyFill="1" applyAlignment="1" applyProtection="1">
      <alignment vertical="center" wrapText="1"/>
      <protection hidden="1"/>
    </xf>
    <xf numFmtId="0" fontId="10" fillId="0" borderId="0" xfId="223" applyFont="1" applyFill="1" applyProtection="1">
      <alignment horizontal="center" vertical="center" wrapText="1"/>
      <protection locked="0" hidden="1"/>
    </xf>
    <xf numFmtId="0" fontId="64" fillId="0" borderId="0" xfId="0" applyFont="1" applyAlignment="1" applyProtection="1">
      <alignment vertical="center"/>
      <protection locked="0" hidden="1"/>
    </xf>
    <xf numFmtId="0" fontId="59" fillId="42" borderId="1" xfId="0" applyFont="1" applyFill="1" applyBorder="1" applyAlignment="1" applyProtection="1">
      <alignment horizontal="center" vertical="center"/>
      <protection hidden="1"/>
    </xf>
    <xf numFmtId="0" fontId="10" fillId="20" borderId="43" xfId="223" applyFont="1" applyBorder="1" applyProtection="1">
      <alignment horizontal="center" vertical="center" wrapText="1"/>
      <protection hidden="1"/>
    </xf>
    <xf numFmtId="0" fontId="10" fillId="20" borderId="43" xfId="223" applyFont="1" applyBorder="1" applyAlignment="1" applyProtection="1">
      <alignment horizontal="left" vertical="center" wrapText="1"/>
      <protection hidden="1"/>
    </xf>
    <xf numFmtId="1" fontId="48" fillId="22" borderId="0" xfId="0" applyNumberFormat="1" applyFont="1" applyFill="1" applyAlignment="1" applyProtection="1">
      <alignment horizontal="center" vertical="center"/>
      <protection hidden="1"/>
    </xf>
    <xf numFmtId="167" fontId="14" fillId="0" borderId="0" xfId="0" applyNumberFormat="1" applyFont="1" applyAlignment="1" applyProtection="1">
      <alignment horizontal="center" vertical="center"/>
      <protection hidden="1"/>
    </xf>
    <xf numFmtId="164" fontId="10" fillId="20" borderId="23" xfId="223" applyNumberFormat="1" applyFont="1" applyBorder="1" applyProtection="1">
      <alignment horizontal="center" vertical="center" wrapText="1"/>
      <protection hidden="1"/>
    </xf>
    <xf numFmtId="0" fontId="10" fillId="20" borderId="15" xfId="0" applyFont="1" applyFill="1" applyBorder="1" applyAlignment="1" applyProtection="1">
      <alignment horizontal="left" vertical="center" wrapText="1"/>
      <protection hidden="1"/>
    </xf>
    <xf numFmtId="0" fontId="14" fillId="0" borderId="0" xfId="0" applyFont="1" applyAlignment="1" applyProtection="1">
      <alignment vertical="center"/>
      <protection locked="0" hidden="1"/>
    </xf>
    <xf numFmtId="0" fontId="67" fillId="3" borderId="0" xfId="3" applyNumberFormat="1" applyFont="1" applyFill="1" applyAlignment="1" applyProtection="1">
      <alignment horizontal="left" vertical="center" wrapText="1"/>
      <protection hidden="1"/>
    </xf>
    <xf numFmtId="0" fontId="10" fillId="23" borderId="17" xfId="0" applyFont="1" applyFill="1" applyBorder="1" applyAlignment="1" applyProtection="1">
      <alignment horizontal="center" vertical="center" wrapText="1"/>
      <protection hidden="1"/>
    </xf>
    <xf numFmtId="0" fontId="10" fillId="23" borderId="17" xfId="0" applyFont="1" applyFill="1" applyBorder="1" applyAlignment="1" applyProtection="1">
      <alignment horizontal="left" vertical="center" wrapText="1"/>
      <protection hidden="1"/>
    </xf>
    <xf numFmtId="0" fontId="57" fillId="22" borderId="18" xfId="225" applyFont="1" applyBorder="1" applyAlignment="1" applyProtection="1">
      <alignment horizontal="left" vertical="center"/>
      <protection hidden="1"/>
    </xf>
    <xf numFmtId="0" fontId="64" fillId="0" borderId="0" xfId="0" applyFont="1" applyAlignment="1" applyProtection="1">
      <alignment vertical="center"/>
      <protection hidden="1"/>
    </xf>
    <xf numFmtId="0" fontId="57" fillId="22" borderId="0" xfId="0" applyFont="1" applyFill="1" applyAlignment="1" applyProtection="1">
      <alignment horizontal="center" vertical="center"/>
      <protection hidden="1"/>
    </xf>
    <xf numFmtId="166" fontId="57" fillId="22" borderId="0" xfId="0" applyNumberFormat="1" applyFont="1" applyFill="1" applyAlignment="1" applyProtection="1">
      <alignment horizontal="center" vertical="center"/>
      <protection hidden="1"/>
    </xf>
    <xf numFmtId="166" fontId="57" fillId="22" borderId="0" xfId="2" applyNumberFormat="1" applyFont="1" applyFill="1" applyBorder="1" applyAlignment="1" applyProtection="1">
      <alignment horizontal="center" vertical="center"/>
      <protection hidden="1"/>
    </xf>
    <xf numFmtId="0" fontId="10" fillId="20" borderId="17" xfId="223" applyFont="1" applyBorder="1" applyAlignment="1" applyProtection="1">
      <alignment horizontal="left" vertical="center" wrapText="1"/>
      <protection hidden="1"/>
    </xf>
    <xf numFmtId="0" fontId="10" fillId="20" borderId="17" xfId="223" applyFont="1" applyBorder="1" applyProtection="1">
      <alignment horizontal="center" vertical="center" wrapText="1"/>
      <protection hidden="1"/>
    </xf>
    <xf numFmtId="0" fontId="57" fillId="22" borderId="1" xfId="225" applyFont="1" applyBorder="1" applyAlignment="1" applyProtection="1">
      <alignment horizontal="left" vertical="center" wrapText="1"/>
      <protection hidden="1"/>
    </xf>
    <xf numFmtId="0" fontId="10" fillId="3" borderId="0" xfId="0" applyFont="1" applyFill="1" applyAlignment="1" applyProtection="1">
      <alignment horizontal="center" vertical="center"/>
      <protection hidden="1"/>
    </xf>
    <xf numFmtId="3" fontId="10" fillId="3"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66" fillId="40" borderId="0" xfId="3" applyNumberFormat="1" applyFont="1" applyFill="1" applyAlignment="1" applyProtection="1">
      <alignment horizontal="center" vertical="center" wrapText="1"/>
      <protection hidden="1"/>
    </xf>
    <xf numFmtId="0" fontId="66" fillId="0" borderId="0" xfId="3" applyNumberFormat="1" applyFont="1" applyAlignment="1" applyProtection="1">
      <alignment horizontal="center" vertical="center" wrapText="1"/>
      <protection hidden="1"/>
    </xf>
    <xf numFmtId="4" fontId="59" fillId="22" borderId="17" xfId="3" applyNumberFormat="1" applyFont="1" applyFill="1" applyBorder="1" applyAlignment="1" applyProtection="1">
      <alignment horizontal="left" vertical="center" wrapText="1"/>
      <protection hidden="1"/>
    </xf>
    <xf numFmtId="3" fontId="59" fillId="22" borderId="17" xfId="3" applyNumberFormat="1" applyFont="1" applyFill="1" applyBorder="1" applyAlignment="1" applyProtection="1">
      <alignment horizontal="center" vertical="center" wrapText="1"/>
      <protection hidden="1"/>
    </xf>
    <xf numFmtId="0" fontId="10" fillId="3" borderId="0" xfId="0" applyFont="1" applyFill="1" applyAlignment="1" applyProtection="1">
      <alignment vertical="center" wrapText="1"/>
      <protection hidden="1"/>
    </xf>
    <xf numFmtId="168" fontId="67" fillId="40" borderId="0" xfId="3" applyFont="1" applyFill="1" applyAlignment="1" applyProtection="1">
      <alignment horizontal="center" vertical="center" wrapText="1"/>
      <protection hidden="1"/>
    </xf>
    <xf numFmtId="168" fontId="67" fillId="0" borderId="0" xfId="3" applyFont="1" applyAlignment="1" applyProtection="1">
      <alignment horizontal="center" vertical="center" wrapText="1"/>
      <protection hidden="1"/>
    </xf>
    <xf numFmtId="0" fontId="66" fillId="0" borderId="0" xfId="0" applyFont="1" applyAlignment="1" applyProtection="1">
      <alignment vertical="center" wrapText="1"/>
      <protection hidden="1"/>
    </xf>
    <xf numFmtId="0" fontId="66" fillId="0" borderId="0" xfId="0" applyFont="1" applyAlignment="1" applyProtection="1">
      <alignment horizontal="center" vertical="center"/>
      <protection hidden="1"/>
    </xf>
    <xf numFmtId="0" fontId="67" fillId="40" borderId="0" xfId="3" applyNumberFormat="1" applyFont="1" applyFill="1" applyAlignment="1" applyProtection="1">
      <alignment vertical="center" wrapText="1"/>
      <protection hidden="1"/>
    </xf>
    <xf numFmtId="0" fontId="67" fillId="0" borderId="0" xfId="3" applyNumberFormat="1" applyFont="1" applyAlignment="1" applyProtection="1">
      <alignment vertical="center" wrapText="1"/>
      <protection hidden="1"/>
    </xf>
    <xf numFmtId="0" fontId="57" fillId="0" borderId="0" xfId="0" applyFont="1" applyAlignment="1" applyProtection="1">
      <alignment vertical="center"/>
      <protection hidden="1"/>
    </xf>
    <xf numFmtId="0" fontId="67" fillId="0" borderId="0" xfId="0" applyFont="1" applyAlignment="1" applyProtection="1">
      <alignment vertical="center"/>
      <protection hidden="1"/>
    </xf>
    <xf numFmtId="0" fontId="57" fillId="22" borderId="21" xfId="0" applyFont="1" applyFill="1" applyBorder="1" applyAlignment="1" applyProtection="1">
      <alignment vertical="center"/>
      <protection hidden="1"/>
    </xf>
    <xf numFmtId="4" fontId="59" fillId="22" borderId="12" xfId="3" applyNumberFormat="1" applyFont="1" applyFill="1" applyBorder="1" applyAlignment="1" applyProtection="1">
      <alignment horizontal="left" vertical="center" wrapText="1"/>
      <protection hidden="1"/>
    </xf>
    <xf numFmtId="3" fontId="59" fillId="22" borderId="12" xfId="3" applyNumberFormat="1" applyFont="1" applyFill="1" applyBorder="1" applyAlignment="1" applyProtection="1">
      <alignment horizontal="center" vertical="center" wrapText="1"/>
      <protection hidden="1"/>
    </xf>
    <xf numFmtId="168" fontId="67" fillId="40" borderId="17" xfId="3" applyFont="1" applyFill="1" applyBorder="1" applyAlignment="1" applyProtection="1">
      <alignment horizontal="center" vertical="center" wrapText="1"/>
      <protection hidden="1"/>
    </xf>
    <xf numFmtId="0" fontId="66" fillId="40" borderId="17" xfId="3" applyNumberFormat="1" applyFont="1" applyFill="1" applyBorder="1" applyAlignment="1" applyProtection="1">
      <alignment horizontal="center" vertical="center" wrapText="1"/>
      <protection hidden="1"/>
    </xf>
    <xf numFmtId="167" fontId="10" fillId="20" borderId="0" xfId="0" applyNumberFormat="1" applyFont="1" applyFill="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8" fillId="45" borderId="0" xfId="0" applyFont="1" applyFill="1" applyAlignment="1" applyProtection="1">
      <alignment horizontal="center" vertical="center"/>
      <protection hidden="1"/>
    </xf>
    <xf numFmtId="0" fontId="52" fillId="47" borderId="13" xfId="226" applyFont="1" applyFill="1" applyBorder="1" applyAlignment="1" applyProtection="1">
      <alignment vertical="center" wrapText="1"/>
      <protection hidden="1"/>
    </xf>
    <xf numFmtId="0" fontId="52" fillId="47" borderId="41" xfId="226" applyFont="1" applyFill="1" applyBorder="1" applyAlignment="1" applyProtection="1">
      <alignment vertical="center" wrapText="1"/>
      <protection hidden="1"/>
    </xf>
    <xf numFmtId="0" fontId="52" fillId="47" borderId="14" xfId="226" applyFont="1" applyFill="1" applyBorder="1" applyAlignment="1" applyProtection="1">
      <alignment vertical="center" wrapText="1"/>
      <protection hidden="1"/>
    </xf>
    <xf numFmtId="0" fontId="57" fillId="47" borderId="0" xfId="0" applyFont="1" applyFill="1" applyAlignment="1" applyProtection="1">
      <alignment horizontal="left" vertical="center"/>
      <protection hidden="1"/>
    </xf>
    <xf numFmtId="0" fontId="68" fillId="31" borderId="0" xfId="0" applyFont="1" applyFill="1" applyAlignment="1" applyProtection="1">
      <alignment horizontal="left" vertical="center"/>
      <protection hidden="1"/>
    </xf>
    <xf numFmtId="0" fontId="53" fillId="40" borderId="0" xfId="0" applyFont="1" applyFill="1" applyAlignment="1" applyProtection="1">
      <alignment horizontal="left" vertical="center"/>
      <protection hidden="1"/>
    </xf>
    <xf numFmtId="0" fontId="57" fillId="22" borderId="0" xfId="0" applyFont="1" applyFill="1" applyAlignment="1" applyProtection="1">
      <alignment horizontal="left" vertical="center"/>
      <protection hidden="1"/>
    </xf>
    <xf numFmtId="0" fontId="57" fillId="35" borderId="0" xfId="0" applyFont="1" applyFill="1" applyAlignment="1" applyProtection="1">
      <alignment horizontal="left" vertical="center"/>
      <protection hidden="1"/>
    </xf>
    <xf numFmtId="0" fontId="53" fillId="29" borderId="0" xfId="0" applyFont="1" applyFill="1" applyAlignment="1" applyProtection="1">
      <alignment horizontal="left" vertical="center"/>
      <protection hidden="1"/>
    </xf>
    <xf numFmtId="0" fontId="48" fillId="29" borderId="0" xfId="0" applyFont="1" applyFill="1" applyAlignment="1" applyProtection="1">
      <alignment horizontal="left" vertical="center"/>
      <protection hidden="1"/>
    </xf>
    <xf numFmtId="0" fontId="57" fillId="42" borderId="0" xfId="0" applyFont="1" applyFill="1" applyAlignment="1" applyProtection="1">
      <alignment horizontal="left" vertical="center"/>
      <protection hidden="1"/>
    </xf>
    <xf numFmtId="0" fontId="53" fillId="46" borderId="0" xfId="0" applyFont="1" applyFill="1" applyAlignment="1" applyProtection="1">
      <alignment horizontal="left" vertical="center"/>
      <protection hidden="1"/>
    </xf>
    <xf numFmtId="0" fontId="48" fillId="2" borderId="0" xfId="0" applyFont="1" applyFill="1" applyAlignment="1" applyProtection="1">
      <alignment horizontal="center" vertical="center"/>
      <protection hidden="1"/>
    </xf>
    <xf numFmtId="0" fontId="52" fillId="2" borderId="48" xfId="226" applyFont="1" applyFill="1" applyBorder="1" applyAlignment="1" applyProtection="1">
      <alignment horizontal="left" vertical="center"/>
      <protection hidden="1"/>
    </xf>
    <xf numFmtId="0" fontId="52" fillId="2" borderId="51" xfId="226" applyFont="1" applyFill="1" applyBorder="1" applyAlignment="1" applyProtection="1">
      <alignment horizontal="left" vertical="center"/>
      <protection hidden="1"/>
    </xf>
    <xf numFmtId="0" fontId="52" fillId="2" borderId="53" xfId="226" applyFont="1" applyFill="1" applyBorder="1" applyAlignment="1" applyProtection="1">
      <alignment horizontal="left" vertical="center"/>
      <protection hidden="1"/>
    </xf>
    <xf numFmtId="0" fontId="57" fillId="2" borderId="0" xfId="0" applyFont="1" applyFill="1" applyAlignment="1" applyProtection="1">
      <alignment horizontal="left" vertical="center"/>
      <protection hidden="1"/>
    </xf>
    <xf numFmtId="0" fontId="53" fillId="48" borderId="0" xfId="0" applyFont="1" applyFill="1" applyAlignment="1" applyProtection="1">
      <alignment horizontal="left" vertical="center"/>
      <protection hidden="1"/>
    </xf>
    <xf numFmtId="0" fontId="52" fillId="2" borderId="48" xfId="226" applyFont="1" applyFill="1" applyBorder="1" applyAlignment="1" applyProtection="1">
      <alignment vertical="center"/>
      <protection hidden="1"/>
    </xf>
    <xf numFmtId="0" fontId="52" fillId="2" borderId="51" xfId="226" applyFont="1" applyFill="1" applyBorder="1" applyAlignment="1" applyProtection="1">
      <alignment vertical="center"/>
      <protection hidden="1"/>
    </xf>
    <xf numFmtId="0" fontId="52" fillId="2" borderId="53" xfId="226" applyFont="1" applyFill="1" applyBorder="1" applyAlignment="1" applyProtection="1">
      <alignment vertical="center"/>
      <protection hidden="1"/>
    </xf>
    <xf numFmtId="0" fontId="52" fillId="42" borderId="48" xfId="226" applyFont="1" applyFill="1" applyBorder="1" applyAlignment="1" applyProtection="1">
      <alignment horizontal="left" vertical="center" wrapText="1"/>
      <protection hidden="1"/>
    </xf>
    <xf numFmtId="0" fontId="52" fillId="42" borderId="51" xfId="226" applyFont="1" applyFill="1" applyBorder="1" applyAlignment="1" applyProtection="1">
      <alignment horizontal="left" vertical="center" wrapText="1"/>
      <protection hidden="1"/>
    </xf>
    <xf numFmtId="0" fontId="52" fillId="42" borderId="53" xfId="226" applyFont="1" applyFill="1" applyBorder="1" applyAlignment="1" applyProtection="1">
      <alignment horizontal="left" vertical="center" wrapText="1"/>
      <protection hidden="1"/>
    </xf>
    <xf numFmtId="0" fontId="11" fillId="0" borderId="2"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52" fillId="2" borderId="55" xfId="226" applyFont="1" applyFill="1" applyBorder="1" applyAlignment="1" applyProtection="1">
      <alignment vertical="center" wrapText="1"/>
      <protection hidden="1"/>
    </xf>
    <xf numFmtId="0" fontId="52" fillId="2" borderId="57" xfId="226" applyFont="1" applyFill="1" applyBorder="1" applyAlignment="1" applyProtection="1">
      <alignment vertical="center" wrapText="1"/>
      <protection hidden="1"/>
    </xf>
    <xf numFmtId="0" fontId="52" fillId="47" borderId="35" xfId="226" applyFont="1" applyFill="1" applyBorder="1" applyAlignment="1" applyProtection="1">
      <alignment vertical="center" wrapText="1"/>
      <protection hidden="1"/>
    </xf>
    <xf numFmtId="1" fontId="48" fillId="2" borderId="0" xfId="0" applyNumberFormat="1" applyFont="1" applyFill="1" applyAlignment="1" applyProtection="1">
      <alignment horizontal="center" vertical="center"/>
      <protection hidden="1"/>
    </xf>
    <xf numFmtId="0" fontId="52" fillId="35" borderId="16" xfId="226" applyFont="1" applyFill="1" applyBorder="1" applyAlignment="1" applyProtection="1">
      <alignment vertical="center" wrapText="1"/>
      <protection hidden="1"/>
    </xf>
    <xf numFmtId="0" fontId="57" fillId="0" borderId="0" xfId="0" applyFont="1" applyAlignment="1" applyProtection="1">
      <alignment horizontal="center" vertical="center"/>
      <protection locked="0" hidden="1"/>
    </xf>
    <xf numFmtId="0" fontId="57"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72" fillId="0" borderId="0" xfId="0" applyFont="1" applyAlignment="1" applyProtection="1">
      <alignment horizontal="center" vertical="center"/>
      <protection locked="0" hidden="1"/>
    </xf>
    <xf numFmtId="0" fontId="56"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 fontId="52" fillId="35" borderId="37" xfId="226" applyNumberFormat="1" applyFont="1" applyFill="1" applyBorder="1" applyAlignment="1" applyProtection="1">
      <alignment vertical="center" wrapText="1"/>
      <protection locked="0" hidden="1"/>
    </xf>
    <xf numFmtId="1" fontId="52" fillId="35" borderId="42" xfId="226" applyNumberFormat="1" applyFont="1" applyFill="1" applyBorder="1" applyAlignment="1" applyProtection="1">
      <alignment vertical="center" wrapText="1"/>
      <protection locked="0" hidden="1"/>
    </xf>
    <xf numFmtId="0" fontId="52" fillId="35" borderId="42" xfId="226" applyFont="1" applyFill="1" applyBorder="1" applyAlignment="1" applyProtection="1">
      <alignment vertical="center" wrapText="1"/>
      <protection locked="0" hidden="1"/>
    </xf>
    <xf numFmtId="1" fontId="52" fillId="47" borderId="37" xfId="226" applyNumberFormat="1" applyFont="1" applyFill="1" applyBorder="1" applyAlignment="1" applyProtection="1">
      <alignment vertical="center" wrapText="1"/>
      <protection locked="0" hidden="1"/>
    </xf>
    <xf numFmtId="1" fontId="52" fillId="47" borderId="42" xfId="226" applyNumberFormat="1" applyFont="1" applyFill="1" applyBorder="1" applyAlignment="1" applyProtection="1">
      <alignment vertical="center" wrapText="1"/>
      <protection locked="0" hidden="1"/>
    </xf>
    <xf numFmtId="0" fontId="52" fillId="47" borderId="42" xfId="226" applyFont="1" applyFill="1" applyBorder="1" applyAlignment="1" applyProtection="1">
      <alignment vertical="center" wrapText="1"/>
      <protection locked="0" hidden="1"/>
    </xf>
    <xf numFmtId="0" fontId="52" fillId="47" borderId="16" xfId="226" applyFont="1" applyFill="1" applyBorder="1" applyAlignment="1" applyProtection="1">
      <alignment vertical="center" wrapText="1"/>
      <protection locked="0" hidden="1"/>
    </xf>
    <xf numFmtId="1" fontId="52" fillId="2" borderId="50" xfId="226" applyNumberFormat="1" applyFont="1" applyFill="1" applyBorder="1" applyAlignment="1" applyProtection="1">
      <alignment vertical="center" wrapText="1"/>
      <protection locked="0" hidden="1"/>
    </xf>
    <xf numFmtId="1" fontId="52" fillId="2" borderId="52" xfId="226" applyNumberFormat="1" applyFont="1" applyFill="1" applyBorder="1" applyAlignment="1" applyProtection="1">
      <alignment vertical="center" wrapText="1"/>
      <protection locked="0" hidden="1"/>
    </xf>
    <xf numFmtId="0" fontId="52" fillId="2" borderId="52" xfId="226" applyFont="1" applyFill="1" applyBorder="1" applyAlignment="1" applyProtection="1">
      <alignment vertical="center" wrapText="1"/>
      <protection locked="0" hidden="1"/>
    </xf>
    <xf numFmtId="0" fontId="52" fillId="47" borderId="31" xfId="226" applyFont="1" applyFill="1" applyBorder="1" applyAlignment="1" applyProtection="1">
      <alignment vertical="center" wrapText="1"/>
      <protection locked="0" hidden="1"/>
    </xf>
    <xf numFmtId="0" fontId="52" fillId="2" borderId="50" xfId="226" applyFont="1" applyFill="1" applyBorder="1" applyAlignment="1" applyProtection="1">
      <alignment vertical="center" wrapText="1"/>
      <protection locked="0" hidden="1"/>
    </xf>
    <xf numFmtId="1" fontId="52" fillId="2" borderId="56" xfId="226" applyNumberFormat="1" applyFont="1" applyFill="1" applyBorder="1" applyAlignment="1" applyProtection="1">
      <alignment vertical="center" wrapText="1"/>
      <protection locked="0" hidden="1"/>
    </xf>
    <xf numFmtId="1" fontId="52" fillId="2" borderId="42" xfId="226" applyNumberFormat="1" applyFont="1" applyFill="1" applyBorder="1" applyAlignment="1" applyProtection="1">
      <alignment vertical="center" wrapText="1"/>
      <protection locked="0" hidden="1"/>
    </xf>
    <xf numFmtId="0" fontId="52" fillId="2" borderId="42" xfId="226" applyFont="1" applyFill="1" applyBorder="1" applyAlignment="1" applyProtection="1">
      <alignment vertical="center" wrapText="1"/>
      <protection locked="0" hidden="1"/>
    </xf>
    <xf numFmtId="0" fontId="10" fillId="0" borderId="0" xfId="0" applyFont="1" applyAlignment="1" applyProtection="1">
      <alignment horizontal="center" vertical="center" wrapText="1"/>
      <protection hidden="1"/>
    </xf>
    <xf numFmtId="0" fontId="6" fillId="0" borderId="0" xfId="0" applyFont="1" applyProtection="1">
      <protection hidden="1"/>
    </xf>
    <xf numFmtId="0" fontId="55" fillId="31" borderId="17" xfId="0" applyFont="1" applyFill="1" applyBorder="1" applyAlignment="1" applyProtection="1">
      <alignment horizontal="left" vertical="center" wrapText="1"/>
      <protection hidden="1"/>
    </xf>
    <xf numFmtId="0" fontId="55" fillId="23" borderId="17" xfId="0" applyFont="1" applyFill="1" applyBorder="1" applyAlignment="1" applyProtection="1">
      <alignment horizontal="left" vertical="center" wrapText="1"/>
      <protection hidden="1"/>
    </xf>
    <xf numFmtId="0" fontId="57" fillId="22" borderId="18" xfId="225" applyFont="1" applyBorder="1" applyAlignment="1" applyProtection="1">
      <alignment horizontal="left" vertical="center" wrapText="1"/>
      <protection hidden="1"/>
    </xf>
    <xf numFmtId="0" fontId="57" fillId="22" borderId="22" xfId="225" applyFont="1" applyBorder="1" applyAlignment="1" applyProtection="1">
      <alignment horizontal="left" vertical="center" wrapText="1"/>
      <protection hidden="1"/>
    </xf>
    <xf numFmtId="0" fontId="57" fillId="22" borderId="21" xfId="225" applyFont="1" applyBorder="1" applyAlignment="1" applyProtection="1">
      <alignment horizontal="left" vertical="center" wrapText="1"/>
      <protection hidden="1"/>
    </xf>
    <xf numFmtId="0" fontId="55" fillId="24" borderId="0" xfId="226" applyFont="1" applyFill="1" applyBorder="1" applyAlignment="1" applyProtection="1">
      <alignment horizontal="center" vertical="center" wrapText="1"/>
      <protection locked="0" hidden="1"/>
    </xf>
    <xf numFmtId="0" fontId="55" fillId="29" borderId="0" xfId="226" applyFont="1" applyFill="1" applyBorder="1" applyAlignment="1" applyProtection="1">
      <alignment horizontal="center" vertical="center" wrapText="1"/>
      <protection locked="0" hidden="1"/>
    </xf>
    <xf numFmtId="0" fontId="57" fillId="42" borderId="18" xfId="247" applyFont="1" applyFill="1" applyBorder="1" applyAlignment="1" applyProtection="1">
      <alignment vertical="center" wrapText="1"/>
      <protection hidden="1"/>
    </xf>
    <xf numFmtId="0" fontId="57" fillId="42" borderId="18" xfId="0" applyFont="1" applyFill="1" applyBorder="1" applyAlignment="1" applyProtection="1">
      <alignment horizontal="left" vertical="center" wrapText="1"/>
      <protection hidden="1"/>
    </xf>
    <xf numFmtId="0" fontId="57" fillId="42" borderId="18" xfId="0" applyFont="1" applyFill="1" applyBorder="1" applyAlignment="1" applyProtection="1">
      <alignment vertical="center"/>
      <protection hidden="1"/>
    </xf>
    <xf numFmtId="4" fontId="60" fillId="22" borderId="21" xfId="3" applyNumberFormat="1" applyFont="1" applyFill="1" applyBorder="1" applyAlignment="1" applyProtection="1">
      <alignment horizontal="left" vertical="center" wrapText="1"/>
      <protection hidden="1"/>
    </xf>
    <xf numFmtId="0" fontId="10" fillId="3" borderId="0" xfId="0" applyFont="1" applyFill="1" applyAlignment="1" applyProtection="1">
      <alignment vertical="center"/>
      <protection hidden="1"/>
    </xf>
    <xf numFmtId="0" fontId="67" fillId="40" borderId="17" xfId="3" applyNumberFormat="1" applyFont="1" applyFill="1" applyBorder="1" applyAlignment="1" applyProtection="1">
      <alignment vertical="center" wrapText="1"/>
      <protection hidden="1"/>
    </xf>
    <xf numFmtId="0" fontId="14" fillId="0" borderId="0" xfId="0" applyFont="1" applyAlignment="1" applyProtection="1">
      <alignment vertical="center"/>
      <protection hidden="1"/>
    </xf>
    <xf numFmtId="0" fontId="47" fillId="47" borderId="0" xfId="0" applyFont="1" applyFill="1" applyAlignment="1" applyProtection="1">
      <alignment horizontal="center" vertical="center"/>
      <protection locked="0" hidden="1"/>
    </xf>
    <xf numFmtId="0" fontId="52" fillId="50" borderId="0" xfId="0" applyFont="1" applyFill="1" applyAlignment="1" applyProtection="1">
      <alignment horizontal="center" vertical="center"/>
      <protection locked="0" hidden="1"/>
    </xf>
    <xf numFmtId="0" fontId="52" fillId="2" borderId="0" xfId="0" applyFont="1" applyFill="1" applyAlignment="1" applyProtection="1">
      <alignment horizontal="center" vertical="center"/>
      <protection locked="0" hidden="1"/>
    </xf>
    <xf numFmtId="0" fontId="47" fillId="2" borderId="0" xfId="0" applyFont="1" applyFill="1" applyAlignment="1" applyProtection="1">
      <alignment horizontal="center" vertical="center"/>
      <protection locked="0" hidden="1"/>
    </xf>
    <xf numFmtId="0" fontId="6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6" fillId="0" borderId="0" xfId="0" applyFont="1"/>
    <xf numFmtId="0" fontId="10" fillId="0" borderId="0" xfId="0" applyFont="1"/>
    <xf numFmtId="0" fontId="74" fillId="0" borderId="30" xfId="0" applyFont="1" applyBorder="1" applyAlignment="1">
      <alignment horizontal="left" vertical="center" wrapText="1"/>
    </xf>
    <xf numFmtId="0" fontId="75" fillId="0" borderId="0" xfId="0" applyFont="1" applyAlignment="1">
      <alignment horizontal="left"/>
    </xf>
    <xf numFmtId="0" fontId="10" fillId="3" borderId="58" xfId="0" applyFont="1" applyFill="1" applyBorder="1" applyAlignment="1">
      <alignment horizontal="center" vertical="center"/>
    </xf>
    <xf numFmtId="0" fontId="52" fillId="47" borderId="60" xfId="226" applyFont="1" applyFill="1" applyBorder="1" applyAlignment="1" applyProtection="1">
      <alignment horizontal="center" vertical="center" wrapText="1"/>
      <protection locked="0" hidden="1"/>
    </xf>
    <xf numFmtId="0" fontId="52" fillId="47" borderId="59" xfId="226" applyFont="1" applyFill="1" applyBorder="1" applyAlignment="1" applyProtection="1">
      <alignment horizontal="center" vertical="center" wrapText="1"/>
      <protection hidden="1"/>
    </xf>
    <xf numFmtId="0" fontId="0" fillId="0" borderId="0" xfId="0" applyProtection="1">
      <protection hidden="1"/>
    </xf>
    <xf numFmtId="14" fontId="13" fillId="0" borderId="0" xfId="0" applyNumberFormat="1" applyFont="1" applyAlignment="1" applyProtection="1">
      <alignment horizontal="left" vertical="center"/>
      <protection hidden="1"/>
    </xf>
    <xf numFmtId="14" fontId="9" fillId="0" borderId="0" xfId="0" applyNumberFormat="1" applyFont="1" applyAlignment="1" applyProtection="1">
      <alignment horizontal="center" vertical="center" wrapText="1"/>
      <protection hidden="1"/>
    </xf>
    <xf numFmtId="1" fontId="9" fillId="0" borderId="0" xfId="0" applyNumberFormat="1"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10" fillId="3" borderId="33" xfId="0" applyFont="1" applyFill="1" applyBorder="1" applyAlignment="1" applyProtection="1">
      <alignment horizontal="left" vertical="center"/>
      <protection hidden="1"/>
    </xf>
    <xf numFmtId="0" fontId="10" fillId="3" borderId="33" xfId="0" applyFont="1" applyFill="1" applyBorder="1" applyAlignment="1" applyProtection="1">
      <alignment horizontal="center" vertical="center" wrapText="1"/>
      <protection hidden="1"/>
    </xf>
    <xf numFmtId="1" fontId="10" fillId="3" borderId="33" xfId="0" applyNumberFormat="1" applyFont="1" applyFill="1" applyBorder="1" applyAlignment="1" applyProtection="1">
      <alignment horizontal="center" vertical="center" wrapText="1"/>
      <protection hidden="1"/>
    </xf>
    <xf numFmtId="0" fontId="10" fillId="3" borderId="15" xfId="0" applyFont="1" applyFill="1" applyBorder="1" applyAlignment="1" applyProtection="1">
      <alignment horizontal="center" vertical="center" wrapText="1"/>
      <protection hidden="1"/>
    </xf>
    <xf numFmtId="167" fontId="10" fillId="3" borderId="0" xfId="0" applyNumberFormat="1" applyFont="1" applyFill="1" applyAlignment="1" applyProtection="1">
      <alignment horizontal="center" vertical="center" wrapText="1"/>
      <protection hidden="1"/>
    </xf>
    <xf numFmtId="1" fontId="10" fillId="3" borderId="0" xfId="0" applyNumberFormat="1" applyFont="1" applyFill="1" applyAlignment="1" applyProtection="1">
      <alignment horizontal="center" vertical="center" wrapText="1"/>
      <protection hidden="1"/>
    </xf>
    <xf numFmtId="166" fontId="10" fillId="3" borderId="0" xfId="0" applyNumberFormat="1" applyFont="1" applyFill="1" applyAlignment="1" applyProtection="1">
      <alignment horizontal="center" vertical="center" wrapText="1"/>
      <protection hidden="1"/>
    </xf>
    <xf numFmtId="0" fontId="55" fillId="48" borderId="17" xfId="0" applyFont="1" applyFill="1" applyBorder="1" applyAlignment="1" applyProtection="1">
      <alignment horizontal="left" vertical="center"/>
      <protection hidden="1"/>
    </xf>
    <xf numFmtId="0" fontId="9" fillId="48" borderId="17" xfId="0" applyFont="1" applyFill="1" applyBorder="1" applyAlignment="1" applyProtection="1">
      <alignment vertical="center" wrapText="1"/>
      <protection hidden="1"/>
    </xf>
    <xf numFmtId="0" fontId="68" fillId="48" borderId="17" xfId="0" applyFont="1" applyFill="1" applyBorder="1" applyAlignment="1" applyProtection="1">
      <alignment horizontal="right" vertical="center" wrapText="1"/>
      <protection hidden="1"/>
    </xf>
    <xf numFmtId="9" fontId="68" fillId="48" borderId="17" xfId="2" applyFont="1" applyFill="1" applyBorder="1" applyAlignment="1" applyProtection="1">
      <alignment horizontal="center" vertical="center"/>
      <protection hidden="1"/>
    </xf>
    <xf numFmtId="0" fontId="12" fillId="48" borderId="0" xfId="0" applyFont="1" applyFill="1" applyAlignment="1" applyProtection="1">
      <alignment horizontal="center" vertical="center"/>
      <protection hidden="1"/>
    </xf>
    <xf numFmtId="167" fontId="9" fillId="48" borderId="36" xfId="0" applyNumberFormat="1" applyFont="1" applyFill="1" applyBorder="1" applyAlignment="1" applyProtection="1">
      <alignment horizontal="center" vertical="center"/>
      <protection hidden="1"/>
    </xf>
    <xf numFmtId="0" fontId="59" fillId="0" borderId="0" xfId="0" applyFont="1" applyAlignment="1" applyProtection="1">
      <alignment vertical="center"/>
      <protection hidden="1"/>
    </xf>
    <xf numFmtId="0" fontId="57" fillId="2" borderId="12" xfId="0" applyFont="1" applyFill="1" applyBorder="1" applyAlignment="1" applyProtection="1">
      <alignment vertical="center"/>
      <protection hidden="1"/>
    </xf>
    <xf numFmtId="0" fontId="9" fillId="0" borderId="2" xfId="0" applyFont="1" applyBorder="1" applyAlignment="1" applyProtection="1">
      <alignment horizontal="center" vertical="center"/>
      <protection locked="0" hidden="1"/>
    </xf>
    <xf numFmtId="167" fontId="9" fillId="0" borderId="2" xfId="0" applyNumberFormat="1" applyFont="1" applyBorder="1" applyAlignment="1" applyProtection="1">
      <alignment horizontal="center" vertical="center"/>
      <protection locked="0" hidden="1"/>
    </xf>
    <xf numFmtId="0" fontId="9" fillId="0" borderId="2" xfId="0" applyFont="1" applyBorder="1" applyAlignment="1" applyProtection="1">
      <alignment vertical="center"/>
      <protection locked="0" hidden="1"/>
    </xf>
    <xf numFmtId="167" fontId="59" fillId="0" borderId="2" xfId="0" applyNumberFormat="1" applyFont="1" applyBorder="1" applyAlignment="1" applyProtection="1">
      <alignment horizontal="center" vertical="center"/>
      <protection hidden="1"/>
    </xf>
    <xf numFmtId="166" fontId="10" fillId="3" borderId="0" xfId="0" applyNumberFormat="1" applyFont="1" applyFill="1" applyAlignment="1" applyProtection="1">
      <alignment horizontal="center" vertical="center"/>
      <protection hidden="1"/>
    </xf>
    <xf numFmtId="167" fontId="10" fillId="3" borderId="0" xfId="0" applyNumberFormat="1" applyFont="1" applyFill="1" applyAlignment="1" applyProtection="1">
      <alignment horizontal="center" vertical="center"/>
      <protection hidden="1"/>
    </xf>
    <xf numFmtId="0" fontId="10" fillId="3" borderId="0" xfId="0" applyFont="1" applyFill="1" applyAlignment="1" applyProtection="1">
      <alignment horizontal="left" vertical="center"/>
      <protection hidden="1"/>
    </xf>
    <xf numFmtId="167" fontId="60" fillId="3" borderId="0" xfId="0" applyNumberFormat="1" applyFont="1" applyFill="1" applyAlignment="1" applyProtection="1">
      <alignment horizontal="center" vertical="center"/>
      <protection hidden="1"/>
    </xf>
    <xf numFmtId="0" fontId="60" fillId="3" borderId="0" xfId="0" applyFont="1" applyFill="1" applyAlignment="1" applyProtection="1">
      <alignment horizontal="lef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167" fontId="9" fillId="0" borderId="0" xfId="0" applyNumberFormat="1" applyFont="1" applyAlignment="1" applyProtection="1">
      <alignment horizontal="center" vertical="center"/>
      <protection hidden="1"/>
    </xf>
    <xf numFmtId="0" fontId="9" fillId="0" borderId="0" xfId="0" applyFont="1" applyAlignment="1" applyProtection="1">
      <alignment horizontal="left" vertical="center"/>
      <protection hidden="1"/>
    </xf>
    <xf numFmtId="167" fontId="59" fillId="0" borderId="0" xfId="0" applyNumberFormat="1" applyFont="1" applyAlignment="1" applyProtection="1">
      <alignment horizontal="center" vertical="center"/>
      <protection hidden="1"/>
    </xf>
    <xf numFmtId="167" fontId="9" fillId="48" borderId="0" xfId="0" applyNumberFormat="1" applyFont="1" applyFill="1" applyAlignment="1" applyProtection="1">
      <alignment horizontal="center" vertical="center"/>
      <protection hidden="1"/>
    </xf>
    <xf numFmtId="167" fontId="59" fillId="48" borderId="0" xfId="0" applyNumberFormat="1" applyFont="1" applyFill="1" applyAlignment="1" applyProtection="1">
      <alignment horizontal="center" vertical="center"/>
      <protection hidden="1"/>
    </xf>
    <xf numFmtId="0" fontId="9" fillId="48" borderId="17" xfId="0" applyFont="1" applyFill="1" applyBorder="1" applyAlignment="1" applyProtection="1">
      <alignment horizontal="center" vertical="center"/>
      <protection hidden="1"/>
    </xf>
    <xf numFmtId="0" fontId="60" fillId="3" borderId="0" xfId="0" applyFont="1" applyFill="1" applyAlignment="1" applyProtection="1">
      <alignment vertical="center"/>
      <protection hidden="1"/>
    </xf>
    <xf numFmtId="0" fontId="10" fillId="3" borderId="0" xfId="0" applyFont="1" applyFill="1" applyAlignment="1" applyProtection="1">
      <alignment horizontal="left" vertical="center" wrapText="1"/>
      <protection hidden="1"/>
    </xf>
    <xf numFmtId="0" fontId="59" fillId="2" borderId="18" xfId="0" applyFont="1" applyFill="1" applyBorder="1" applyAlignment="1" applyProtection="1">
      <alignment vertical="center" wrapText="1"/>
      <protection hidden="1"/>
    </xf>
    <xf numFmtId="0" fontId="59" fillId="2" borderId="1" xfId="0" applyFont="1" applyFill="1" applyBorder="1" applyAlignment="1" applyProtection="1">
      <alignment vertical="center"/>
      <protection hidden="1"/>
    </xf>
    <xf numFmtId="167" fontId="59" fillId="0" borderId="2" xfId="0" applyNumberFormat="1" applyFont="1" applyBorder="1" applyAlignment="1" applyProtection="1">
      <alignment horizontal="center" vertical="center"/>
      <protection locked="0" hidden="1"/>
    </xf>
    <xf numFmtId="167" fontId="60" fillId="2" borderId="0" xfId="0" applyNumberFormat="1" applyFont="1" applyFill="1" applyAlignment="1" applyProtection="1">
      <alignment horizontal="center" vertical="center"/>
      <protection hidden="1"/>
    </xf>
    <xf numFmtId="0" fontId="60" fillId="2" borderId="18" xfId="0" applyFont="1" applyFill="1" applyBorder="1" applyAlignment="1" applyProtection="1">
      <alignment vertical="center" wrapText="1"/>
      <protection hidden="1"/>
    </xf>
    <xf numFmtId="0" fontId="60" fillId="2" borderId="1" xfId="0" applyFont="1" applyFill="1" applyBorder="1" applyAlignment="1" applyProtection="1">
      <alignment vertical="center"/>
      <protection hidden="1"/>
    </xf>
    <xf numFmtId="167" fontId="60" fillId="2" borderId="2" xfId="0" applyNumberFormat="1" applyFont="1" applyFill="1" applyBorder="1" applyAlignment="1" applyProtection="1">
      <alignment horizontal="center" vertical="center"/>
      <protection hidden="1"/>
    </xf>
    <xf numFmtId="167" fontId="60" fillId="2" borderId="26" xfId="0" applyNumberFormat="1" applyFont="1" applyFill="1" applyBorder="1" applyAlignment="1" applyProtection="1">
      <alignment horizontal="center" vertical="center"/>
      <protection hidden="1"/>
    </xf>
    <xf numFmtId="0" fontId="60" fillId="2" borderId="18" xfId="0" applyFont="1" applyFill="1" applyBorder="1" applyAlignment="1" applyProtection="1">
      <alignment vertical="center"/>
      <protection hidden="1"/>
    </xf>
    <xf numFmtId="0" fontId="59" fillId="2" borderId="1" xfId="0" applyFont="1" applyFill="1" applyBorder="1" applyAlignment="1" applyProtection="1">
      <alignment horizontal="center" vertical="center"/>
      <protection hidden="1"/>
    </xf>
    <xf numFmtId="9" fontId="60" fillId="2" borderId="2" xfId="2" applyFont="1" applyFill="1" applyBorder="1" applyAlignment="1" applyProtection="1">
      <alignment horizontal="center" vertical="center"/>
      <protection hidden="1"/>
    </xf>
    <xf numFmtId="1" fontId="14" fillId="0" borderId="0" xfId="0" applyNumberFormat="1" applyFont="1" applyAlignment="1" applyProtection="1">
      <alignment horizontal="center" vertical="center"/>
      <protection hidden="1"/>
    </xf>
    <xf numFmtId="0" fontId="11" fillId="3" borderId="0" xfId="0" applyFont="1" applyFill="1" applyProtection="1">
      <protection hidden="1"/>
    </xf>
    <xf numFmtId="0" fontId="56" fillId="3" borderId="0" xfId="0" applyFont="1" applyFill="1" applyAlignment="1" applyProtection="1">
      <alignment horizontal="left" vertical="center" wrapText="1"/>
      <protection hidden="1"/>
    </xf>
    <xf numFmtId="166" fontId="14" fillId="0" borderId="0" xfId="0" applyNumberFormat="1" applyFont="1" applyAlignment="1" applyProtection="1">
      <alignment horizontal="center" vertical="center"/>
      <protection hidden="1"/>
    </xf>
    <xf numFmtId="0" fontId="11" fillId="0" borderId="0" xfId="0" applyFont="1" applyAlignment="1" applyProtection="1">
      <alignment vertical="center"/>
      <protection locked="0" hidden="1"/>
    </xf>
    <xf numFmtId="0" fontId="11" fillId="0" borderId="0" xfId="0" applyFont="1" applyAlignment="1" applyProtection="1">
      <alignment vertical="center"/>
      <protection hidden="1"/>
    </xf>
    <xf numFmtId="167" fontId="10" fillId="3" borderId="15" xfId="0" applyNumberFormat="1" applyFont="1" applyFill="1" applyBorder="1" applyAlignment="1" applyProtection="1">
      <alignment horizontal="center" vertical="center" wrapText="1"/>
      <protection hidden="1"/>
    </xf>
    <xf numFmtId="1" fontId="10" fillId="3" borderId="15" xfId="0" applyNumberFormat="1" applyFont="1" applyFill="1" applyBorder="1" applyAlignment="1" applyProtection="1">
      <alignment horizontal="center" vertical="center" wrapText="1"/>
      <protection hidden="1"/>
    </xf>
    <xf numFmtId="166" fontId="10" fillId="3" borderId="15" xfId="0" applyNumberFormat="1" applyFont="1" applyFill="1" applyBorder="1" applyAlignment="1" applyProtection="1">
      <alignment horizontal="center" vertical="center" wrapText="1"/>
      <protection hidden="1"/>
    </xf>
    <xf numFmtId="0" fontId="57" fillId="2" borderId="18" xfId="0" applyFont="1" applyFill="1" applyBorder="1" applyAlignment="1" applyProtection="1">
      <alignment horizontal="lef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center" vertical="center"/>
      <protection locked="0" hidden="1"/>
    </xf>
    <xf numFmtId="0" fontId="13" fillId="0" borderId="0" xfId="0" applyFont="1" applyAlignment="1" applyProtection="1">
      <alignment horizontal="left" vertical="center"/>
      <protection hidden="1"/>
    </xf>
    <xf numFmtId="0" fontId="9" fillId="0" borderId="0" xfId="0" applyFont="1" applyAlignment="1" applyProtection="1">
      <alignment vertical="center"/>
      <protection locked="0" hidden="1"/>
    </xf>
    <xf numFmtId="0" fontId="10" fillId="0" borderId="0" xfId="0" applyFont="1" applyAlignment="1" applyProtection="1">
      <alignment vertical="center"/>
      <protection hidden="1"/>
    </xf>
    <xf numFmtId="0" fontId="10" fillId="0" borderId="0" xfId="0" applyFont="1" applyAlignment="1" applyProtection="1">
      <alignment vertical="center"/>
      <protection locked="0" hidden="1"/>
    </xf>
    <xf numFmtId="0" fontId="57" fillId="0" borderId="0" xfId="0" applyFont="1" applyAlignment="1" applyProtection="1">
      <alignment horizontal="left" vertical="center"/>
      <protection hidden="1"/>
    </xf>
    <xf numFmtId="0" fontId="0" fillId="0" borderId="0" xfId="0" applyAlignment="1" applyProtection="1">
      <alignment horizontal="center"/>
      <protection hidden="1"/>
    </xf>
    <xf numFmtId="14" fontId="13" fillId="0" borderId="0" xfId="0" applyNumberFormat="1" applyFont="1" applyAlignment="1" applyProtection="1">
      <alignment vertical="center"/>
      <protection hidden="1"/>
    </xf>
    <xf numFmtId="0" fontId="10" fillId="3" borderId="33" xfId="0" applyFont="1" applyFill="1" applyBorder="1" applyAlignment="1" applyProtection="1">
      <alignment vertical="center"/>
      <protection hidden="1"/>
    </xf>
    <xf numFmtId="0" fontId="55" fillId="48" borderId="17" xfId="0" applyFont="1" applyFill="1" applyBorder="1" applyAlignment="1" applyProtection="1">
      <alignment vertical="center"/>
      <protection hidden="1"/>
    </xf>
    <xf numFmtId="0" fontId="57" fillId="2" borderId="18" xfId="0" applyFont="1" applyFill="1" applyBorder="1" applyAlignment="1" applyProtection="1">
      <alignment vertical="center"/>
      <protection hidden="1"/>
    </xf>
    <xf numFmtId="1" fontId="10" fillId="3" borderId="0" xfId="0" applyNumberFormat="1" applyFont="1" applyFill="1" applyAlignment="1" applyProtection="1">
      <alignment horizontal="center" vertical="center"/>
      <protection hidden="1"/>
    </xf>
    <xf numFmtId="0" fontId="16" fillId="0" borderId="0" xfId="0" applyFont="1" applyAlignment="1" applyProtection="1">
      <alignment horizontal="left"/>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protection locked="0" hidden="1"/>
    </xf>
    <xf numFmtId="0" fontId="59" fillId="0" borderId="0" xfId="0" applyFont="1" applyAlignment="1" applyProtection="1">
      <alignment vertical="center"/>
      <protection locked="0" hidden="1"/>
    </xf>
    <xf numFmtId="0" fontId="11" fillId="0" borderId="0" xfId="0" applyFont="1" applyProtection="1">
      <protection hidden="1"/>
    </xf>
    <xf numFmtId="0" fontId="9" fillId="0" borderId="0" xfId="0" applyFont="1" applyProtection="1">
      <protection hidden="1"/>
    </xf>
    <xf numFmtId="0" fontId="10" fillId="3" borderId="0" xfId="0" applyFont="1" applyFill="1" applyAlignment="1" applyProtection="1">
      <alignment horizontal="center" vertical="center" wrapText="1"/>
      <protection hidden="1"/>
    </xf>
    <xf numFmtId="0" fontId="11" fillId="3" borderId="0" xfId="0" applyFont="1" applyFill="1" applyAlignment="1" applyProtection="1">
      <alignment vertical="center"/>
      <protection hidden="1"/>
    </xf>
    <xf numFmtId="0" fontId="9" fillId="0" borderId="0" xfId="0" applyFont="1" applyAlignment="1" applyProtection="1">
      <alignment horizontal="center" vertical="center" wrapText="1"/>
      <protection hidden="1"/>
    </xf>
    <xf numFmtId="0" fontId="55" fillId="48" borderId="46" xfId="0" applyFont="1" applyFill="1" applyBorder="1" applyAlignment="1" applyProtection="1">
      <alignment horizontal="left" vertical="center"/>
      <protection hidden="1"/>
    </xf>
    <xf numFmtId="0" fontId="10" fillId="0" borderId="0" xfId="0" applyFont="1" applyProtection="1">
      <protection hidden="1"/>
    </xf>
    <xf numFmtId="0" fontId="60" fillId="0" borderId="0" xfId="0" applyFont="1" applyAlignment="1" applyProtection="1">
      <alignment vertical="center"/>
      <protection hidden="1"/>
    </xf>
    <xf numFmtId="0" fontId="60" fillId="0" borderId="0" xfId="0" applyFont="1" applyAlignment="1" applyProtection="1">
      <alignment vertical="center"/>
      <protection locked="0" hidden="1"/>
    </xf>
    <xf numFmtId="0" fontId="12" fillId="0" borderId="0" xfId="0" applyFont="1" applyAlignment="1" applyProtection="1">
      <alignment horizontal="center"/>
      <protection hidden="1"/>
    </xf>
    <xf numFmtId="0" fontId="14" fillId="0" borderId="0" xfId="0" applyFont="1" applyAlignment="1" applyProtection="1">
      <alignment horizontal="center" wrapText="1"/>
      <protection hidden="1"/>
    </xf>
    <xf numFmtId="1" fontId="14" fillId="0" borderId="0" xfId="0" applyNumberFormat="1" applyFont="1" applyAlignment="1" applyProtection="1">
      <alignment horizontal="center"/>
      <protection hidden="1"/>
    </xf>
    <xf numFmtId="0" fontId="14" fillId="0" borderId="0" xfId="0" applyFont="1" applyAlignment="1" applyProtection="1">
      <alignment horizontal="center"/>
      <protection hidden="1"/>
    </xf>
    <xf numFmtId="14" fontId="9" fillId="0" borderId="0" xfId="0" applyNumberFormat="1" applyFont="1" applyAlignment="1" applyProtection="1">
      <alignment horizontal="left" vertical="center"/>
      <protection hidden="1"/>
    </xf>
    <xf numFmtId="0" fontId="55" fillId="48" borderId="36" xfId="0" applyFont="1" applyFill="1" applyBorder="1" applyAlignment="1" applyProtection="1">
      <alignment horizontal="left" vertical="center"/>
      <protection hidden="1"/>
    </xf>
    <xf numFmtId="0" fontId="9" fillId="48" borderId="36" xfId="0" applyFont="1" applyFill="1" applyBorder="1" applyAlignment="1" applyProtection="1">
      <alignment vertical="center" wrapText="1"/>
      <protection hidden="1"/>
    </xf>
    <xf numFmtId="0" fontId="68" fillId="48" borderId="36" xfId="0" applyFont="1" applyFill="1" applyBorder="1" applyAlignment="1" applyProtection="1">
      <alignment horizontal="right" vertical="center" wrapText="1"/>
      <protection hidden="1"/>
    </xf>
    <xf numFmtId="9" fontId="68" fillId="48" borderId="36" xfId="2" applyFont="1" applyFill="1" applyBorder="1" applyAlignment="1" applyProtection="1">
      <alignment horizontal="center" vertical="center"/>
      <protection hidden="1"/>
    </xf>
    <xf numFmtId="0" fontId="12" fillId="48" borderId="36" xfId="0" applyFont="1" applyFill="1" applyBorder="1" applyAlignment="1" applyProtection="1">
      <alignment horizontal="center" vertical="center"/>
      <protection hidden="1"/>
    </xf>
    <xf numFmtId="0" fontId="60" fillId="2" borderId="18" xfId="0" applyFont="1" applyFill="1" applyBorder="1" applyAlignment="1" applyProtection="1">
      <alignment horizontal="left" vertical="center"/>
      <protection hidden="1"/>
    </xf>
    <xf numFmtId="0" fontId="59" fillId="2" borderId="12" xfId="0" applyFont="1" applyFill="1" applyBorder="1" applyAlignment="1" applyProtection="1">
      <alignment vertical="center" wrapText="1"/>
      <protection hidden="1"/>
    </xf>
    <xf numFmtId="0" fontId="9" fillId="0" borderId="20" xfId="0" applyFont="1" applyBorder="1" applyAlignment="1" applyProtection="1">
      <alignment horizontal="center" vertical="center"/>
      <protection locked="0" hidden="1"/>
    </xf>
    <xf numFmtId="0" fontId="10" fillId="3" borderId="43" xfId="0" applyFont="1" applyFill="1" applyBorder="1" applyAlignment="1" applyProtection="1">
      <alignment horizontal="left" vertical="center"/>
      <protection hidden="1"/>
    </xf>
    <xf numFmtId="0" fontId="10" fillId="3" borderId="43" xfId="0" applyFont="1" applyFill="1" applyBorder="1" applyAlignment="1" applyProtection="1">
      <alignment horizontal="center" vertical="center" wrapText="1"/>
      <protection hidden="1"/>
    </xf>
    <xf numFmtId="0" fontId="10" fillId="3" borderId="43" xfId="0" applyFont="1" applyFill="1" applyBorder="1" applyAlignment="1" applyProtection="1">
      <alignment horizontal="center" vertical="center"/>
      <protection hidden="1"/>
    </xf>
    <xf numFmtId="166" fontId="10" fillId="3" borderId="15" xfId="0" applyNumberFormat="1" applyFont="1" applyFill="1" applyBorder="1" applyAlignment="1" applyProtection="1">
      <alignment horizontal="center" vertical="center"/>
      <protection hidden="1"/>
    </xf>
    <xf numFmtId="0" fontId="9" fillId="48" borderId="46" xfId="0" applyFont="1" applyFill="1" applyBorder="1" applyAlignment="1" applyProtection="1">
      <alignment vertical="center" wrapText="1"/>
      <protection hidden="1"/>
    </xf>
    <xf numFmtId="0" fontId="12" fillId="48" borderId="47" xfId="0" applyFont="1" applyFill="1" applyBorder="1" applyAlignment="1" applyProtection="1">
      <alignment horizontal="center" vertical="center"/>
      <protection hidden="1"/>
    </xf>
    <xf numFmtId="0" fontId="59" fillId="0" borderId="2" xfId="0" applyFont="1" applyBorder="1" applyAlignment="1" applyProtection="1">
      <alignment horizontal="center" vertical="center"/>
      <protection hidden="1"/>
    </xf>
    <xf numFmtId="166" fontId="10" fillId="3" borderId="43" xfId="0" applyNumberFormat="1" applyFont="1" applyFill="1" applyBorder="1" applyAlignment="1" applyProtection="1">
      <alignment horizontal="center" vertical="center"/>
      <protection hidden="1"/>
    </xf>
    <xf numFmtId="0" fontId="59" fillId="2" borderId="40" xfId="0" applyFont="1" applyFill="1" applyBorder="1" applyAlignment="1" applyProtection="1">
      <alignment horizontal="center" vertical="center"/>
      <protection hidden="1"/>
    </xf>
    <xf numFmtId="0" fontId="59" fillId="2" borderId="19" xfId="0" applyFont="1" applyFill="1" applyBorder="1" applyAlignment="1" applyProtection="1">
      <alignment horizontal="center" vertical="center"/>
      <protection hidden="1"/>
    </xf>
    <xf numFmtId="0" fontId="9" fillId="0" borderId="25" xfId="0" applyFont="1" applyBorder="1" applyAlignment="1" applyProtection="1">
      <alignment vertical="center"/>
      <protection hidden="1"/>
    </xf>
    <xf numFmtId="0" fontId="9" fillId="0" borderId="36" xfId="0" applyFont="1" applyBorder="1" applyAlignment="1" applyProtection="1">
      <alignment horizontal="center" vertical="center" wrapText="1"/>
      <protection hidden="1"/>
    </xf>
    <xf numFmtId="0" fontId="9" fillId="0" borderId="36" xfId="0" applyFont="1" applyBorder="1" applyAlignment="1" applyProtection="1">
      <alignment horizontal="center" vertical="center"/>
      <protection hidden="1"/>
    </xf>
    <xf numFmtId="0" fontId="9" fillId="48" borderId="46" xfId="0" applyFont="1" applyFill="1" applyBorder="1" applyAlignment="1" applyProtection="1">
      <alignment horizontal="center" vertical="center"/>
      <protection hidden="1"/>
    </xf>
    <xf numFmtId="0" fontId="12" fillId="48" borderId="46" xfId="0" applyFont="1" applyFill="1" applyBorder="1" applyAlignment="1" applyProtection="1">
      <alignment horizontal="center" vertical="center"/>
      <protection hidden="1"/>
    </xf>
    <xf numFmtId="167" fontId="10" fillId="3" borderId="45" xfId="0" applyNumberFormat="1" applyFont="1" applyFill="1" applyBorder="1" applyAlignment="1" applyProtection="1">
      <alignment horizontal="center" vertical="center"/>
      <protection hidden="1"/>
    </xf>
    <xf numFmtId="14" fontId="9" fillId="0" borderId="0" xfId="0" applyNumberFormat="1" applyFont="1" applyAlignment="1" applyProtection="1">
      <alignment vertical="center"/>
      <protection hidden="1"/>
    </xf>
    <xf numFmtId="0" fontId="10" fillId="3" borderId="15" xfId="0" applyFont="1" applyFill="1" applyBorder="1" applyAlignment="1" applyProtection="1">
      <alignment vertical="center" wrapText="1"/>
      <protection hidden="1"/>
    </xf>
    <xf numFmtId="0" fontId="60" fillId="3" borderId="15" xfId="0" applyFont="1" applyFill="1" applyBorder="1" applyAlignment="1" applyProtection="1">
      <alignment horizontal="center" vertical="center" wrapText="1"/>
      <protection hidden="1"/>
    </xf>
    <xf numFmtId="0" fontId="14" fillId="0" borderId="0" xfId="0" applyFont="1" applyAlignment="1" applyProtection="1">
      <alignment vertical="center" wrapText="1"/>
      <protection hidden="1"/>
    </xf>
    <xf numFmtId="0" fontId="55" fillId="46" borderId="0" xfId="0" applyFont="1" applyFill="1" applyAlignment="1" applyProtection="1">
      <alignment vertical="center"/>
      <protection hidden="1"/>
    </xf>
    <xf numFmtId="0" fontId="9" fillId="46" borderId="0" xfId="0" applyFont="1" applyFill="1" applyAlignment="1" applyProtection="1">
      <alignment vertical="center" wrapText="1"/>
      <protection hidden="1"/>
    </xf>
    <xf numFmtId="0" fontId="68" fillId="46" borderId="0" xfId="0" applyFont="1" applyFill="1" applyAlignment="1" applyProtection="1">
      <alignment horizontal="right" vertical="center" wrapText="1"/>
      <protection hidden="1"/>
    </xf>
    <xf numFmtId="9" fontId="68" fillId="46" borderId="0" xfId="2" applyFont="1" applyFill="1" applyBorder="1" applyAlignment="1" applyProtection="1">
      <alignment horizontal="center" vertical="center"/>
      <protection hidden="1"/>
    </xf>
    <xf numFmtId="0" fontId="59" fillId="46" borderId="0" xfId="0" applyFont="1" applyFill="1" applyAlignment="1" applyProtection="1">
      <alignment horizontal="center" vertical="center"/>
      <protection hidden="1"/>
    </xf>
    <xf numFmtId="167" fontId="59" fillId="46" borderId="0" xfId="0" applyNumberFormat="1" applyFont="1" applyFill="1" applyAlignment="1" applyProtection="1">
      <alignment horizontal="center" vertical="center"/>
      <protection hidden="1"/>
    </xf>
    <xf numFmtId="0" fontId="60" fillId="47" borderId="18" xfId="0" applyFont="1" applyFill="1" applyBorder="1" applyAlignment="1" applyProtection="1">
      <alignment vertical="center"/>
      <protection hidden="1"/>
    </xf>
    <xf numFmtId="0" fontId="59" fillId="47" borderId="12" xfId="0" applyFont="1" applyFill="1" applyBorder="1" applyAlignment="1" applyProtection="1">
      <alignment vertical="center" wrapText="1"/>
      <protection hidden="1"/>
    </xf>
    <xf numFmtId="0" fontId="59" fillId="47" borderId="1" xfId="0" applyFont="1" applyFill="1" applyBorder="1" applyAlignment="1" applyProtection="1">
      <alignment horizontal="center" vertical="center"/>
      <protection hidden="1"/>
    </xf>
    <xf numFmtId="0" fontId="59" fillId="0" borderId="2" xfId="0" applyFont="1" applyBorder="1" applyAlignment="1" applyProtection="1">
      <alignment horizontal="center" vertical="center"/>
      <protection locked="0" hidden="1"/>
    </xf>
    <xf numFmtId="0" fontId="59" fillId="0" borderId="2" xfId="0" applyFont="1" applyBorder="1" applyAlignment="1" applyProtection="1">
      <alignment vertical="center"/>
      <protection locked="0" hidden="1"/>
    </xf>
    <xf numFmtId="0" fontId="60" fillId="3" borderId="0" xfId="0" applyFont="1" applyFill="1" applyAlignment="1" applyProtection="1">
      <alignment vertical="center" wrapText="1"/>
      <protection hidden="1"/>
    </xf>
    <xf numFmtId="167" fontId="59" fillId="3" borderId="0" xfId="0" applyNumberFormat="1" applyFont="1" applyFill="1" applyAlignment="1" applyProtection="1">
      <alignment horizontal="center" vertical="center"/>
      <protection hidden="1"/>
    </xf>
    <xf numFmtId="0" fontId="59" fillId="3" borderId="0" xfId="0" applyFont="1" applyFill="1" applyAlignment="1" applyProtection="1">
      <alignment vertical="center"/>
      <protection hidden="1"/>
    </xf>
    <xf numFmtId="0" fontId="59" fillId="3" borderId="0" xfId="0" applyFont="1" applyFill="1" applyAlignment="1" applyProtection="1">
      <alignment horizontal="center" vertical="center"/>
      <protection hidden="1"/>
    </xf>
    <xf numFmtId="0" fontId="9" fillId="0" borderId="0" xfId="0" applyFont="1" applyAlignment="1" applyProtection="1">
      <alignment vertical="center" wrapText="1"/>
      <protection hidden="1"/>
    </xf>
    <xf numFmtId="0" fontId="59" fillId="0" borderId="0" xfId="0" applyFont="1" applyAlignment="1" applyProtection="1">
      <alignment vertical="center" wrapText="1"/>
      <protection hidden="1"/>
    </xf>
    <xf numFmtId="0" fontId="59" fillId="0" borderId="29" xfId="0" applyFont="1" applyBorder="1" applyAlignment="1" applyProtection="1">
      <alignment vertical="center"/>
      <protection hidden="1"/>
    </xf>
    <xf numFmtId="0" fontId="59" fillId="47" borderId="17" xfId="0" applyFont="1" applyFill="1" applyBorder="1" applyAlignment="1" applyProtection="1">
      <alignment vertical="center" wrapText="1"/>
      <protection hidden="1"/>
    </xf>
    <xf numFmtId="0" fontId="59" fillId="47" borderId="19" xfId="0" applyFont="1" applyFill="1" applyBorder="1" applyAlignment="1" applyProtection="1">
      <alignment horizontal="center" vertical="center"/>
      <protection hidden="1"/>
    </xf>
    <xf numFmtId="0" fontId="59" fillId="46" borderId="0" xfId="0" applyFont="1" applyFill="1" applyAlignment="1" applyProtection="1">
      <alignment vertical="center"/>
      <protection hidden="1"/>
    </xf>
    <xf numFmtId="0" fontId="59" fillId="0" borderId="1" xfId="0" applyFont="1" applyBorder="1" applyAlignment="1" applyProtection="1">
      <alignment horizontal="center" vertical="center"/>
      <protection locked="0" hidden="1"/>
    </xf>
    <xf numFmtId="0" fontId="59" fillId="47" borderId="23" xfId="0" applyFont="1" applyFill="1" applyBorder="1" applyAlignment="1" applyProtection="1">
      <alignment vertical="center" wrapText="1"/>
      <protection hidden="1"/>
    </xf>
    <xf numFmtId="0" fontId="59" fillId="47" borderId="0" xfId="0" applyFont="1" applyFill="1" applyAlignment="1" applyProtection="1">
      <alignment vertical="center" wrapText="1"/>
      <protection hidden="1"/>
    </xf>
    <xf numFmtId="167" fontId="10" fillId="0" borderId="0" xfId="0" applyNumberFormat="1" applyFont="1" applyAlignment="1" applyProtection="1">
      <alignment horizontal="center" vertical="center"/>
      <protection hidden="1"/>
    </xf>
    <xf numFmtId="0" fontId="59" fillId="47" borderId="18" xfId="0" applyFont="1" applyFill="1" applyBorder="1" applyAlignment="1" applyProtection="1">
      <alignment vertical="center" wrapText="1"/>
      <protection hidden="1"/>
    </xf>
    <xf numFmtId="0" fontId="59" fillId="47" borderId="1" xfId="0" applyFont="1" applyFill="1" applyBorder="1" applyAlignment="1" applyProtection="1">
      <alignment vertical="center"/>
      <protection hidden="1"/>
    </xf>
    <xf numFmtId="167" fontId="60" fillId="47" borderId="0" xfId="0" applyNumberFormat="1" applyFont="1" applyFill="1" applyAlignment="1" applyProtection="1">
      <alignment horizontal="center" vertical="center"/>
      <protection hidden="1"/>
    </xf>
    <xf numFmtId="0" fontId="60" fillId="47" borderId="18" xfId="0" applyFont="1" applyFill="1" applyBorder="1" applyAlignment="1" applyProtection="1">
      <alignment vertical="center" wrapText="1"/>
      <protection hidden="1"/>
    </xf>
    <xf numFmtId="0" fontId="60" fillId="47" borderId="1" xfId="0" applyFont="1" applyFill="1" applyBorder="1" applyAlignment="1" applyProtection="1">
      <alignment vertical="center"/>
      <protection hidden="1"/>
    </xf>
    <xf numFmtId="167" fontId="60" fillId="47" borderId="2" xfId="0" applyNumberFormat="1" applyFont="1" applyFill="1" applyBorder="1" applyAlignment="1" applyProtection="1">
      <alignment horizontal="center" vertical="center"/>
      <protection hidden="1"/>
    </xf>
    <xf numFmtId="167" fontId="60" fillId="47" borderId="26" xfId="0" applyNumberFormat="1" applyFont="1" applyFill="1" applyBorder="1" applyAlignment="1" applyProtection="1">
      <alignment horizontal="center" vertical="center"/>
      <protection hidden="1"/>
    </xf>
    <xf numFmtId="9" fontId="60" fillId="47" borderId="2" xfId="2" applyFont="1" applyFill="1" applyBorder="1" applyAlignment="1" applyProtection="1">
      <alignment horizontal="center" vertical="center"/>
      <protection hidden="1"/>
    </xf>
    <xf numFmtId="0" fontId="10" fillId="39" borderId="0" xfId="0" applyFont="1" applyFill="1" applyAlignment="1" applyProtection="1">
      <alignment horizontal="center" vertical="center" wrapText="1"/>
      <protection hidden="1"/>
    </xf>
    <xf numFmtId="0" fontId="10" fillId="0" borderId="0" xfId="0" applyFont="1" applyAlignment="1" applyProtection="1">
      <alignment horizontal="center" vertical="center" wrapText="1"/>
      <protection locked="0" hidden="1"/>
    </xf>
    <xf numFmtId="0" fontId="61" fillId="0" borderId="0" xfId="0" applyFont="1" applyAlignment="1" applyProtection="1">
      <alignment vertical="center"/>
      <protection locked="0" hidden="1"/>
    </xf>
    <xf numFmtId="0" fontId="53" fillId="26" borderId="0" xfId="2" applyNumberFormat="1" applyFont="1" applyFill="1" applyAlignment="1" applyProtection="1">
      <alignment horizontal="center" vertical="center"/>
      <protection hidden="1"/>
    </xf>
    <xf numFmtId="1" fontId="53" fillId="26" borderId="0" xfId="2" applyNumberFormat="1" applyFont="1" applyFill="1" applyAlignment="1" applyProtection="1">
      <alignment horizontal="center" vertical="center"/>
      <protection hidden="1"/>
    </xf>
    <xf numFmtId="166" fontId="53" fillId="0" borderId="0" xfId="2" applyNumberFormat="1" applyFont="1" applyFill="1" applyAlignment="1" applyProtection="1">
      <alignment horizontal="center" vertical="center"/>
      <protection locked="0" hidden="1"/>
    </xf>
    <xf numFmtId="0" fontId="10" fillId="39" borderId="0" xfId="0" applyFont="1" applyFill="1" applyAlignment="1" applyProtection="1">
      <alignment horizontal="left" vertical="center" wrapText="1"/>
      <protection locked="0" hidden="1"/>
    </xf>
    <xf numFmtId="0" fontId="10" fillId="39" borderId="15" xfId="0" applyFont="1" applyFill="1" applyBorder="1" applyAlignment="1" applyProtection="1">
      <alignment horizontal="left" vertical="center" wrapText="1"/>
      <protection hidden="1"/>
    </xf>
    <xf numFmtId="0" fontId="10" fillId="39" borderId="15" xfId="0" applyFont="1" applyFill="1" applyBorder="1" applyAlignment="1" applyProtection="1">
      <alignment vertical="center" wrapText="1"/>
      <protection hidden="1"/>
    </xf>
    <xf numFmtId="0" fontId="10" fillId="39" borderId="15" xfId="0" applyFont="1" applyFill="1" applyBorder="1" applyAlignment="1" applyProtection="1">
      <alignment horizontal="center" vertical="center" wrapText="1"/>
      <protection hidden="1"/>
    </xf>
    <xf numFmtId="0" fontId="10" fillId="39" borderId="15" xfId="0" applyFont="1" applyFill="1" applyBorder="1" applyAlignment="1" applyProtection="1">
      <alignment horizontal="center" vertical="center" wrapText="1"/>
      <protection locked="0" hidden="1"/>
    </xf>
    <xf numFmtId="0" fontId="10" fillId="39" borderId="0" xfId="0" applyFont="1" applyFill="1" applyAlignment="1" applyProtection="1">
      <alignment horizontal="center" vertical="center" wrapText="1"/>
      <protection locked="0" hidden="1"/>
    </xf>
    <xf numFmtId="0" fontId="10" fillId="28" borderId="17" xfId="0" applyFont="1" applyFill="1" applyBorder="1" applyAlignment="1" applyProtection="1">
      <alignment horizontal="center" vertical="center" wrapText="1"/>
      <protection hidden="1"/>
    </xf>
    <xf numFmtId="0" fontId="55" fillId="28" borderId="17" xfId="0" applyFont="1" applyFill="1" applyBorder="1" applyAlignment="1" applyProtection="1">
      <alignment horizontal="center" vertical="center" wrapText="1"/>
      <protection locked="0" hidden="1"/>
    </xf>
    <xf numFmtId="0" fontId="10" fillId="28" borderId="0" xfId="0" applyFont="1" applyFill="1" applyAlignment="1" applyProtection="1">
      <alignment horizontal="center" vertical="center" wrapText="1"/>
      <protection hidden="1"/>
    </xf>
    <xf numFmtId="0" fontId="10" fillId="28" borderId="0" xfId="0" applyFont="1" applyFill="1" applyAlignment="1" applyProtection="1">
      <alignment horizontal="left" vertical="center" wrapText="1"/>
      <protection locked="0" hidden="1"/>
    </xf>
    <xf numFmtId="0" fontId="57" fillId="26" borderId="18" xfId="226" applyFont="1" applyFill="1" applyBorder="1" applyAlignment="1" applyProtection="1">
      <alignment horizontal="left" vertical="center" wrapText="1"/>
      <protection hidden="1"/>
    </xf>
    <xf numFmtId="0" fontId="57" fillId="26" borderId="12" xfId="226" applyFont="1" applyFill="1" applyAlignment="1" applyProtection="1">
      <alignment horizontal="left" vertical="center" wrapText="1"/>
      <protection hidden="1"/>
    </xf>
    <xf numFmtId="0" fontId="10" fillId="39" borderId="23" xfId="223" applyFont="1" applyFill="1" applyBorder="1" applyAlignment="1" applyProtection="1">
      <alignment horizontal="left" vertical="center" wrapText="1"/>
      <protection hidden="1"/>
    </xf>
    <xf numFmtId="0" fontId="10" fillId="39" borderId="23" xfId="223" applyFont="1" applyFill="1" applyBorder="1" applyAlignment="1" applyProtection="1">
      <alignment vertical="center" wrapText="1"/>
      <protection hidden="1"/>
    </xf>
    <xf numFmtId="0" fontId="10" fillId="39" borderId="43" xfId="223" applyFont="1" applyFill="1" applyBorder="1" applyProtection="1">
      <alignment horizontal="center" vertical="center" wrapText="1"/>
      <protection hidden="1"/>
    </xf>
    <xf numFmtId="166" fontId="10" fillId="39" borderId="15" xfId="223" applyNumberFormat="1" applyFont="1" applyFill="1" applyBorder="1" applyProtection="1">
      <alignment horizontal="center" vertical="center" wrapText="1"/>
      <protection hidden="1"/>
    </xf>
    <xf numFmtId="164" fontId="10" fillId="39" borderId="23" xfId="223" applyNumberFormat="1" applyFont="1" applyFill="1" applyBorder="1" applyAlignment="1" applyProtection="1">
      <alignment horizontal="left" vertical="center" wrapText="1"/>
      <protection hidden="1"/>
    </xf>
    <xf numFmtId="0" fontId="10" fillId="39" borderId="0" xfId="223" applyFont="1" applyFill="1" applyAlignment="1" applyProtection="1">
      <alignment horizontal="left" vertical="center" wrapText="1"/>
      <protection hidden="1"/>
    </xf>
    <xf numFmtId="164" fontId="59" fillId="0" borderId="0" xfId="0" applyNumberFormat="1" applyFont="1" applyAlignment="1" applyProtection="1">
      <alignment horizontal="center" vertical="center"/>
      <protection hidden="1"/>
    </xf>
    <xf numFmtId="0" fontId="59" fillId="0" borderId="0" xfId="0" applyFont="1" applyAlignment="1" applyProtection="1">
      <alignment horizontal="left" vertical="center" wrapText="1"/>
      <protection locked="0" hidden="1"/>
    </xf>
    <xf numFmtId="0" fontId="10" fillId="28" borderId="17" xfId="0" applyFont="1" applyFill="1" applyBorder="1" applyAlignment="1" applyProtection="1">
      <alignment horizontal="center" vertical="center" wrapText="1"/>
      <protection locked="0" hidden="1"/>
    </xf>
    <xf numFmtId="164" fontId="60" fillId="28" borderId="0" xfId="0" applyNumberFormat="1" applyFont="1" applyFill="1" applyAlignment="1" applyProtection="1">
      <alignment horizontal="center" vertical="center" wrapText="1"/>
      <protection hidden="1"/>
    </xf>
    <xf numFmtId="0" fontId="60" fillId="28" borderId="0" xfId="0" applyFont="1" applyFill="1" applyAlignment="1" applyProtection="1">
      <alignment horizontal="left" vertical="center" wrapText="1"/>
      <protection locked="0" hidden="1"/>
    </xf>
    <xf numFmtId="0" fontId="57" fillId="26" borderId="22" xfId="226" applyFont="1" applyFill="1" applyBorder="1" applyAlignment="1" applyProtection="1">
      <alignment horizontal="left" vertical="center" wrapText="1"/>
      <protection hidden="1"/>
    </xf>
    <xf numFmtId="0" fontId="57" fillId="26" borderId="23" xfId="226" applyFont="1" applyFill="1" applyBorder="1" applyAlignment="1" applyProtection="1">
      <alignment vertical="center" wrapText="1"/>
      <protection hidden="1"/>
    </xf>
    <xf numFmtId="0" fontId="57" fillId="26" borderId="12" xfId="226" applyFont="1" applyFill="1" applyAlignment="1" applyProtection="1">
      <alignment vertical="center" wrapText="1"/>
      <protection hidden="1"/>
    </xf>
    <xf numFmtId="0" fontId="10" fillId="39" borderId="23" xfId="223" applyFont="1" applyFill="1" applyBorder="1" applyProtection="1">
      <alignment horizontal="center" vertical="center" wrapText="1"/>
      <protection hidden="1"/>
    </xf>
    <xf numFmtId="164" fontId="17" fillId="0" borderId="0" xfId="0" applyNumberFormat="1" applyFont="1" applyAlignment="1" applyProtection="1">
      <alignment horizontal="center" vertical="center"/>
      <protection hidden="1"/>
    </xf>
    <xf numFmtId="0" fontId="17" fillId="0" borderId="0" xfId="0" applyFont="1" applyAlignment="1" applyProtection="1">
      <alignment horizontal="left" vertical="center" wrapText="1"/>
      <protection locked="0" hidden="1"/>
    </xf>
    <xf numFmtId="164" fontId="60" fillId="28" borderId="0" xfId="0" applyNumberFormat="1" applyFont="1" applyFill="1" applyAlignment="1" applyProtection="1">
      <alignment vertical="center" wrapText="1"/>
      <protection hidden="1"/>
    </xf>
    <xf numFmtId="0" fontId="55" fillId="28" borderId="17" xfId="0" applyFont="1" applyFill="1" applyBorder="1" applyAlignment="1" applyProtection="1">
      <alignment horizontal="left" vertical="center" wrapText="1"/>
      <protection hidden="1"/>
    </xf>
    <xf numFmtId="0" fontId="10" fillId="28" borderId="17" xfId="0" applyFont="1" applyFill="1" applyBorder="1" applyAlignment="1" applyProtection="1">
      <alignment vertical="center" wrapText="1"/>
      <protection hidden="1"/>
    </xf>
    <xf numFmtId="0" fontId="10" fillId="28" borderId="17" xfId="0" applyFont="1" applyFill="1" applyBorder="1" applyAlignment="1" applyProtection="1">
      <alignment horizontal="left" vertical="center" wrapText="1"/>
      <protection hidden="1"/>
    </xf>
    <xf numFmtId="0" fontId="57" fillId="26" borderId="18" xfId="226" applyFont="1" applyFill="1" applyBorder="1" applyAlignment="1" applyProtection="1">
      <alignment vertical="center" wrapText="1"/>
      <protection hidden="1"/>
    </xf>
    <xf numFmtId="0" fontId="57" fillId="35" borderId="18" xfId="226" applyFont="1" applyFill="1" applyBorder="1" applyAlignment="1" applyProtection="1">
      <alignment vertical="center" wrapText="1"/>
      <protection hidden="1"/>
    </xf>
    <xf numFmtId="0" fontId="57" fillId="35" borderId="12" xfId="226" applyFont="1" applyFill="1" applyAlignment="1" applyProtection="1">
      <alignment vertical="center" wrapText="1"/>
      <protection hidden="1"/>
    </xf>
    <xf numFmtId="164" fontId="47" fillId="28" borderId="0" xfId="0" applyNumberFormat="1" applyFont="1" applyFill="1" applyAlignment="1" applyProtection="1">
      <alignment horizontal="center" vertical="center" wrapText="1"/>
      <protection hidden="1"/>
    </xf>
    <xf numFmtId="0" fontId="47" fillId="28" borderId="0" xfId="0" applyFont="1" applyFill="1" applyAlignment="1" applyProtection="1">
      <alignment horizontal="left" vertical="center" wrapText="1"/>
      <protection locked="0" hidden="1"/>
    </xf>
    <xf numFmtId="0" fontId="57" fillId="26" borderId="23" xfId="226" applyFont="1" applyFill="1" applyBorder="1" applyAlignment="1" applyProtection="1">
      <alignment horizontal="left" vertical="center" wrapText="1"/>
      <protection hidden="1"/>
    </xf>
    <xf numFmtId="0" fontId="10" fillId="27" borderId="0" xfId="223" applyFont="1" applyFill="1" applyAlignment="1" applyProtection="1">
      <alignment horizontal="left" vertical="center" wrapText="1"/>
      <protection locked="0" hidden="1"/>
    </xf>
    <xf numFmtId="0" fontId="10" fillId="27" borderId="0" xfId="223" applyFont="1" applyFill="1" applyAlignment="1" applyProtection="1">
      <alignment horizontal="left" vertical="center" wrapText="1"/>
      <protection hidden="1"/>
    </xf>
    <xf numFmtId="0" fontId="10" fillId="27" borderId="0" xfId="0" applyFont="1" applyFill="1" applyAlignment="1" applyProtection="1">
      <alignment horizontal="center" vertical="center" wrapText="1"/>
      <protection hidden="1"/>
    </xf>
    <xf numFmtId="0" fontId="10" fillId="27" borderId="0" xfId="0" applyFont="1" applyFill="1" applyAlignment="1" applyProtection="1">
      <alignment horizontal="left" vertical="center" wrapText="1"/>
      <protection hidden="1"/>
    </xf>
    <xf numFmtId="0" fontId="57" fillId="26" borderId="0" xfId="0" applyFont="1" applyFill="1" applyAlignment="1" applyProtection="1">
      <alignment horizontal="center" vertical="center"/>
      <protection hidden="1"/>
    </xf>
    <xf numFmtId="166" fontId="57" fillId="26" borderId="0" xfId="0" applyNumberFormat="1" applyFont="1" applyFill="1" applyAlignment="1" applyProtection="1">
      <alignment horizontal="center" vertical="center"/>
      <protection hidden="1"/>
    </xf>
    <xf numFmtId="0" fontId="10" fillId="27" borderId="23" xfId="223" applyFont="1" applyFill="1" applyBorder="1" applyAlignment="1" applyProtection="1">
      <alignment horizontal="left" vertical="center" wrapText="1"/>
      <protection hidden="1"/>
    </xf>
    <xf numFmtId="166" fontId="57" fillId="26" borderId="0" xfId="2" applyNumberFormat="1" applyFont="1" applyFill="1" applyBorder="1" applyAlignment="1" applyProtection="1">
      <alignment horizontal="center" vertical="center"/>
      <protection hidden="1"/>
    </xf>
    <xf numFmtId="0" fontId="10" fillId="0" borderId="0" xfId="223" applyFont="1" applyFill="1" applyAlignment="1" applyProtection="1">
      <alignment horizontal="left" vertical="center" wrapText="1"/>
      <protection locked="0" hidden="1"/>
    </xf>
    <xf numFmtId="0" fontId="10" fillId="0" borderId="0" xfId="223" applyFont="1" applyFill="1" applyAlignment="1" applyProtection="1">
      <alignment vertical="center" wrapText="1"/>
      <protection locked="0" hidden="1"/>
    </xf>
    <xf numFmtId="0" fontId="11" fillId="3" borderId="0" xfId="0" applyFont="1" applyFill="1" applyAlignment="1" applyProtection="1">
      <alignment horizontal="center"/>
      <protection hidden="1"/>
    </xf>
    <xf numFmtId="164" fontId="57" fillId="26" borderId="12" xfId="226" applyNumberFormat="1" applyFont="1" applyFill="1" applyAlignment="1" applyProtection="1">
      <alignment horizontal="center" vertical="center" wrapText="1"/>
      <protection hidden="1"/>
    </xf>
    <xf numFmtId="164" fontId="57" fillId="26" borderId="2" xfId="226" applyNumberFormat="1" applyFont="1" applyFill="1" applyBorder="1" applyAlignment="1" applyProtection="1">
      <alignment horizontal="center" vertical="center" wrapText="1"/>
      <protection hidden="1"/>
    </xf>
    <xf numFmtId="9" fontId="57" fillId="26" borderId="2" xfId="2" applyFont="1" applyFill="1" applyBorder="1" applyAlignment="1" applyProtection="1">
      <alignment horizontal="center" vertical="center" wrapText="1"/>
      <protection hidden="1"/>
    </xf>
    <xf numFmtId="0" fontId="56" fillId="3" borderId="0" xfId="0" applyFont="1" applyFill="1" applyAlignment="1" applyProtection="1">
      <alignment horizontal="center" vertical="center" wrapText="1"/>
      <protection hidden="1"/>
    </xf>
    <xf numFmtId="0" fontId="10" fillId="0" borderId="0" xfId="0" applyFont="1" applyAlignment="1" applyProtection="1">
      <alignment horizontal="center" vertical="center" textRotation="90"/>
      <protection hidden="1"/>
    </xf>
    <xf numFmtId="3" fontId="59" fillId="4" borderId="19" xfId="3" applyNumberFormat="1" applyFont="1" applyFill="1" applyBorder="1" applyAlignment="1" applyProtection="1">
      <alignment horizontal="center" vertical="center" wrapText="1"/>
      <protection locked="0" hidden="1"/>
    </xf>
    <xf numFmtId="3" fontId="59" fillId="0" borderId="0" xfId="3" applyNumberFormat="1" applyFont="1" applyAlignment="1" applyProtection="1">
      <alignment horizontal="center" vertical="center" wrapText="1"/>
      <protection hidden="1"/>
    </xf>
    <xf numFmtId="167" fontId="59" fillId="4" borderId="2" xfId="3" applyNumberFormat="1" applyFont="1" applyFill="1" applyBorder="1" applyAlignment="1" applyProtection="1">
      <alignment horizontal="center" vertical="center" wrapText="1"/>
      <protection locked="0" hidden="1"/>
    </xf>
    <xf numFmtId="3" fontId="59" fillId="4" borderId="2" xfId="3" applyNumberFormat="1" applyFont="1" applyFill="1" applyBorder="1" applyAlignment="1" applyProtection="1">
      <alignment horizontal="center" vertical="center" wrapText="1"/>
      <protection locked="0" hidden="1"/>
    </xf>
    <xf numFmtId="3" fontId="59" fillId="4" borderId="2" xfId="3" applyNumberFormat="1" applyFont="1" applyFill="1" applyBorder="1" applyAlignment="1" applyProtection="1">
      <alignment horizontal="center" vertical="center" wrapText="1"/>
      <protection hidden="1"/>
    </xf>
    <xf numFmtId="0" fontId="41" fillId="3" borderId="0" xfId="0" applyFont="1" applyFill="1" applyAlignment="1" applyProtection="1">
      <alignment horizontal="center" vertical="center"/>
      <protection hidden="1"/>
    </xf>
    <xf numFmtId="0" fontId="59" fillId="22" borderId="18" xfId="0" applyFont="1" applyFill="1" applyBorder="1" applyAlignment="1" applyProtection="1">
      <alignment vertical="center" wrapText="1"/>
      <protection hidden="1"/>
    </xf>
    <xf numFmtId="0" fontId="59" fillId="22" borderId="1" xfId="0" applyFont="1" applyFill="1" applyBorder="1" applyAlignment="1" applyProtection="1">
      <alignment vertical="center"/>
      <protection hidden="1"/>
    </xf>
    <xf numFmtId="167" fontId="59" fillId="4" borderId="2" xfId="0" applyNumberFormat="1" applyFont="1" applyFill="1" applyBorder="1" applyAlignment="1" applyProtection="1">
      <alignment horizontal="center" vertical="center"/>
      <protection locked="0" hidden="1"/>
    </xf>
    <xf numFmtId="0" fontId="41" fillId="0" borderId="0" xfId="0" applyFont="1" applyAlignment="1" applyProtection="1">
      <alignment horizontal="center" vertical="center"/>
      <protection hidden="1"/>
    </xf>
    <xf numFmtId="165" fontId="40" fillId="0" borderId="0" xfId="0" applyNumberFormat="1" applyFont="1" applyAlignment="1" applyProtection="1">
      <alignment horizontal="center" vertical="center"/>
      <protection hidden="1"/>
    </xf>
    <xf numFmtId="0" fontId="60" fillId="22" borderId="18" xfId="0" applyFont="1" applyFill="1" applyBorder="1" applyAlignment="1" applyProtection="1">
      <alignment vertical="center" wrapText="1"/>
      <protection hidden="1"/>
    </xf>
    <xf numFmtId="0" fontId="60" fillId="22" borderId="1" xfId="0" applyFont="1" applyFill="1" applyBorder="1" applyAlignment="1" applyProtection="1">
      <alignment vertical="center"/>
      <protection hidden="1"/>
    </xf>
    <xf numFmtId="167" fontId="59" fillId="22" borderId="2" xfId="0" applyNumberFormat="1" applyFont="1" applyFill="1" applyBorder="1" applyAlignment="1" applyProtection="1">
      <alignment horizontal="center" vertical="center"/>
      <protection hidden="1"/>
    </xf>
    <xf numFmtId="0" fontId="40" fillId="0" borderId="0" xfId="0" applyFont="1" applyAlignment="1" applyProtection="1">
      <alignment vertical="center"/>
      <protection hidden="1"/>
    </xf>
    <xf numFmtId="167" fontId="40" fillId="0" borderId="0" xfId="0" applyNumberFormat="1" applyFont="1" applyAlignment="1" applyProtection="1">
      <alignment horizontal="center" vertical="center"/>
      <protection locked="0" hidden="1"/>
    </xf>
    <xf numFmtId="167" fontId="60" fillId="22" borderId="2" xfId="2" applyNumberFormat="1" applyFont="1" applyFill="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57" fillId="42" borderId="0" xfId="0" applyFont="1" applyFill="1" applyAlignment="1" applyProtection="1">
      <alignment horizontal="center" vertical="center"/>
      <protection hidden="1"/>
    </xf>
    <xf numFmtId="0" fontId="41" fillId="3" borderId="0" xfId="0" applyFont="1" applyFill="1" applyAlignment="1" applyProtection="1">
      <alignment horizontal="center" vertical="top"/>
      <protection hidden="1"/>
    </xf>
    <xf numFmtId="0" fontId="9" fillId="0" borderId="0" xfId="0" applyFont="1" applyAlignment="1" applyProtection="1">
      <alignment horizontal="center"/>
      <protection hidden="1"/>
    </xf>
    <xf numFmtId="0" fontId="59" fillId="42" borderId="18" xfId="0" applyFont="1" applyFill="1" applyBorder="1" applyAlignment="1" applyProtection="1">
      <alignment vertical="center"/>
      <protection hidden="1"/>
    </xf>
    <xf numFmtId="0" fontId="60" fillId="42" borderId="18" xfId="0" applyFont="1" applyFill="1" applyBorder="1" applyAlignment="1" applyProtection="1">
      <alignment vertical="center"/>
      <protection hidden="1"/>
    </xf>
    <xf numFmtId="0" fontId="59" fillId="42" borderId="1" xfId="0" applyFont="1" applyFill="1" applyBorder="1" applyAlignment="1" applyProtection="1">
      <alignment horizontal="center" vertical="center"/>
      <protection locked="0" hidden="1"/>
    </xf>
    <xf numFmtId="0" fontId="11" fillId="0" borderId="0" xfId="0" applyFont="1" applyAlignment="1" applyProtection="1">
      <alignment horizontal="left" vertical="center" wrapText="1"/>
      <protection locked="0" hidden="1"/>
    </xf>
    <xf numFmtId="0" fontId="69" fillId="0" borderId="0" xfId="0" applyFont="1" applyAlignment="1" applyProtection="1">
      <alignment horizontal="left" vertical="center" wrapText="1"/>
      <protection locked="0" hidden="1"/>
    </xf>
    <xf numFmtId="0" fontId="57" fillId="26" borderId="22" xfId="226" applyFont="1" applyFill="1" applyBorder="1" applyAlignment="1" applyProtection="1">
      <alignment vertical="center" wrapText="1"/>
      <protection hidden="1"/>
    </xf>
    <xf numFmtId="0" fontId="55" fillId="28" borderId="0" xfId="0" applyFont="1" applyFill="1" applyAlignment="1" applyProtection="1">
      <alignment horizontal="left" vertical="center" wrapText="1"/>
      <protection locked="0" hidden="1"/>
    </xf>
    <xf numFmtId="0" fontId="57" fillId="26" borderId="21" xfId="226" applyFont="1" applyFill="1" applyBorder="1" applyAlignment="1" applyProtection="1">
      <alignment horizontal="left" vertical="center" wrapText="1"/>
      <protection hidden="1"/>
    </xf>
    <xf numFmtId="0" fontId="69" fillId="0" borderId="0" xfId="0" applyFont="1" applyAlignment="1" applyProtection="1">
      <alignment vertical="center"/>
      <protection hidden="1"/>
    </xf>
    <xf numFmtId="164" fontId="55" fillId="24" borderId="0" xfId="0" applyNumberFormat="1" applyFont="1" applyFill="1" applyAlignment="1" applyProtection="1">
      <alignment horizontal="center" vertical="center" wrapText="1"/>
      <protection hidden="1"/>
    </xf>
    <xf numFmtId="0" fontId="55" fillId="24" borderId="0" xfId="0" applyFont="1" applyFill="1" applyAlignment="1" applyProtection="1">
      <alignment horizontal="left" vertical="center" wrapText="1"/>
      <protection hidden="1"/>
    </xf>
    <xf numFmtId="164" fontId="64" fillId="24" borderId="0" xfId="0" applyNumberFormat="1" applyFont="1" applyFill="1" applyAlignment="1" applyProtection="1">
      <alignment horizontal="center" vertical="center"/>
      <protection hidden="1"/>
    </xf>
    <xf numFmtId="0" fontId="64" fillId="24" borderId="0" xfId="0" applyFont="1" applyFill="1" applyAlignment="1" applyProtection="1">
      <alignment vertical="center"/>
      <protection hidden="1"/>
    </xf>
    <xf numFmtId="0" fontId="70" fillId="24" borderId="0" xfId="0" applyFont="1" applyFill="1" applyAlignment="1" applyProtection="1">
      <alignment vertical="center"/>
      <protection hidden="1"/>
    </xf>
    <xf numFmtId="0" fontId="56" fillId="0" borderId="29" xfId="0" applyFont="1" applyBorder="1" applyAlignment="1" applyProtection="1">
      <alignment horizontal="center" vertical="center"/>
      <protection hidden="1"/>
    </xf>
    <xf numFmtId="164" fontId="48" fillId="22" borderId="2" xfId="0" applyNumberFormat="1" applyFont="1" applyFill="1" applyBorder="1" applyAlignment="1" applyProtection="1">
      <alignment horizontal="center" vertical="center"/>
      <protection hidden="1"/>
    </xf>
    <xf numFmtId="0" fontId="13" fillId="0" borderId="0" xfId="0" applyFont="1" applyProtection="1">
      <protection hidden="1"/>
    </xf>
    <xf numFmtId="164" fontId="57" fillId="22" borderId="2" xfId="225" applyNumberFormat="1" applyFont="1" applyBorder="1" applyAlignment="1" applyProtection="1">
      <alignment horizontal="center" vertical="center" wrapText="1"/>
      <protection hidden="1"/>
    </xf>
    <xf numFmtId="9" fontId="57" fillId="22" borderId="2" xfId="2" applyFont="1" applyFill="1" applyBorder="1" applyAlignment="1" applyProtection="1">
      <alignment horizontal="center" vertical="center" wrapText="1"/>
      <protection hidden="1"/>
    </xf>
    <xf numFmtId="1" fontId="11" fillId="0" borderId="2" xfId="0" applyNumberFormat="1" applyFont="1" applyBorder="1" applyAlignment="1" applyProtection="1">
      <alignment horizontal="center" vertical="center"/>
      <protection hidden="1"/>
    </xf>
    <xf numFmtId="0" fontId="10" fillId="3" borderId="15" xfId="0" applyFont="1" applyFill="1" applyBorder="1" applyAlignment="1" applyProtection="1">
      <alignment horizontal="left" vertical="center" wrapText="1"/>
      <protection hidden="1"/>
    </xf>
    <xf numFmtId="0" fontId="59" fillId="3" borderId="15" xfId="0" applyFont="1" applyFill="1" applyBorder="1" applyAlignment="1" applyProtection="1">
      <alignment vertical="center"/>
      <protection hidden="1"/>
    </xf>
    <xf numFmtId="0" fontId="5" fillId="0" borderId="0" xfId="0" applyFont="1"/>
    <xf numFmtId="0" fontId="6" fillId="0" borderId="0" xfId="0" applyFont="1" applyAlignment="1">
      <alignment horizontal="left"/>
    </xf>
    <xf numFmtId="0" fontId="68" fillId="3" borderId="0" xfId="0" applyFont="1" applyFill="1" applyAlignment="1">
      <alignment vertical="center"/>
    </xf>
    <xf numFmtId="0" fontId="68" fillId="3" borderId="0" xfId="0" applyFont="1" applyFill="1"/>
    <xf numFmtId="0" fontId="61" fillId="0" borderId="0" xfId="0" applyFont="1"/>
    <xf numFmtId="0" fontId="68" fillId="0" borderId="0" xfId="0" applyFont="1"/>
    <xf numFmtId="0" fontId="76" fillId="0" borderId="0" xfId="0" applyFont="1" applyAlignment="1" applyProtection="1">
      <alignment horizontal="left" vertical="center" wrapText="1"/>
      <protection hidden="1"/>
    </xf>
    <xf numFmtId="0" fontId="6" fillId="0" borderId="2" xfId="0" applyFont="1" applyBorder="1" applyAlignment="1" applyProtection="1">
      <alignment horizontal="center" vertical="center"/>
      <protection locked="0" hidden="1"/>
    </xf>
    <xf numFmtId="0" fontId="51" fillId="0" borderId="0" xfId="0" applyFont="1" applyAlignment="1" applyProtection="1">
      <alignment horizontal="center" vertical="center" wrapText="1"/>
      <protection hidden="1"/>
    </xf>
    <xf numFmtId="0" fontId="4" fillId="0" borderId="0" xfId="0" applyFont="1" applyAlignment="1" applyProtection="1">
      <alignment vertical="center"/>
      <protection hidden="1"/>
    </xf>
    <xf numFmtId="1" fontId="11" fillId="49" borderId="2" xfId="0" applyNumberFormat="1" applyFont="1" applyFill="1" applyBorder="1" applyAlignment="1" applyProtection="1">
      <alignment horizontal="center" vertical="center"/>
      <protection hidden="1"/>
    </xf>
    <xf numFmtId="0" fontId="60" fillId="47" borderId="21" xfId="0" applyFont="1" applyFill="1" applyBorder="1" applyAlignment="1" applyProtection="1">
      <alignment vertical="center"/>
      <protection hidden="1"/>
    </xf>
    <xf numFmtId="0" fontId="3" fillId="0" borderId="0" xfId="0" applyFont="1" applyAlignment="1" applyProtection="1">
      <alignment vertical="center"/>
      <protection hidden="1"/>
    </xf>
    <xf numFmtId="0" fontId="6" fillId="4" borderId="2" xfId="222" applyFont="1" applyFill="1" applyBorder="1" applyAlignment="1" applyProtection="1">
      <alignment horizontal="center" vertical="center" wrapText="1"/>
      <protection locked="0" hidden="1"/>
    </xf>
    <xf numFmtId="0" fontId="11" fillId="3" borderId="0" xfId="0" applyFont="1" applyFill="1" applyAlignment="1" applyProtection="1">
      <alignment wrapText="1"/>
      <protection hidden="1"/>
    </xf>
    <xf numFmtId="166" fontId="10" fillId="39" borderId="0" xfId="223" applyNumberFormat="1" applyFont="1" applyFill="1" applyProtection="1">
      <alignment horizontal="center" vertical="center" wrapText="1"/>
      <protection hidden="1"/>
    </xf>
    <xf numFmtId="0" fontId="10" fillId="39" borderId="0" xfId="223" applyFont="1" applyFill="1" applyProtection="1">
      <alignment horizontal="center" vertical="center" wrapText="1"/>
      <protection hidden="1"/>
    </xf>
    <xf numFmtId="0" fontId="6" fillId="22" borderId="12" xfId="222" applyFont="1" applyFill="1" applyAlignment="1" applyProtection="1">
      <alignment horizontal="center" vertical="center"/>
      <protection hidden="1"/>
    </xf>
    <xf numFmtId="0" fontId="6" fillId="22" borderId="17" xfId="222" applyFont="1" applyFill="1" applyBorder="1" applyAlignment="1" applyProtection="1">
      <alignment horizontal="left" vertical="center"/>
      <protection hidden="1"/>
    </xf>
    <xf numFmtId="0" fontId="6" fillId="22" borderId="17" xfId="222" applyFont="1" applyFill="1" applyBorder="1" applyAlignment="1" applyProtection="1">
      <alignment horizontal="center" vertical="center"/>
      <protection hidden="1"/>
    </xf>
    <xf numFmtId="0" fontId="6" fillId="22" borderId="12" xfId="222" applyFont="1" applyFill="1" applyAlignment="1" applyProtection="1">
      <alignment horizontal="left" vertical="center"/>
      <protection hidden="1"/>
    </xf>
    <xf numFmtId="166" fontId="6" fillId="22" borderId="23" xfId="225" applyNumberFormat="1" applyFont="1" applyBorder="1" applyAlignment="1" applyProtection="1">
      <alignment horizontal="center" vertical="center"/>
      <protection hidden="1"/>
    </xf>
    <xf numFmtId="0" fontId="6" fillId="22" borderId="23" xfId="225" applyFont="1" applyBorder="1" applyAlignment="1" applyProtection="1">
      <alignment horizontal="left" vertical="center"/>
      <protection hidden="1"/>
    </xf>
    <xf numFmtId="0" fontId="6" fillId="22" borderId="12" xfId="225" applyFont="1" applyAlignment="1" applyProtection="1">
      <alignment horizontal="center" vertical="center" wrapText="1"/>
      <protection hidden="1"/>
    </xf>
    <xf numFmtId="0" fontId="6" fillId="22" borderId="12" xfId="225" applyFont="1" applyAlignment="1" applyProtection="1">
      <alignment horizontal="left" vertical="center"/>
      <protection hidden="1"/>
    </xf>
    <xf numFmtId="0" fontId="6" fillId="22" borderId="12" xfId="225" applyFont="1" applyAlignment="1" applyProtection="1">
      <alignment horizontal="center" vertical="center"/>
      <protection hidden="1"/>
    </xf>
    <xf numFmtId="0" fontId="6" fillId="22" borderId="12" xfId="225" applyFont="1" applyAlignment="1" applyProtection="1">
      <alignment horizontal="left" vertical="center" wrapText="1"/>
      <protection hidden="1"/>
    </xf>
    <xf numFmtId="0" fontId="6" fillId="22" borderId="34" xfId="0" applyFont="1" applyFill="1" applyBorder="1" applyAlignment="1" applyProtection="1">
      <alignment horizontal="center" vertical="center" wrapText="1"/>
      <protection hidden="1"/>
    </xf>
    <xf numFmtId="0" fontId="6" fillId="22" borderId="23" xfId="0" applyFont="1" applyFill="1" applyBorder="1" applyAlignment="1" applyProtection="1">
      <alignment horizontal="center" vertical="center" wrapText="1"/>
      <protection hidden="1"/>
    </xf>
    <xf numFmtId="0" fontId="6" fillId="22" borderId="23" xfId="225" applyFont="1" applyBorder="1" applyAlignment="1" applyProtection="1">
      <alignment horizontal="center" vertical="center"/>
      <protection hidden="1"/>
    </xf>
    <xf numFmtId="0" fontId="6" fillId="22" borderId="23" xfId="222" applyFont="1" applyFill="1" applyBorder="1" applyAlignment="1" applyProtection="1">
      <alignment horizontal="center" vertical="center"/>
      <protection hidden="1"/>
    </xf>
    <xf numFmtId="166" fontId="6" fillId="22" borderId="12" xfId="225" applyNumberFormat="1" applyFont="1" applyAlignment="1" applyProtection="1">
      <alignment horizontal="center" vertical="center"/>
      <protection hidden="1"/>
    </xf>
    <xf numFmtId="1" fontId="6" fillId="22" borderId="12" xfId="225" applyNumberFormat="1" applyFont="1" applyAlignment="1" applyProtection="1">
      <alignment horizontal="center" vertical="center"/>
      <protection hidden="1"/>
    </xf>
    <xf numFmtId="0" fontId="6" fillId="4" borderId="2" xfId="222" applyFont="1" applyFill="1" applyBorder="1" applyAlignment="1" applyProtection="1">
      <alignment horizontal="center" vertical="center"/>
      <protection locked="0" hidden="1"/>
    </xf>
    <xf numFmtId="0" fontId="6" fillId="4" borderId="2" xfId="0" applyFont="1" applyFill="1" applyBorder="1" applyAlignment="1" applyProtection="1">
      <alignment horizontal="center" vertical="center"/>
      <protection locked="0" hidden="1"/>
    </xf>
    <xf numFmtId="0" fontId="6" fillId="4" borderId="26" xfId="0" applyFont="1" applyFill="1" applyBorder="1" applyAlignment="1" applyProtection="1">
      <alignment horizontal="center" vertical="center"/>
      <protection locked="0" hidden="1"/>
    </xf>
    <xf numFmtId="0" fontId="6" fillId="4" borderId="2" xfId="224" applyFont="1" applyFill="1" applyBorder="1" applyAlignment="1" applyProtection="1">
      <alignment horizontal="center" vertical="center"/>
      <protection locked="0" hidden="1"/>
    </xf>
    <xf numFmtId="167" fontId="57" fillId="22" borderId="2" xfId="0" applyNumberFormat="1" applyFont="1" applyFill="1" applyBorder="1" applyAlignment="1" applyProtection="1">
      <alignment horizontal="center" vertical="center"/>
      <protection hidden="1"/>
    </xf>
    <xf numFmtId="0" fontId="57" fillId="0" borderId="0" xfId="0" applyFont="1" applyAlignment="1" applyProtection="1">
      <alignment horizontal="center"/>
      <protection locked="0" hidden="1"/>
    </xf>
    <xf numFmtId="0" fontId="68" fillId="48" borderId="46" xfId="0" applyFont="1" applyFill="1" applyBorder="1" applyAlignment="1" applyProtection="1">
      <alignment horizontal="right" vertical="center" wrapText="1"/>
      <protection hidden="1"/>
    </xf>
    <xf numFmtId="0" fontId="0" fillId="0" borderId="0" xfId="0" applyAlignment="1">
      <alignment vertical="center"/>
    </xf>
    <xf numFmtId="0" fontId="6" fillId="4" borderId="2" xfId="224" applyFont="1" applyFill="1" applyBorder="1" applyAlignment="1" applyProtection="1">
      <alignment horizontal="center" vertical="center" wrapText="1"/>
      <protection locked="0" hidden="1"/>
    </xf>
    <xf numFmtId="0" fontId="2" fillId="0" borderId="0" xfId="0" applyFont="1"/>
    <xf numFmtId="0" fontId="2" fillId="0" borderId="0" xfId="0" applyFont="1" applyAlignment="1">
      <alignment horizontal="center"/>
    </xf>
    <xf numFmtId="0" fontId="2" fillId="0" borderId="0" xfId="0" applyFont="1" applyAlignment="1">
      <alignment horizontal="left"/>
    </xf>
    <xf numFmtId="166" fontId="2" fillId="0" borderId="0" xfId="0" applyNumberFormat="1" applyFont="1" applyAlignment="1">
      <alignment horizontal="left"/>
    </xf>
    <xf numFmtId="0" fontId="77" fillId="49" borderId="63" xfId="0" applyFont="1" applyFill="1" applyBorder="1" applyAlignment="1">
      <alignment horizontal="center" vertical="center"/>
    </xf>
    <xf numFmtId="0" fontId="78" fillId="49" borderId="0" xfId="0" applyFont="1" applyFill="1" applyAlignment="1">
      <alignment vertical="center" wrapText="1"/>
    </xf>
    <xf numFmtId="0" fontId="6" fillId="0" borderId="0" xfId="0" applyFont="1" applyAlignment="1" applyProtection="1">
      <alignment vertical="center"/>
      <protection hidden="1"/>
    </xf>
    <xf numFmtId="0" fontId="71" fillId="0" borderId="30" xfId="0" applyFont="1" applyBorder="1" applyAlignment="1">
      <alignment vertical="center" wrapText="1"/>
    </xf>
    <xf numFmtId="0" fontId="71" fillId="0" borderId="30" xfId="0" applyFont="1" applyBorder="1" applyAlignment="1">
      <alignment horizontal="left" vertical="center" wrapText="1"/>
    </xf>
    <xf numFmtId="0" fontId="59" fillId="0" borderId="0" xfId="0" applyFont="1" applyAlignment="1" applyProtection="1">
      <alignment horizontal="right" vertical="center"/>
      <protection hidden="1"/>
    </xf>
    <xf numFmtId="0" fontId="52" fillId="30" borderId="13" xfId="226" applyFont="1" applyFill="1" applyBorder="1" applyAlignment="1" applyProtection="1">
      <alignment horizontal="left" vertical="center" wrapText="1"/>
      <protection hidden="1"/>
    </xf>
    <xf numFmtId="0" fontId="52" fillId="30" borderId="41" xfId="226" applyFont="1" applyFill="1" applyBorder="1" applyAlignment="1" applyProtection="1">
      <alignment horizontal="left" vertical="center" wrapText="1"/>
      <protection hidden="1"/>
    </xf>
    <xf numFmtId="0" fontId="52" fillId="30" borderId="14" xfId="226" applyFont="1" applyFill="1" applyBorder="1" applyAlignment="1" applyProtection="1">
      <alignment horizontal="left" vertical="center" wrapText="1"/>
      <protection hidden="1"/>
    </xf>
    <xf numFmtId="0" fontId="53" fillId="30" borderId="0" xfId="2" applyNumberFormat="1" applyFont="1" applyFill="1" applyAlignment="1" applyProtection="1">
      <alignment horizontal="center" vertical="center"/>
      <protection hidden="1"/>
    </xf>
    <xf numFmtId="1" fontId="53" fillId="30" borderId="0" xfId="2" applyNumberFormat="1" applyFont="1" applyFill="1" applyAlignment="1" applyProtection="1">
      <alignment horizontal="center" vertical="center" wrapText="1"/>
      <protection hidden="1"/>
    </xf>
    <xf numFmtId="0" fontId="55" fillId="30" borderId="0" xfId="226" applyFont="1" applyFill="1" applyBorder="1" applyAlignment="1" applyProtection="1">
      <alignment horizontal="center" vertical="center" wrapText="1"/>
      <protection locked="0" hidden="1"/>
    </xf>
    <xf numFmtId="0" fontId="57" fillId="30" borderId="18" xfId="226" applyFont="1" applyFill="1" applyBorder="1" applyAlignment="1" applyProtection="1">
      <alignment horizontal="left" vertical="center" wrapText="1"/>
      <protection hidden="1"/>
    </xf>
    <xf numFmtId="0" fontId="6" fillId="30" borderId="12" xfId="226" applyFont="1" applyFill="1" applyAlignment="1" applyProtection="1">
      <alignment horizontal="left" vertical="center" wrapText="1"/>
      <protection hidden="1"/>
    </xf>
    <xf numFmtId="166" fontId="6" fillId="30" borderId="12" xfId="226" applyNumberFormat="1" applyFont="1" applyFill="1" applyAlignment="1" applyProtection="1">
      <alignment horizontal="center" vertical="center"/>
      <protection hidden="1"/>
    </xf>
    <xf numFmtId="0" fontId="6" fillId="30" borderId="12" xfId="226" applyFont="1" applyFill="1" applyAlignment="1" applyProtection="1">
      <alignment horizontal="left" vertical="center"/>
      <protection hidden="1"/>
    </xf>
    <xf numFmtId="0" fontId="6" fillId="30" borderId="12" xfId="222" applyFont="1" applyFill="1" applyAlignment="1" applyProtection="1">
      <alignment horizontal="left" vertical="center"/>
      <protection hidden="1"/>
    </xf>
    <xf numFmtId="0" fontId="6" fillId="30" borderId="12" xfId="222" applyFont="1" applyFill="1" applyAlignment="1" applyProtection="1">
      <alignment horizontal="center" vertical="center"/>
      <protection hidden="1"/>
    </xf>
    <xf numFmtId="0" fontId="6" fillId="30" borderId="23" xfId="222" applyFont="1" applyFill="1" applyBorder="1" applyAlignment="1" applyProtection="1">
      <alignment horizontal="left" vertical="center"/>
      <protection hidden="1"/>
    </xf>
    <xf numFmtId="0" fontId="6" fillId="30" borderId="17" xfId="222" applyFont="1" applyFill="1" applyBorder="1" applyAlignment="1" applyProtection="1">
      <alignment horizontal="left" vertical="center"/>
      <protection hidden="1"/>
    </xf>
    <xf numFmtId="0" fontId="6" fillId="30" borderId="17" xfId="222" applyFont="1" applyFill="1" applyBorder="1" applyAlignment="1" applyProtection="1">
      <alignment horizontal="center" vertical="center"/>
      <protection hidden="1"/>
    </xf>
    <xf numFmtId="0" fontId="6" fillId="30" borderId="12" xfId="222" applyFont="1" applyFill="1" applyProtection="1">
      <alignment vertical="center"/>
      <protection hidden="1"/>
    </xf>
    <xf numFmtId="0" fontId="6" fillId="30" borderId="23" xfId="222" applyFont="1" applyFill="1" applyBorder="1" applyAlignment="1" applyProtection="1">
      <alignment horizontal="center" vertical="center"/>
      <protection hidden="1"/>
    </xf>
    <xf numFmtId="0" fontId="6" fillId="30" borderId="18" xfId="226" applyFont="1" applyFill="1" applyBorder="1" applyAlignment="1" applyProtection="1">
      <alignment horizontal="center" vertical="center" wrapText="1"/>
      <protection hidden="1"/>
    </xf>
    <xf numFmtId="0" fontId="6" fillId="30" borderId="1" xfId="226" applyFont="1" applyFill="1" applyBorder="1" applyAlignment="1" applyProtection="1">
      <alignment horizontal="left" vertical="center" wrapText="1"/>
      <protection hidden="1"/>
    </xf>
    <xf numFmtId="0" fontId="6" fillId="30" borderId="12" xfId="226" applyFont="1" applyFill="1" applyAlignment="1" applyProtection="1">
      <alignment horizontal="center" vertical="center" wrapText="1"/>
      <protection hidden="1"/>
    </xf>
    <xf numFmtId="0" fontId="57" fillId="30" borderId="22" xfId="226" applyFont="1" applyFill="1" applyBorder="1" applyAlignment="1" applyProtection="1">
      <alignment horizontal="left" vertical="center" wrapText="1"/>
      <protection hidden="1"/>
    </xf>
    <xf numFmtId="0" fontId="6" fillId="30" borderId="23" xfId="226" applyFont="1" applyFill="1" applyBorder="1" applyAlignment="1" applyProtection="1">
      <alignment horizontal="left" vertical="center"/>
      <protection hidden="1"/>
    </xf>
    <xf numFmtId="0" fontId="57" fillId="30" borderId="22" xfId="226" applyFont="1" applyFill="1" applyBorder="1" applyAlignment="1" applyProtection="1">
      <alignment horizontal="left" vertical="center"/>
      <protection hidden="1"/>
    </xf>
    <xf numFmtId="0" fontId="57" fillId="30" borderId="21" xfId="226" applyFont="1" applyFill="1" applyBorder="1" applyAlignment="1" applyProtection="1">
      <alignment horizontal="left" vertical="center" wrapText="1"/>
      <protection hidden="1"/>
    </xf>
    <xf numFmtId="0" fontId="6" fillId="30" borderId="12" xfId="226" applyFont="1" applyFill="1" applyAlignment="1" applyProtection="1">
      <alignment horizontal="center" vertical="center"/>
      <protection hidden="1"/>
    </xf>
    <xf numFmtId="0" fontId="6" fillId="30" borderId="23" xfId="226" applyFont="1" applyFill="1" applyBorder="1" applyAlignment="1" applyProtection="1">
      <alignment horizontal="center" vertical="center"/>
      <protection hidden="1"/>
    </xf>
    <xf numFmtId="0" fontId="57" fillId="30" borderId="0" xfId="0" applyFont="1" applyFill="1" applyAlignment="1" applyProtection="1">
      <alignment horizontal="center" vertical="center"/>
      <protection hidden="1"/>
    </xf>
    <xf numFmtId="166" fontId="57" fillId="30" borderId="0" xfId="0" applyNumberFormat="1" applyFont="1" applyFill="1" applyAlignment="1" applyProtection="1">
      <alignment horizontal="center" vertical="center" wrapText="1"/>
      <protection hidden="1"/>
    </xf>
    <xf numFmtId="166" fontId="57" fillId="30" borderId="0" xfId="2" applyNumberFormat="1" applyFont="1" applyFill="1" applyBorder="1" applyAlignment="1" applyProtection="1">
      <alignment horizontal="center" vertical="center" wrapText="1"/>
      <protection hidden="1"/>
    </xf>
    <xf numFmtId="0" fontId="57" fillId="30" borderId="0" xfId="0" applyFont="1" applyFill="1" applyAlignment="1" applyProtection="1">
      <alignment horizontal="left" vertical="center"/>
      <protection hidden="1"/>
    </xf>
    <xf numFmtId="0" fontId="6" fillId="30" borderId="0" xfId="0" applyFont="1" applyFill="1" applyAlignment="1" applyProtection="1">
      <alignment horizontal="center" vertical="center"/>
      <protection hidden="1"/>
    </xf>
    <xf numFmtId="0" fontId="1" fillId="0" borderId="0" xfId="0" applyFont="1" applyAlignment="1" applyProtection="1">
      <alignment vertical="center"/>
      <protection hidden="1"/>
    </xf>
    <xf numFmtId="0" fontId="57" fillId="22" borderId="22" xfId="225" applyFont="1" applyBorder="1" applyAlignment="1" applyProtection="1">
      <alignment vertical="center"/>
      <protection hidden="1"/>
    </xf>
    <xf numFmtId="0" fontId="1" fillId="0" borderId="62" xfId="0" applyFont="1" applyBorder="1" applyAlignment="1" applyProtection="1">
      <alignment vertical="center"/>
      <protection hidden="1"/>
    </xf>
    <xf numFmtId="0" fontId="1" fillId="0" borderId="61" xfId="0" applyFont="1" applyBorder="1" applyAlignment="1" applyProtection="1">
      <alignment vertical="center"/>
      <protection hidden="1"/>
    </xf>
    <xf numFmtId="0" fontId="77" fillId="49" borderId="66" xfId="0" applyFont="1" applyFill="1" applyBorder="1" applyAlignment="1">
      <alignment horizontal="center" vertical="center"/>
    </xf>
    <xf numFmtId="0" fontId="6" fillId="22" borderId="23" xfId="225" applyFont="1" applyBorder="1" applyAlignment="1" applyProtection="1">
      <alignment horizontal="left" vertical="center" wrapText="1"/>
      <protection hidden="1"/>
    </xf>
    <xf numFmtId="0" fontId="1" fillId="0" borderId="12" xfId="0" applyFont="1" applyBorder="1" applyAlignment="1">
      <alignment horizontal="left"/>
    </xf>
    <xf numFmtId="0" fontId="6" fillId="0" borderId="0" xfId="0" applyFont="1" applyAlignment="1" applyProtection="1">
      <alignment horizontal="center" vertical="center"/>
      <protection hidden="1"/>
    </xf>
    <xf numFmtId="0" fontId="6" fillId="0" borderId="0" xfId="0" applyFont="1" applyAlignment="1" applyProtection="1">
      <alignment wrapText="1"/>
      <protection hidden="1"/>
    </xf>
    <xf numFmtId="0" fontId="6" fillId="0" borderId="0" xfId="0" applyFont="1" applyAlignment="1" applyProtection="1">
      <alignment horizontal="left" vertical="center" wrapText="1"/>
      <protection hidden="1"/>
    </xf>
    <xf numFmtId="0" fontId="11" fillId="0" borderId="0" xfId="0" applyFont="1" applyAlignment="1" applyProtection="1">
      <alignment horizontal="left" vertical="center"/>
      <protection hidden="1"/>
    </xf>
    <xf numFmtId="0" fontId="6" fillId="0" borderId="0" xfId="0" applyFont="1" applyAlignment="1" applyProtection="1">
      <alignment vertical="center" wrapText="1"/>
      <protection hidden="1"/>
    </xf>
    <xf numFmtId="0" fontId="1" fillId="0" borderId="30" xfId="0" quotePrefix="1" applyFont="1" applyBorder="1" applyAlignment="1">
      <alignment horizontal="left" vertical="center" wrapText="1"/>
    </xf>
    <xf numFmtId="0" fontId="1" fillId="0" borderId="30" xfId="0" quotePrefix="1" applyFont="1" applyBorder="1" applyAlignment="1">
      <alignment vertical="center" wrapText="1"/>
    </xf>
    <xf numFmtId="0" fontId="11" fillId="4" borderId="0" xfId="0" applyFont="1" applyFill="1" applyAlignment="1" applyProtection="1">
      <alignment horizontal="left" vertical="center"/>
      <protection hidden="1"/>
    </xf>
    <xf numFmtId="0" fontId="1" fillId="0" borderId="30" xfId="0" applyFont="1" applyBorder="1" applyAlignment="1">
      <alignment vertical="center" wrapText="1"/>
    </xf>
    <xf numFmtId="0" fontId="77" fillId="32" borderId="63" xfId="0" applyFont="1" applyFill="1" applyBorder="1" applyAlignment="1">
      <alignment horizontal="center" vertical="center"/>
    </xf>
    <xf numFmtId="0" fontId="78" fillId="0" borderId="0" xfId="0" applyFont="1" applyAlignment="1">
      <alignment horizontal="left" vertical="center"/>
    </xf>
    <xf numFmtId="0" fontId="78" fillId="0" borderId="0" xfId="0" applyFont="1" applyAlignment="1">
      <alignment vertical="center"/>
    </xf>
    <xf numFmtId="0" fontId="78" fillId="49" borderId="0" xfId="0" applyFont="1" applyFill="1" applyAlignment="1">
      <alignment vertical="center"/>
    </xf>
    <xf numFmtId="0" fontId="78" fillId="2" borderId="0" xfId="0" applyFont="1" applyFill="1" applyAlignment="1">
      <alignment horizontal="left" vertical="center"/>
    </xf>
    <xf numFmtId="0" fontId="78" fillId="2" borderId="0" xfId="0" applyFont="1" applyFill="1" applyAlignment="1">
      <alignment vertical="center"/>
    </xf>
    <xf numFmtId="0" fontId="78" fillId="19" borderId="0" xfId="0" applyFont="1" applyFill="1" applyAlignment="1">
      <alignment vertical="center"/>
    </xf>
    <xf numFmtId="0" fontId="78" fillId="32" borderId="0" xfId="0" applyFont="1" applyFill="1" applyAlignment="1">
      <alignment vertical="center"/>
    </xf>
    <xf numFmtId="0" fontId="77" fillId="2" borderId="63" xfId="0" applyFont="1" applyFill="1" applyBorder="1" applyAlignment="1">
      <alignment horizontal="center" vertical="center"/>
    </xf>
    <xf numFmtId="0" fontId="77" fillId="19" borderId="63" xfId="0" applyFont="1" applyFill="1" applyBorder="1" applyAlignment="1">
      <alignment horizontal="center" vertical="center"/>
    </xf>
    <xf numFmtId="0" fontId="77" fillId="49" borderId="0" xfId="0" applyFont="1" applyFill="1" applyAlignment="1">
      <alignment horizontal="center" vertical="center"/>
    </xf>
    <xf numFmtId="0" fontId="1" fillId="0" borderId="63" xfId="0" applyFont="1" applyBorder="1" applyAlignment="1">
      <alignment horizontal="left"/>
    </xf>
    <xf numFmtId="0" fontId="1" fillId="0" borderId="63" xfId="0" applyFont="1" applyBorder="1"/>
    <xf numFmtId="0" fontId="1" fillId="0" borderId="23" xfId="0" applyFont="1" applyBorder="1" applyAlignment="1">
      <alignment horizontal="center"/>
    </xf>
    <xf numFmtId="0" fontId="1" fillId="49" borderId="23" xfId="0" applyFont="1" applyFill="1" applyBorder="1"/>
    <xf numFmtId="0" fontId="1" fillId="49" borderId="12" xfId="0" applyFont="1" applyFill="1" applyBorder="1"/>
    <xf numFmtId="0" fontId="77" fillId="2" borderId="66" xfId="0" applyFont="1" applyFill="1" applyBorder="1" applyAlignment="1">
      <alignment horizontal="center" vertical="center"/>
    </xf>
    <xf numFmtId="0" fontId="77" fillId="19" borderId="66" xfId="0" applyFont="1" applyFill="1" applyBorder="1" applyAlignment="1">
      <alignment horizontal="center" vertical="center"/>
    </xf>
    <xf numFmtId="0" fontId="77" fillId="32" borderId="66" xfId="0" applyFont="1" applyFill="1" applyBorder="1" applyAlignment="1">
      <alignment horizontal="center" vertical="center"/>
    </xf>
    <xf numFmtId="0" fontId="1" fillId="0" borderId="0" xfId="0" applyFont="1" applyAlignment="1">
      <alignment horizontal="center"/>
    </xf>
    <xf numFmtId="0" fontId="1" fillId="49" borderId="0" xfId="0" applyFont="1" applyFill="1"/>
    <xf numFmtId="0" fontId="1" fillId="0" borderId="12" xfId="0" applyFont="1" applyBorder="1"/>
    <xf numFmtId="0" fontId="1" fillId="0" borderId="17" xfId="0" applyFont="1" applyBorder="1" applyAlignment="1">
      <alignment horizontal="center"/>
    </xf>
    <xf numFmtId="0" fontId="1" fillId="49" borderId="17" xfId="0" applyFont="1" applyFill="1" applyBorder="1"/>
    <xf numFmtId="0" fontId="77" fillId="49" borderId="65" xfId="0" applyFont="1" applyFill="1" applyBorder="1" applyAlignment="1">
      <alignment horizontal="center" vertical="center"/>
    </xf>
    <xf numFmtId="0" fontId="77" fillId="32" borderId="64" xfId="0" applyFont="1" applyFill="1" applyBorder="1" applyAlignment="1">
      <alignment horizontal="center" vertical="center"/>
    </xf>
    <xf numFmtId="0" fontId="77" fillId="49" borderId="64" xfId="0" applyFont="1" applyFill="1" applyBorder="1" applyAlignment="1">
      <alignment horizontal="center" vertical="center"/>
    </xf>
    <xf numFmtId="0" fontId="77" fillId="49" borderId="17" xfId="0" applyFont="1" applyFill="1" applyBorder="1" applyAlignment="1">
      <alignment horizontal="center" vertical="center"/>
    </xf>
    <xf numFmtId="0" fontId="79" fillId="49" borderId="30" xfId="0" applyFont="1" applyFill="1" applyBorder="1" applyAlignment="1">
      <alignment wrapText="1"/>
    </xf>
    <xf numFmtId="14" fontId="79" fillId="49" borderId="30" xfId="0" applyNumberFormat="1" applyFont="1" applyFill="1" applyBorder="1" applyAlignment="1">
      <alignment horizontal="left" wrapText="1"/>
    </xf>
    <xf numFmtId="0" fontId="1" fillId="0" borderId="30"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wrapText="1"/>
    </xf>
    <xf numFmtId="0" fontId="1" fillId="0" borderId="30" xfId="0" applyFont="1" applyBorder="1" applyAlignment="1">
      <alignment horizontal="left" vertical="center"/>
    </xf>
    <xf numFmtId="0" fontId="53" fillId="22" borderId="0" xfId="0" applyFont="1" applyFill="1" applyAlignment="1" applyProtection="1">
      <alignment horizontal="left" vertical="center"/>
      <protection hidden="1"/>
    </xf>
    <xf numFmtId="9" fontId="61" fillId="22" borderId="0" xfId="2" applyFont="1" applyFill="1" applyAlignment="1" applyProtection="1">
      <alignment horizontal="center" vertical="center"/>
      <protection hidden="1"/>
    </xf>
    <xf numFmtId="0" fontId="53" fillId="35" borderId="0" xfId="0" applyFont="1" applyFill="1" applyAlignment="1" applyProtection="1">
      <alignment horizontal="left" vertical="center"/>
      <protection hidden="1"/>
    </xf>
    <xf numFmtId="0" fontId="61" fillId="35" borderId="0" xfId="0" applyFont="1" applyFill="1" applyAlignment="1" applyProtection="1">
      <alignment horizontal="center" vertical="center"/>
      <protection hidden="1"/>
    </xf>
    <xf numFmtId="0" fontId="53" fillId="42" borderId="0" xfId="0" applyFont="1" applyFill="1" applyAlignment="1" applyProtection="1">
      <alignment horizontal="left" vertical="center"/>
      <protection hidden="1"/>
    </xf>
    <xf numFmtId="0" fontId="61" fillId="42" borderId="0" xfId="0" applyFont="1" applyFill="1" applyAlignment="1" applyProtection="1">
      <alignment horizontal="center" vertical="center"/>
      <protection hidden="1"/>
    </xf>
    <xf numFmtId="0" fontId="61" fillId="22" borderId="0" xfId="0" applyFont="1" applyFill="1" applyAlignment="1" applyProtection="1">
      <alignment horizontal="center" vertical="center"/>
      <protection hidden="1"/>
    </xf>
    <xf numFmtId="0" fontId="53" fillId="47" borderId="0" xfId="0" applyFont="1" applyFill="1" applyAlignment="1" applyProtection="1">
      <alignment horizontal="left" vertical="center"/>
      <protection hidden="1"/>
    </xf>
    <xf numFmtId="0" fontId="61" fillId="47" borderId="0" xfId="0" applyFont="1" applyFill="1" applyAlignment="1" applyProtection="1">
      <alignment horizontal="center" vertical="center"/>
      <protection hidden="1"/>
    </xf>
    <xf numFmtId="0" fontId="53" fillId="2" borderId="0" xfId="0" applyFont="1" applyFill="1" applyAlignment="1" applyProtection="1">
      <alignment horizontal="left" vertical="center"/>
      <protection hidden="1"/>
    </xf>
    <xf numFmtId="0" fontId="61" fillId="2"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17" fillId="4" borderId="0" xfId="0" applyFont="1" applyFill="1" applyAlignment="1" applyProtection="1">
      <alignment horizontal="left" vertical="center"/>
      <protection hidden="1"/>
    </xf>
    <xf numFmtId="0" fontId="17" fillId="0" borderId="0" xfId="0" applyFont="1" applyAlignment="1" applyProtection="1">
      <alignment horizontal="left" vertical="center"/>
      <protection locked="0" hidden="1"/>
    </xf>
    <xf numFmtId="0" fontId="17" fillId="0" borderId="0" xfId="0" applyFont="1" applyAlignment="1" applyProtection="1">
      <alignment horizontal="left" vertical="center" wrapText="1"/>
      <protection hidden="1"/>
    </xf>
    <xf numFmtId="0" fontId="53" fillId="30" borderId="0" xfId="0" applyFont="1" applyFill="1" applyAlignment="1" applyProtection="1">
      <alignment vertical="center"/>
      <protection hidden="1"/>
    </xf>
    <xf numFmtId="0" fontId="1" fillId="30" borderId="17" xfId="226" applyFont="1" applyFill="1" applyBorder="1" applyAlignment="1" applyProtection="1">
      <alignment horizontal="center" vertical="center" wrapText="1"/>
      <protection hidden="1"/>
    </xf>
    <xf numFmtId="0" fontId="52" fillId="30" borderId="16" xfId="226" applyFont="1" applyFill="1" applyBorder="1" applyAlignment="1" applyProtection="1">
      <alignment horizontal="left" vertical="center" wrapText="1"/>
      <protection locked="0" hidden="1"/>
    </xf>
    <xf numFmtId="0" fontId="1" fillId="30" borderId="12" xfId="226" applyFont="1" applyFill="1" applyAlignment="1" applyProtection="1">
      <alignment horizontal="center" vertical="center" wrapText="1"/>
      <protection hidden="1"/>
    </xf>
    <xf numFmtId="0" fontId="0" fillId="32" borderId="12" xfId="222" applyFont="1" applyFill="1" applyAlignment="1" applyProtection="1">
      <alignment horizontal="center" vertical="center"/>
      <protection hidden="1"/>
    </xf>
    <xf numFmtId="0" fontId="57" fillId="30" borderId="26" xfId="226" applyFont="1" applyFill="1" applyBorder="1" applyAlignment="1" applyProtection="1">
      <alignment vertical="center" wrapText="1"/>
      <protection hidden="1"/>
    </xf>
    <xf numFmtId="0" fontId="6" fillId="4" borderId="29" xfId="0" applyFont="1" applyFill="1" applyBorder="1" applyAlignment="1" applyProtection="1">
      <alignment vertical="center" wrapText="1"/>
      <protection locked="0" hidden="1"/>
    </xf>
    <xf numFmtId="0" fontId="0" fillId="0" borderId="0" xfId="0" applyProtection="1">
      <protection locked="0" hidden="1"/>
    </xf>
    <xf numFmtId="0" fontId="80" fillId="0" borderId="0" xfId="0" applyFont="1" applyAlignment="1" applyProtection="1">
      <alignment horizontal="center" vertical="center"/>
      <protection hidden="1"/>
    </xf>
    <xf numFmtId="0" fontId="0" fillId="0" borderId="30" xfId="0" applyBorder="1" applyAlignment="1" applyProtection="1">
      <alignment horizontal="center" vertical="center" wrapText="1"/>
      <protection locked="0" hidden="1"/>
    </xf>
    <xf numFmtId="0" fontId="0" fillId="0" borderId="30" xfId="0" applyBorder="1" applyAlignment="1" applyProtection="1">
      <alignment horizontal="center" vertical="center"/>
      <protection locked="0" hidden="1"/>
    </xf>
    <xf numFmtId="0" fontId="7" fillId="20" borderId="0" xfId="0" applyFont="1" applyFill="1" applyAlignment="1" applyProtection="1">
      <alignment horizontal="center" vertical="center" wrapText="1"/>
      <protection hidden="1"/>
    </xf>
    <xf numFmtId="0" fontId="83" fillId="32" borderId="0" xfId="2" applyNumberFormat="1" applyFont="1" applyFill="1" applyAlignment="1" applyProtection="1">
      <alignment horizontal="center" vertical="center"/>
      <protection hidden="1"/>
    </xf>
    <xf numFmtId="0" fontId="0" fillId="0" borderId="0" xfId="0" applyAlignment="1" applyProtection="1">
      <alignment horizontal="left" vertic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7" fillId="20" borderId="0" xfId="0" applyFont="1" applyFill="1" applyAlignment="1" applyProtection="1">
      <alignment horizontal="left" vertical="center" wrapText="1"/>
      <protection locked="0" hidden="1"/>
    </xf>
    <xf numFmtId="0" fontId="7" fillId="20" borderId="0" xfId="0" applyFont="1" applyFill="1" applyAlignment="1" applyProtection="1">
      <alignment horizontal="left" vertical="center" wrapText="1"/>
      <protection hidden="1"/>
    </xf>
    <xf numFmtId="0" fontId="7" fillId="41" borderId="17" xfId="0" applyFont="1" applyFill="1" applyBorder="1" applyAlignment="1" applyProtection="1">
      <alignment horizontal="left" vertical="center" wrapText="1"/>
      <protection hidden="1"/>
    </xf>
    <xf numFmtId="0" fontId="85" fillId="41" borderId="17" xfId="0" applyFont="1" applyFill="1" applyBorder="1" applyAlignment="1" applyProtection="1">
      <alignment horizontal="left" vertical="center" wrapText="1"/>
      <protection hidden="1"/>
    </xf>
    <xf numFmtId="0" fontId="7" fillId="41" borderId="17" xfId="0" applyFont="1" applyFill="1" applyBorder="1" applyAlignment="1" applyProtection="1">
      <alignment horizontal="center" vertical="center" wrapText="1"/>
      <protection hidden="1"/>
    </xf>
    <xf numFmtId="0" fontId="0" fillId="0" borderId="30" xfId="0" applyBorder="1" applyAlignment="1" applyProtection="1">
      <alignment wrapText="1"/>
      <protection hidden="1"/>
    </xf>
    <xf numFmtId="0" fontId="0" fillId="0" borderId="0" xfId="0" applyAlignment="1" applyProtection="1">
      <alignment wrapText="1"/>
      <protection hidden="1"/>
    </xf>
    <xf numFmtId="166" fontId="0" fillId="25" borderId="12" xfId="254" applyNumberFormat="1" applyFont="1" applyAlignment="1" applyProtection="1">
      <alignment horizontal="center" vertical="center"/>
      <protection hidden="1"/>
    </xf>
    <xf numFmtId="0" fontId="16" fillId="25" borderId="18" xfId="254" applyFont="1" applyBorder="1" applyAlignment="1" applyProtection="1">
      <alignment horizontal="left" vertical="center" wrapText="1"/>
      <protection hidden="1"/>
    </xf>
    <xf numFmtId="0" fontId="0" fillId="25" borderId="12" xfId="254" applyFont="1" applyAlignment="1" applyProtection="1">
      <alignment horizontal="left" vertical="center" wrapText="1"/>
      <protection hidden="1"/>
    </xf>
    <xf numFmtId="1" fontId="0" fillId="25" borderId="12" xfId="254" applyNumberFormat="1" applyFont="1" applyAlignment="1" applyProtection="1">
      <alignment horizontal="center" vertical="center"/>
      <protection hidden="1"/>
    </xf>
    <xf numFmtId="0" fontId="0" fillId="25" borderId="12" xfId="254" applyFont="1" applyAlignment="1" applyProtection="1">
      <alignment horizontal="center" vertical="center"/>
      <protection hidden="1"/>
    </xf>
    <xf numFmtId="166" fontId="0" fillId="25" borderId="17" xfId="254" applyNumberFormat="1" applyFont="1" applyBorder="1" applyAlignment="1" applyProtection="1">
      <alignment horizontal="center" vertical="center"/>
      <protection hidden="1"/>
    </xf>
    <xf numFmtId="0" fontId="0" fillId="25" borderId="17" xfId="254" applyFont="1" applyBorder="1" applyAlignment="1" applyProtection="1">
      <alignment horizontal="center" vertical="center" wrapText="1"/>
      <protection hidden="1"/>
    </xf>
    <xf numFmtId="0" fontId="0" fillId="0" borderId="30" xfId="0" applyBorder="1" applyProtection="1">
      <protection hidden="1"/>
    </xf>
    <xf numFmtId="166" fontId="15" fillId="25" borderId="12" xfId="254" applyNumberFormat="1" applyAlignment="1" applyProtection="1">
      <alignment horizontal="center" vertical="center"/>
      <protection hidden="1"/>
    </xf>
    <xf numFmtId="0" fontId="15" fillId="25" borderId="12" xfId="254" applyAlignment="1" applyProtection="1">
      <alignment horizontal="left" vertical="center" wrapText="1"/>
      <protection hidden="1"/>
    </xf>
    <xf numFmtId="0" fontId="15" fillId="25" borderId="12" xfId="254" applyAlignment="1" applyProtection="1">
      <alignment horizontal="center" vertical="center"/>
      <protection hidden="1"/>
    </xf>
    <xf numFmtId="0" fontId="0" fillId="25" borderId="12" xfId="254" applyFont="1" applyAlignment="1" applyProtection="1">
      <alignment vertical="center" wrapText="1"/>
      <protection hidden="1"/>
    </xf>
    <xf numFmtId="0" fontId="0" fillId="25" borderId="12" xfId="254" applyFont="1" applyAlignment="1" applyProtection="1">
      <alignment horizontal="center" vertical="center" wrapText="1"/>
      <protection hidden="1"/>
    </xf>
    <xf numFmtId="0" fontId="0" fillId="25" borderId="1" xfId="254" applyFont="1" applyBorder="1" applyAlignment="1" applyProtection="1">
      <alignment horizontal="center" vertical="center" wrapText="1"/>
      <protection hidden="1"/>
    </xf>
    <xf numFmtId="0" fontId="0" fillId="25" borderId="1" xfId="254" applyFont="1" applyBorder="1" applyAlignment="1" applyProtection="1">
      <alignment horizontal="center" vertical="center"/>
      <protection hidden="1"/>
    </xf>
    <xf numFmtId="0" fontId="7" fillId="20" borderId="23" xfId="223" applyBorder="1" applyAlignment="1" applyProtection="1">
      <alignment horizontal="left" vertical="center" wrapText="1"/>
      <protection hidden="1"/>
    </xf>
    <xf numFmtId="0" fontId="7" fillId="20" borderId="23" xfId="223" applyBorder="1" applyProtection="1">
      <alignment horizontal="center" vertical="center" wrapText="1"/>
      <protection hidden="1"/>
    </xf>
    <xf numFmtId="0" fontId="0" fillId="0" borderId="0" xfId="0" applyAlignment="1" applyProtection="1">
      <alignment horizontal="left" vertical="center" wrapText="1"/>
      <protection hidden="1"/>
    </xf>
    <xf numFmtId="0" fontId="0" fillId="4" borderId="0" xfId="0" applyFill="1" applyAlignment="1" applyProtection="1">
      <alignment horizontal="left" vertical="center" wrapText="1"/>
      <protection hidden="1"/>
    </xf>
    <xf numFmtId="166" fontId="86" fillId="0" borderId="0" xfId="0" applyNumberFormat="1" applyFont="1" applyAlignment="1" applyProtection="1">
      <alignment horizontal="center" vertical="center"/>
      <protection hidden="1"/>
    </xf>
    <xf numFmtId="0" fontId="87" fillId="0" borderId="0" xfId="0" applyFont="1" applyAlignment="1" applyProtection="1">
      <alignment horizontal="left" vertical="center"/>
      <protection hidden="1"/>
    </xf>
    <xf numFmtId="0" fontId="87" fillId="0" borderId="0" xfId="0" applyFont="1" applyAlignment="1" applyProtection="1">
      <alignment horizontal="center" vertical="center"/>
      <protection hidden="1"/>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7" fillId="31" borderId="0" xfId="0" applyFont="1" applyFill="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7" fillId="31" borderId="0" xfId="0" applyFont="1" applyFill="1" applyAlignment="1" applyProtection="1">
      <alignment horizontal="center" vertical="center" wrapText="1"/>
      <protection locked="0"/>
    </xf>
    <xf numFmtId="0" fontId="7" fillId="31" borderId="0" xfId="0" applyFont="1" applyFill="1" applyAlignment="1" applyProtection="1">
      <alignment horizontal="left" vertical="center" wrapText="1"/>
      <protection locked="0"/>
    </xf>
    <xf numFmtId="0" fontId="0" fillId="25" borderId="12" xfId="254" applyFont="1" applyAlignment="1" applyProtection="1">
      <alignment horizontal="left" vertical="center"/>
      <protection hidden="1"/>
    </xf>
    <xf numFmtId="0" fontId="0" fillId="25" borderId="68" xfId="254" applyFont="1" applyBorder="1" applyAlignment="1" applyProtection="1">
      <alignment horizontal="center" vertical="center"/>
      <protection hidden="1"/>
    </xf>
    <xf numFmtId="0" fontId="0" fillId="25" borderId="68" xfId="254" applyFont="1" applyBorder="1" applyAlignment="1" applyProtection="1">
      <alignment horizontal="center" vertical="center" wrapText="1"/>
      <protection hidden="1"/>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80" fillId="0" borderId="0" xfId="0" applyFont="1" applyAlignment="1" applyProtection="1">
      <alignment horizontal="left" vertical="center"/>
      <protection hidden="1"/>
    </xf>
    <xf numFmtId="0" fontId="7" fillId="31" borderId="0" xfId="0" applyFont="1" applyFill="1" applyAlignment="1" applyProtection="1">
      <alignment vertical="center" wrapText="1"/>
      <protection locked="0"/>
    </xf>
    <xf numFmtId="0" fontId="0" fillId="32" borderId="12" xfId="222" applyFont="1" applyFill="1" applyAlignment="1" applyProtection="1">
      <alignment horizontal="left" vertical="center" wrapText="1"/>
      <protection hidden="1"/>
    </xf>
    <xf numFmtId="0" fontId="0" fillId="32" borderId="12" xfId="222" applyFont="1" applyFill="1" applyAlignment="1" applyProtection="1">
      <alignment horizontal="center" vertical="center" wrapText="1"/>
      <protection hidden="1"/>
    </xf>
    <xf numFmtId="0" fontId="0" fillId="32" borderId="12" xfId="222" applyFont="1" applyFill="1" applyAlignment="1" applyProtection="1">
      <alignment horizontal="left" vertical="center"/>
      <protection hidden="1"/>
    </xf>
    <xf numFmtId="0" fontId="15" fillId="32" borderId="12" xfId="222" applyFont="1" applyFill="1" applyAlignment="1" applyProtection="1">
      <alignment horizontal="center" vertical="center"/>
      <protection hidden="1"/>
    </xf>
    <xf numFmtId="0" fontId="0" fillId="30" borderId="12" xfId="222" applyFont="1" applyFill="1" applyAlignment="1" applyProtection="1">
      <alignment horizontal="center" vertical="center"/>
      <protection hidden="1"/>
    </xf>
    <xf numFmtId="0" fontId="0" fillId="30" borderId="12" xfId="222" applyFont="1" applyFill="1" applyAlignment="1" applyProtection="1">
      <alignment horizontal="left" vertical="center"/>
      <protection hidden="1"/>
    </xf>
    <xf numFmtId="0" fontId="15" fillId="30" borderId="12" xfId="222" applyFont="1" applyFill="1" applyAlignment="1" applyProtection="1">
      <alignment horizontal="center" vertical="center"/>
      <protection hidden="1"/>
    </xf>
    <xf numFmtId="0" fontId="0" fillId="30" borderId="23" xfId="222" applyFont="1" applyFill="1" applyBorder="1" applyAlignment="1" applyProtection="1">
      <alignment horizontal="center" vertical="center"/>
      <protection hidden="1"/>
    </xf>
    <xf numFmtId="0" fontId="0" fillId="30" borderId="23" xfId="222" applyFont="1" applyFill="1" applyBorder="1" applyAlignment="1" applyProtection="1">
      <alignment horizontal="left" vertical="center"/>
      <protection hidden="1"/>
    </xf>
    <xf numFmtId="0" fontId="15" fillId="30" borderId="23" xfId="222"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5" fillId="31" borderId="17" xfId="0" applyFont="1" applyFill="1" applyBorder="1" applyAlignment="1" applyProtection="1">
      <alignment horizontal="left" vertical="center" wrapText="1"/>
      <protection hidden="1"/>
    </xf>
    <xf numFmtId="0" fontId="7" fillId="31" borderId="17" xfId="0" applyFont="1" applyFill="1" applyBorder="1" applyAlignment="1" applyProtection="1">
      <alignment horizontal="left" vertical="center" wrapText="1"/>
      <protection hidden="1"/>
    </xf>
    <xf numFmtId="0" fontId="7" fillId="31" borderId="17" xfId="0" applyFont="1" applyFill="1" applyBorder="1" applyAlignment="1" applyProtection="1">
      <alignment vertical="center" wrapText="1"/>
      <protection hidden="1"/>
    </xf>
    <xf numFmtId="0" fontId="39" fillId="19" borderId="17" xfId="222" applyBorder="1" applyAlignment="1" applyProtection="1">
      <alignment horizontal="center" vertical="center"/>
      <protection hidden="1"/>
    </xf>
    <xf numFmtId="0" fontId="39" fillId="19" borderId="17" xfId="222" applyBorder="1" applyAlignment="1" applyProtection="1">
      <alignment horizontal="left" vertical="center"/>
      <protection hidden="1"/>
    </xf>
    <xf numFmtId="0" fontId="39" fillId="19" borderId="19" xfId="222" applyBorder="1" applyAlignment="1" applyProtection="1">
      <alignment horizontal="center" vertical="center"/>
      <protection hidden="1"/>
    </xf>
    <xf numFmtId="0" fontId="39" fillId="19" borderId="12" xfId="222" applyAlignment="1" applyProtection="1">
      <alignment horizontal="center" vertical="center"/>
      <protection hidden="1"/>
    </xf>
    <xf numFmtId="0" fontId="39" fillId="19" borderId="12" xfId="222" applyAlignment="1" applyProtection="1">
      <alignment horizontal="left" vertical="center"/>
      <protection hidden="1"/>
    </xf>
    <xf numFmtId="0" fontId="39" fillId="19" borderId="1" xfId="222" applyBorder="1" applyAlignment="1" applyProtection="1">
      <alignment horizontal="center" vertical="center"/>
      <protection hidden="1"/>
    </xf>
    <xf numFmtId="0" fontId="39" fillId="19" borderId="12" xfId="222" applyProtection="1">
      <alignment vertical="center"/>
      <protection hidden="1"/>
    </xf>
    <xf numFmtId="0" fontId="39" fillId="19" borderId="23" xfId="222" applyBorder="1" applyAlignment="1" applyProtection="1">
      <alignment horizontal="center" vertical="center"/>
      <protection hidden="1"/>
    </xf>
    <xf numFmtId="0" fontId="39" fillId="19" borderId="40" xfId="222" applyBorder="1" applyAlignment="1" applyProtection="1">
      <alignment horizontal="center" vertical="center"/>
      <protection hidden="1"/>
    </xf>
    <xf numFmtId="0" fontId="0" fillId="25" borderId="18" xfId="254" applyFont="1" applyBorder="1" applyAlignment="1" applyProtection="1">
      <alignment horizontal="center" vertical="center" wrapText="1"/>
      <protection hidden="1"/>
    </xf>
    <xf numFmtId="0" fontId="0" fillId="25" borderId="1" xfId="254" applyFont="1" applyBorder="1" applyAlignment="1" applyProtection="1">
      <alignment horizontal="left" vertical="center" wrapText="1"/>
      <protection hidden="1"/>
    </xf>
    <xf numFmtId="0" fontId="15" fillId="25" borderId="18" xfId="254" applyBorder="1" applyAlignment="1" applyProtection="1">
      <alignment horizontal="center" vertical="center" wrapText="1"/>
      <protection hidden="1"/>
    </xf>
    <xf numFmtId="0" fontId="0" fillId="0" borderId="0" xfId="0" applyAlignment="1" applyProtection="1">
      <alignment vertical="center"/>
      <protection hidden="1"/>
    </xf>
    <xf numFmtId="0" fontId="15" fillId="32" borderId="1" xfId="254" applyFill="1" applyBorder="1" applyAlignment="1" applyProtection="1">
      <alignment horizontal="left" vertical="center" wrapText="1"/>
      <protection hidden="1"/>
    </xf>
    <xf numFmtId="0" fontId="15" fillId="25" borderId="1" xfId="254" applyBorder="1" applyAlignment="1" applyProtection="1">
      <alignment horizontal="left" vertical="center" wrapText="1"/>
      <protection hidden="1"/>
    </xf>
    <xf numFmtId="0" fontId="15" fillId="32" borderId="12" xfId="254" applyFill="1" applyAlignment="1" applyProtection="1">
      <alignment horizontal="center" vertical="center" wrapText="1"/>
      <protection hidden="1"/>
    </xf>
    <xf numFmtId="0" fontId="0" fillId="32" borderId="12" xfId="254" applyFont="1" applyFill="1" applyAlignment="1" applyProtection="1">
      <alignment horizontal="left" vertical="center" wrapText="1"/>
      <protection hidden="1"/>
    </xf>
    <xf numFmtId="1" fontId="15" fillId="25" borderId="12" xfId="254" applyNumberFormat="1" applyAlignment="1" applyProtection="1">
      <alignment horizontal="center" vertical="center" wrapText="1"/>
      <protection hidden="1"/>
    </xf>
    <xf numFmtId="0" fontId="16" fillId="25" borderId="22" xfId="254" applyFont="1" applyBorder="1" applyAlignment="1" applyProtection="1">
      <alignment vertical="center" wrapText="1"/>
      <protection hidden="1"/>
    </xf>
    <xf numFmtId="0" fontId="0" fillId="25" borderId="23" xfId="254" applyFont="1" applyBorder="1" applyAlignment="1" applyProtection="1">
      <alignment vertical="center" wrapText="1"/>
      <protection hidden="1"/>
    </xf>
    <xf numFmtId="1" fontId="15" fillId="25" borderId="12" xfId="254" applyNumberFormat="1" applyAlignment="1" applyProtection="1">
      <alignment horizontal="center" vertical="center"/>
      <protection hidden="1"/>
    </xf>
    <xf numFmtId="0" fontId="15" fillId="25" borderId="12" xfId="254" applyAlignment="1" applyProtection="1">
      <alignment horizontal="left" vertical="center"/>
      <protection hidden="1"/>
    </xf>
    <xf numFmtId="166" fontId="15" fillId="25" borderId="17" xfId="254" applyNumberFormat="1" applyBorder="1" applyAlignment="1" applyProtection="1">
      <alignment horizontal="center" vertical="center"/>
      <protection hidden="1"/>
    </xf>
    <xf numFmtId="0" fontId="0" fillId="25" borderId="17" xfId="254" applyFont="1" applyBorder="1" applyAlignment="1" applyProtection="1">
      <alignment horizontal="center" vertical="center"/>
      <protection hidden="1"/>
    </xf>
    <xf numFmtId="0" fontId="0" fillId="25" borderId="23" xfId="254" applyFont="1" applyBorder="1" applyAlignment="1" applyProtection="1">
      <alignment horizontal="left" vertical="center"/>
      <protection hidden="1"/>
    </xf>
    <xf numFmtId="0" fontId="16" fillId="25" borderId="22" xfId="254" applyFont="1" applyBorder="1" applyAlignment="1" applyProtection="1">
      <alignment horizontal="left" vertical="center"/>
      <protection hidden="1"/>
    </xf>
    <xf numFmtId="0" fontId="0" fillId="25" borderId="23" xfId="254" applyFont="1" applyBorder="1" applyAlignment="1" applyProtection="1">
      <alignment horizontal="left" vertical="center" wrapText="1"/>
      <protection hidden="1"/>
    </xf>
    <xf numFmtId="1" fontId="15" fillId="25" borderId="23" xfId="254" applyNumberFormat="1" applyBorder="1" applyAlignment="1" applyProtection="1">
      <alignment horizontal="center" vertical="center"/>
      <protection hidden="1"/>
    </xf>
    <xf numFmtId="0" fontId="0" fillId="25" borderId="23" xfId="254" applyFont="1" applyBorder="1" applyAlignment="1" applyProtection="1">
      <alignment horizontal="center" vertical="center"/>
      <protection hidden="1"/>
    </xf>
    <xf numFmtId="0" fontId="80" fillId="4" borderId="0" xfId="0" applyFont="1" applyFill="1" applyAlignment="1" applyProtection="1">
      <alignment horizontal="center" vertical="center" wrapText="1"/>
      <protection locked="0"/>
    </xf>
    <xf numFmtId="0" fontId="80" fillId="4" borderId="0" xfId="0" applyFont="1" applyFill="1" applyAlignment="1" applyProtection="1">
      <alignment horizontal="left" vertical="center" wrapText="1"/>
      <protection locked="0"/>
    </xf>
    <xf numFmtId="0" fontId="85" fillId="31" borderId="0" xfId="0" applyFont="1" applyFill="1" applyAlignment="1" applyProtection="1">
      <alignment horizontal="center" vertical="center" wrapText="1"/>
      <protection locked="0"/>
    </xf>
    <xf numFmtId="0" fontId="85" fillId="31" borderId="0" xfId="0" applyFont="1" applyFill="1" applyAlignment="1" applyProtection="1">
      <alignment horizontal="left" vertical="center" wrapText="1"/>
      <protection locked="0"/>
    </xf>
    <xf numFmtId="0" fontId="16" fillId="25" borderId="21" xfId="254" applyFont="1" applyBorder="1" applyAlignment="1" applyProtection="1">
      <alignment horizontal="left" vertical="center" wrapText="1"/>
      <protection hidden="1"/>
    </xf>
    <xf numFmtId="0" fontId="0" fillId="25" borderId="17" xfId="254" applyFont="1" applyBorder="1" applyAlignment="1" applyProtection="1">
      <alignment horizontal="left" vertical="top" wrapText="1"/>
      <protection hidden="1"/>
    </xf>
    <xf numFmtId="0" fontId="15" fillId="25" borderId="17" xfId="254" applyBorder="1" applyAlignment="1" applyProtection="1">
      <alignment horizontal="left" vertical="center" wrapText="1"/>
      <protection hidden="1"/>
    </xf>
    <xf numFmtId="0" fontId="0" fillId="25" borderId="12" xfId="254" applyFont="1" applyAlignment="1" applyProtection="1">
      <alignment horizontal="left" vertical="top" wrapText="1"/>
      <protection hidden="1"/>
    </xf>
    <xf numFmtId="0" fontId="16" fillId="25" borderId="22" xfId="254" applyFont="1" applyBorder="1" applyAlignment="1" applyProtection="1">
      <alignment horizontal="left" vertical="center" wrapText="1"/>
      <protection hidden="1"/>
    </xf>
    <xf numFmtId="0" fontId="0" fillId="25" borderId="23" xfId="254" applyFont="1" applyBorder="1" applyAlignment="1" applyProtection="1">
      <alignment horizontal="left" vertical="top" wrapText="1"/>
      <protection hidden="1"/>
    </xf>
    <xf numFmtId="0" fontId="15" fillId="25" borderId="23" xfId="254" applyBorder="1" applyAlignment="1" applyProtection="1">
      <alignment horizontal="left" vertical="center" wrapText="1"/>
      <protection hidden="1"/>
    </xf>
    <xf numFmtId="0" fontId="7" fillId="20" borderId="0" xfId="223" applyAlignment="1" applyProtection="1">
      <alignment horizontal="left" vertical="center" wrapText="1"/>
      <protection locked="0" hidden="1"/>
    </xf>
    <xf numFmtId="0" fontId="7" fillId="0" borderId="0" xfId="223" applyFill="1" applyAlignment="1" applyProtection="1">
      <alignment horizontal="left" vertical="center" wrapText="1"/>
      <protection hidden="1"/>
    </xf>
    <xf numFmtId="0" fontId="7" fillId="0" borderId="0" xfId="223" applyFill="1" applyProtection="1">
      <alignment horizontal="center" vertical="center" wrapText="1"/>
      <protection hidden="1"/>
    </xf>
    <xf numFmtId="0" fontId="7" fillId="20" borderId="0" xfId="223" applyAlignment="1" applyProtection="1">
      <alignment horizontal="left" vertical="center" wrapText="1"/>
      <protection hidden="1"/>
    </xf>
    <xf numFmtId="0" fontId="16" fillId="32" borderId="0" xfId="0" applyFont="1" applyFill="1" applyAlignment="1" applyProtection="1">
      <alignment horizontal="center" vertical="center"/>
      <protection hidden="1"/>
    </xf>
    <xf numFmtId="0" fontId="80" fillId="0" borderId="0" xfId="0" applyFont="1" applyAlignment="1" applyProtection="1">
      <alignment horizontal="right" vertical="center"/>
      <protection hidden="1"/>
    </xf>
    <xf numFmtId="0" fontId="86" fillId="20" borderId="0" xfId="0" applyFont="1" applyFill="1" applyAlignment="1" applyProtection="1">
      <alignment horizontal="center" vertical="center"/>
      <protection hidden="1"/>
    </xf>
    <xf numFmtId="0" fontId="16" fillId="20" borderId="0" xfId="0" applyFont="1" applyFill="1" applyAlignment="1" applyProtection="1">
      <alignment horizontal="center" vertical="center"/>
      <protection hidden="1"/>
    </xf>
    <xf numFmtId="0" fontId="16" fillId="0" borderId="0" xfId="0" applyFont="1" applyAlignment="1" applyProtection="1">
      <alignment horizontal="center"/>
      <protection hidden="1"/>
    </xf>
    <xf numFmtId="0" fontId="87" fillId="0" borderId="0" xfId="0" applyFont="1" applyProtection="1">
      <protection locked="0" hidden="1"/>
    </xf>
    <xf numFmtId="0" fontId="88" fillId="0" borderId="0" xfId="0" applyFont="1" applyAlignment="1" applyProtection="1">
      <alignment horizontal="center" vertical="center"/>
      <protection hidden="1"/>
    </xf>
    <xf numFmtId="0" fontId="16" fillId="22" borderId="0" xfId="0" applyFont="1" applyFill="1" applyAlignment="1" applyProtection="1">
      <alignment horizontal="center" vertical="center"/>
      <protection hidden="1"/>
    </xf>
    <xf numFmtId="0" fontId="7" fillId="20" borderId="0" xfId="0" applyFont="1" applyFill="1" applyAlignment="1" applyProtection="1">
      <alignment horizontal="center" vertical="center" wrapText="1"/>
      <protection locked="0" hidden="1"/>
    </xf>
    <xf numFmtId="0" fontId="89" fillId="0" borderId="0" xfId="0" applyFont="1" applyProtection="1">
      <protection hidden="1"/>
    </xf>
    <xf numFmtId="0" fontId="7" fillId="23" borderId="0" xfId="0" applyFont="1" applyFill="1" applyAlignment="1" applyProtection="1">
      <alignment horizontal="center" vertical="center" wrapText="1"/>
      <protection hidden="1"/>
    </xf>
    <xf numFmtId="0" fontId="0" fillId="52" borderId="12" xfId="247" applyFont="1" applyFill="1" applyAlignment="1" applyProtection="1">
      <alignment horizontal="center" vertical="center"/>
      <protection locked="0" hidden="1"/>
    </xf>
    <xf numFmtId="0" fontId="16" fillId="52" borderId="18" xfId="247" applyFont="1" applyFill="1" applyBorder="1" applyAlignment="1" applyProtection="1">
      <alignment horizontal="left" vertical="center" wrapText="1"/>
      <protection hidden="1"/>
    </xf>
    <xf numFmtId="0" fontId="0" fillId="52" borderId="12" xfId="247" applyFont="1" applyFill="1" applyAlignment="1" applyProtection="1">
      <alignment horizontal="left" vertical="center" wrapText="1"/>
      <protection hidden="1"/>
    </xf>
    <xf numFmtId="1" fontId="0" fillId="52" borderId="17" xfId="247" applyNumberFormat="1" applyFont="1" applyFill="1" applyBorder="1" applyAlignment="1" applyProtection="1">
      <alignment horizontal="center" vertical="center"/>
      <protection hidden="1"/>
    </xf>
    <xf numFmtId="0" fontId="0" fillId="52" borderId="12" xfId="247" applyFont="1" applyFill="1" applyAlignment="1" applyProtection="1">
      <alignment horizontal="center" vertical="center"/>
      <protection hidden="1"/>
    </xf>
    <xf numFmtId="0" fontId="92" fillId="52" borderId="30" xfId="256" applyFill="1" applyBorder="1" applyProtection="1">
      <protection hidden="1"/>
    </xf>
    <xf numFmtId="166" fontId="0" fillId="52" borderId="17" xfId="247" applyNumberFormat="1" applyFont="1" applyFill="1" applyBorder="1" applyAlignment="1" applyProtection="1">
      <alignment horizontal="center" vertical="center"/>
      <protection hidden="1"/>
    </xf>
    <xf numFmtId="0" fontId="0" fillId="52" borderId="17"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center" vertical="center" wrapText="1"/>
      <protection hidden="1"/>
    </xf>
    <xf numFmtId="166" fontId="15" fillId="52" borderId="12" xfId="247" applyNumberFormat="1" applyFill="1" applyAlignment="1" applyProtection="1">
      <alignment horizontal="center" vertical="center"/>
      <protection hidden="1"/>
    </xf>
    <xf numFmtId="0" fontId="15" fillId="52" borderId="12" xfId="247" applyFill="1" applyAlignment="1" applyProtection="1">
      <alignment horizontal="left" vertical="center" wrapText="1"/>
      <protection hidden="1"/>
    </xf>
    <xf numFmtId="0" fontId="15" fillId="52" borderId="12" xfId="247" applyFill="1" applyAlignment="1" applyProtection="1">
      <alignment horizontal="center" vertical="center"/>
      <protection hidden="1"/>
    </xf>
    <xf numFmtId="0" fontId="16" fillId="52" borderId="18" xfId="247" applyFont="1" applyFill="1" applyBorder="1" applyAlignment="1" applyProtection="1">
      <alignment vertical="center" wrapText="1"/>
      <protection hidden="1"/>
    </xf>
    <xf numFmtId="0" fontId="0" fillId="52" borderId="12" xfId="247" applyFont="1" applyFill="1" applyAlignment="1" applyProtection="1">
      <alignment vertical="center" wrapText="1"/>
      <protection hidden="1"/>
    </xf>
    <xf numFmtId="1" fontId="0" fillId="52" borderId="12" xfId="247" applyNumberFormat="1" applyFont="1" applyFill="1" applyAlignment="1" applyProtection="1">
      <alignment horizontal="center" vertical="center"/>
      <protection hidden="1"/>
    </xf>
    <xf numFmtId="166" fontId="0" fillId="52" borderId="12" xfId="247" applyNumberFormat="1" applyFont="1" applyFill="1" applyAlignment="1" applyProtection="1">
      <alignment horizontal="center" vertical="center"/>
      <protection hidden="1"/>
    </xf>
    <xf numFmtId="0" fontId="0" fillId="52" borderId="12" xfId="247" applyFont="1" applyFill="1" applyAlignment="1" applyProtection="1">
      <alignment horizontal="center" vertical="center" wrapText="1"/>
      <protection hidden="1"/>
    </xf>
    <xf numFmtId="0" fontId="0" fillId="52" borderId="1" xfId="247" applyFont="1" applyFill="1" applyBorder="1" applyAlignment="1" applyProtection="1">
      <alignment horizontal="center" vertical="center"/>
      <protection hidden="1"/>
    </xf>
    <xf numFmtId="166" fontId="0" fillId="52" borderId="23" xfId="247" applyNumberFormat="1" applyFont="1" applyFill="1" applyBorder="1" applyAlignment="1" applyProtection="1">
      <alignment horizontal="center" vertical="center"/>
      <protection hidden="1"/>
    </xf>
    <xf numFmtId="0" fontId="0" fillId="52" borderId="23" xfId="247" applyFont="1" applyFill="1" applyBorder="1" applyAlignment="1" applyProtection="1">
      <alignment horizontal="left" vertical="center"/>
      <protection hidden="1"/>
    </xf>
    <xf numFmtId="0" fontId="0" fillId="52" borderId="68" xfId="247" applyFont="1" applyFill="1" applyBorder="1" applyAlignment="1" applyProtection="1">
      <alignment horizontal="center" vertical="center" wrapText="1"/>
      <protection hidden="1"/>
    </xf>
    <xf numFmtId="0" fontId="93" fillId="20" borderId="23" xfId="223" applyFont="1" applyBorder="1" applyProtection="1">
      <alignment horizontal="center" vertical="center" wrapText="1"/>
      <protection hidden="1"/>
    </xf>
    <xf numFmtId="0" fontId="0" fillId="24" borderId="0" xfId="0" applyFill="1" applyProtection="1">
      <protection hidden="1"/>
    </xf>
    <xf numFmtId="0" fontId="87" fillId="0" borderId="0" xfId="0" applyFont="1" applyAlignment="1" applyProtection="1">
      <alignment vertical="center"/>
      <protection locked="0" hidden="1"/>
    </xf>
    <xf numFmtId="0" fontId="0" fillId="0" borderId="0" xfId="0" applyAlignment="1" applyProtection="1">
      <alignment vertical="center"/>
      <protection locked="0" hidden="1"/>
    </xf>
    <xf numFmtId="0" fontId="0" fillId="53" borderId="0" xfId="0" applyFill="1" applyProtection="1">
      <protection locked="0" hidden="1"/>
    </xf>
    <xf numFmtId="0" fontId="15" fillId="52" borderId="12" xfId="247" applyFill="1" applyAlignment="1" applyProtection="1">
      <alignment horizontal="left" vertical="center"/>
      <protection hidden="1"/>
    </xf>
    <xf numFmtId="0" fontId="0" fillId="52" borderId="12" xfId="247" applyFont="1" applyFill="1" applyAlignment="1" applyProtection="1">
      <alignment horizontal="left" vertical="center"/>
      <protection hidden="1"/>
    </xf>
    <xf numFmtId="0" fontId="0" fillId="52" borderId="68" xfId="247" applyFont="1" applyFill="1" applyBorder="1" applyAlignment="1" applyProtection="1">
      <alignment horizontal="center" vertical="center"/>
      <protection hidden="1"/>
    </xf>
    <xf numFmtId="0" fontId="0" fillId="52" borderId="23" xfId="247" applyFont="1" applyFill="1" applyBorder="1" applyAlignment="1" applyProtection="1">
      <alignment horizontal="left" vertical="center" wrapText="1"/>
      <protection hidden="1"/>
    </xf>
    <xf numFmtId="1" fontId="0" fillId="52" borderId="23" xfId="247" applyNumberFormat="1" applyFont="1" applyFill="1" applyBorder="1" applyAlignment="1" applyProtection="1">
      <alignment horizontal="center" vertical="center"/>
      <protection hidden="1"/>
    </xf>
    <xf numFmtId="0" fontId="0" fillId="52" borderId="23" xfId="247" applyFont="1" applyFill="1" applyBorder="1" applyAlignment="1" applyProtection="1">
      <alignment horizontal="center" vertical="center"/>
      <protection hidden="1"/>
    </xf>
    <xf numFmtId="0" fontId="7" fillId="23" borderId="17" xfId="0" applyFont="1" applyFill="1" applyBorder="1" applyAlignment="1" applyProtection="1">
      <alignment horizontal="center" vertical="center" wrapText="1"/>
      <protection hidden="1"/>
    </xf>
    <xf numFmtId="166" fontId="0" fillId="52" borderId="12" xfId="247" applyNumberFormat="1" applyFont="1" applyFill="1" applyAlignment="1" applyProtection="1">
      <alignment horizontal="left" vertical="center"/>
      <protection hidden="1"/>
    </xf>
    <xf numFmtId="166" fontId="0" fillId="52" borderId="12" xfId="247" applyNumberFormat="1" applyFont="1" applyFill="1" applyAlignment="1" applyProtection="1">
      <alignment horizontal="left" vertical="center" indent="3"/>
      <protection hidden="1"/>
    </xf>
    <xf numFmtId="1" fontId="7" fillId="20" borderId="23" xfId="223" applyNumberFormat="1" applyBorder="1" applyProtection="1">
      <alignment horizontal="center" vertical="center" wrapText="1"/>
      <protection hidden="1"/>
    </xf>
    <xf numFmtId="0" fontId="94" fillId="0" borderId="0" xfId="0" applyFont="1" applyProtection="1">
      <protection hidden="1"/>
    </xf>
    <xf numFmtId="0" fontId="85" fillId="23" borderId="17" xfId="0" applyFont="1" applyFill="1" applyBorder="1" applyAlignment="1" applyProtection="1">
      <alignment horizontal="left" vertical="center" wrapText="1"/>
      <protection hidden="1"/>
    </xf>
    <xf numFmtId="0" fontId="7" fillId="23" borderId="17" xfId="0" applyFont="1" applyFill="1" applyBorder="1" applyAlignment="1" applyProtection="1">
      <alignment horizontal="left" vertical="center" wrapText="1"/>
      <protection hidden="1"/>
    </xf>
    <xf numFmtId="0" fontId="7" fillId="23" borderId="17" xfId="0" applyFont="1" applyFill="1" applyBorder="1" applyAlignment="1" applyProtection="1">
      <alignment vertical="center" wrapText="1"/>
      <protection hidden="1"/>
    </xf>
    <xf numFmtId="0" fontId="94" fillId="0" borderId="0" xfId="0" applyFont="1" applyAlignment="1" applyProtection="1">
      <alignment vertical="center"/>
      <protection hidden="1"/>
    </xf>
    <xf numFmtId="0" fontId="0" fillId="52" borderId="12" xfId="247" applyFont="1" applyFill="1" applyAlignment="1" applyProtection="1">
      <alignment horizontal="left" vertical="center"/>
      <protection locked="0" hidden="1"/>
    </xf>
    <xf numFmtId="0" fontId="87" fillId="52" borderId="12" xfId="222" applyFont="1" applyFill="1" applyAlignment="1" applyProtection="1">
      <alignment horizontal="center" vertical="center"/>
      <protection hidden="1"/>
    </xf>
    <xf numFmtId="0" fontId="87" fillId="52" borderId="17" xfId="222" applyFont="1" applyFill="1" applyBorder="1" applyAlignment="1" applyProtection="1">
      <alignment horizontal="left" vertical="center"/>
      <protection hidden="1"/>
    </xf>
    <xf numFmtId="0" fontId="87" fillId="52" borderId="19" xfId="222" applyFont="1" applyFill="1" applyBorder="1" applyAlignment="1" applyProtection="1">
      <alignment horizontal="center" vertical="center"/>
      <protection hidden="1"/>
    </xf>
    <xf numFmtId="0" fontId="87" fillId="0" borderId="0" xfId="0" applyFont="1" applyAlignment="1" applyProtection="1">
      <alignment horizontal="right" vertical="center"/>
      <protection locked="0" hidden="1"/>
    </xf>
    <xf numFmtId="0" fontId="0" fillId="0" borderId="0" xfId="0" applyAlignment="1" applyProtection="1">
      <alignment horizontal="center" vertical="center"/>
      <protection locked="0" hidden="1"/>
    </xf>
    <xf numFmtId="0" fontId="87" fillId="52" borderId="12" xfId="222" applyFont="1" applyFill="1" applyAlignment="1" applyProtection="1">
      <alignment horizontal="left" vertical="center"/>
      <protection hidden="1"/>
    </xf>
    <xf numFmtId="0" fontId="87" fillId="52" borderId="1" xfId="222" applyFont="1" applyFill="1" applyBorder="1" applyAlignment="1" applyProtection="1">
      <alignment horizontal="center" vertical="center"/>
      <protection hidden="1"/>
    </xf>
    <xf numFmtId="0" fontId="7" fillId="23" borderId="17" xfId="0" applyFont="1" applyFill="1" applyBorder="1" applyAlignment="1">
      <alignment horizontal="left" vertical="center" wrapText="1"/>
    </xf>
    <xf numFmtId="0" fontId="15" fillId="52" borderId="12" xfId="247" applyFill="1" applyAlignment="1" applyProtection="1">
      <alignment horizontal="center" vertical="center" wrapText="1"/>
      <protection hidden="1"/>
    </xf>
    <xf numFmtId="0" fontId="16" fillId="52" borderId="18" xfId="247" applyFont="1" applyFill="1" applyBorder="1" applyAlignment="1" applyProtection="1">
      <alignment horizontal="left" vertical="center"/>
      <protection hidden="1"/>
    </xf>
    <xf numFmtId="1" fontId="15" fillId="52" borderId="12" xfId="247" applyNumberFormat="1" applyFill="1" applyAlignment="1" applyProtection="1">
      <alignment horizontal="center" vertical="center"/>
      <protection hidden="1"/>
    </xf>
    <xf numFmtId="0" fontId="0" fillId="0" borderId="26" xfId="0" applyBorder="1" applyAlignment="1" applyProtection="1">
      <alignment vertical="center" wrapText="1"/>
      <protection locked="0" hidden="1"/>
    </xf>
    <xf numFmtId="0" fontId="0" fillId="52" borderId="0" xfId="0" applyFill="1" applyProtection="1">
      <protection locked="0" hidden="1"/>
    </xf>
    <xf numFmtId="0" fontId="16" fillId="52" borderId="22" xfId="247" applyFont="1" applyFill="1" applyBorder="1" applyAlignment="1" applyProtection="1">
      <alignment horizontal="left" vertical="center"/>
      <protection hidden="1"/>
    </xf>
    <xf numFmtId="1" fontId="15" fillId="52" borderId="23" xfId="247" applyNumberFormat="1" applyFill="1" applyBorder="1" applyAlignment="1" applyProtection="1">
      <alignment horizontal="center" vertical="center"/>
      <protection hidden="1"/>
    </xf>
    <xf numFmtId="0" fontId="15" fillId="52" borderId="23" xfId="247" applyFill="1" applyBorder="1" applyAlignment="1" applyProtection="1">
      <alignment horizontal="left" vertical="center"/>
      <protection hidden="1"/>
    </xf>
    <xf numFmtId="0" fontId="85" fillId="23" borderId="17" xfId="0" applyFont="1" applyFill="1" applyBorder="1" applyAlignment="1" applyProtection="1">
      <alignment horizontal="center" vertical="center" wrapText="1"/>
      <protection hidden="1"/>
    </xf>
    <xf numFmtId="0" fontId="16" fillId="52" borderId="21"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left" vertical="top" wrapText="1"/>
      <protection hidden="1"/>
    </xf>
    <xf numFmtId="0" fontId="0" fillId="52" borderId="17" xfId="247" applyFont="1" applyFill="1" applyBorder="1" applyAlignment="1" applyProtection="1">
      <alignment horizontal="center" vertical="center"/>
      <protection hidden="1"/>
    </xf>
    <xf numFmtId="0" fontId="15" fillId="52" borderId="17" xfId="247" applyFill="1" applyBorder="1" applyAlignment="1" applyProtection="1">
      <alignment horizontal="left" vertical="center" wrapText="1"/>
      <protection hidden="1"/>
    </xf>
    <xf numFmtId="0" fontId="0" fillId="52" borderId="12" xfId="247" applyFont="1" applyFill="1" applyAlignment="1" applyProtection="1">
      <alignment horizontal="left" vertical="top" wrapText="1"/>
      <protection hidden="1"/>
    </xf>
    <xf numFmtId="0" fontId="16" fillId="52" borderId="22" xfId="247" applyFont="1"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top" wrapText="1"/>
      <protection hidden="1"/>
    </xf>
    <xf numFmtId="0" fontId="15" fillId="52" borderId="23" xfId="247" applyFill="1" applyBorder="1" applyAlignment="1" applyProtection="1">
      <alignment horizontal="left" vertical="center" wrapText="1"/>
      <protection hidden="1"/>
    </xf>
    <xf numFmtId="0" fontId="7" fillId="20" borderId="0" xfId="223" applyProtection="1">
      <alignment horizontal="center" vertical="center" wrapText="1"/>
      <protection locked="0" hidden="1"/>
    </xf>
    <xf numFmtId="0" fontId="7" fillId="0" borderId="0" xfId="223" applyFill="1" applyAlignment="1" applyProtection="1">
      <alignment vertical="center" wrapText="1"/>
      <protection hidden="1"/>
    </xf>
    <xf numFmtId="0" fontId="90" fillId="0" borderId="0" xfId="0" applyFont="1" applyAlignment="1" applyProtection="1">
      <alignment wrapText="1"/>
      <protection locked="0" hidden="1"/>
    </xf>
    <xf numFmtId="0" fontId="90" fillId="0" borderId="0" xfId="0" applyFont="1" applyAlignment="1" applyProtection="1">
      <alignment horizontal="left" vertical="center" wrapText="1"/>
      <protection hidden="1"/>
    </xf>
    <xf numFmtId="0" fontId="90" fillId="0" borderId="0" xfId="0" applyFont="1" applyAlignment="1" applyProtection="1">
      <alignment horizontal="center" vertical="center" wrapText="1"/>
      <protection hidden="1"/>
    </xf>
    <xf numFmtId="0" fontId="90" fillId="0" borderId="0" xfId="0" applyFont="1" applyAlignment="1" applyProtection="1">
      <alignment wrapText="1"/>
      <protection hidden="1"/>
    </xf>
    <xf numFmtId="0" fontId="6" fillId="22" borderId="0" xfId="0" applyFont="1" applyFill="1" applyAlignment="1" applyProtection="1">
      <alignment horizontal="center" vertical="center"/>
      <protection hidden="1"/>
    </xf>
    <xf numFmtId="0" fontId="6" fillId="0" borderId="32" xfId="0" applyFont="1" applyBorder="1" applyProtection="1">
      <protection locked="0" hidden="1"/>
    </xf>
    <xf numFmtId="0" fontId="52" fillId="30" borderId="15" xfId="226" applyFont="1" applyFill="1" applyBorder="1" applyAlignment="1" applyProtection="1">
      <alignment horizontal="left" vertical="center" wrapText="1"/>
      <protection locked="0" hidden="1"/>
    </xf>
    <xf numFmtId="0" fontId="6" fillId="30" borderId="23" xfId="226" applyFont="1" applyFill="1" applyBorder="1" applyAlignment="1" applyProtection="1">
      <alignment horizontal="left" vertical="center" wrapText="1"/>
      <protection hidden="1"/>
    </xf>
    <xf numFmtId="0" fontId="6" fillId="30" borderId="17" xfId="226" applyFont="1" applyFill="1" applyBorder="1" applyAlignment="1" applyProtection="1">
      <alignment horizontal="left" vertical="center" wrapText="1"/>
      <protection hidden="1"/>
    </xf>
    <xf numFmtId="14" fontId="1" fillId="0" borderId="30" xfId="0" applyNumberFormat="1" applyFont="1" applyBorder="1" applyAlignment="1">
      <alignment horizontal="center" vertical="center"/>
    </xf>
    <xf numFmtId="0" fontId="1" fillId="0" borderId="0" xfId="0" applyFont="1" applyAlignment="1">
      <alignment vertical="center"/>
    </xf>
    <xf numFmtId="14" fontId="1" fillId="0" borderId="30" xfId="0" applyNumberFormat="1" applyFont="1" applyBorder="1" applyAlignment="1">
      <alignment horizontal="left" vertical="center" wrapText="1"/>
    </xf>
    <xf numFmtId="0" fontId="1" fillId="0" borderId="0" xfId="0" applyFont="1"/>
    <xf numFmtId="164" fontId="6" fillId="4" borderId="2" xfId="0" applyNumberFormat="1" applyFont="1" applyFill="1" applyBorder="1" applyAlignment="1" applyProtection="1">
      <alignment horizontal="center" vertical="center" wrapText="1"/>
      <protection locked="0" hidden="1"/>
    </xf>
    <xf numFmtId="164" fontId="6" fillId="4" borderId="2" xfId="0" applyNumberFormat="1" applyFont="1" applyFill="1" applyBorder="1" applyAlignment="1" applyProtection="1">
      <alignment horizontal="center" vertical="center" wrapText="1"/>
      <protection hidden="1"/>
    </xf>
    <xf numFmtId="165" fontId="6" fillId="0" borderId="0" xfId="0" applyNumberFormat="1" applyFont="1" applyAlignment="1" applyProtection="1">
      <alignment horizontal="center" vertical="center"/>
      <protection hidden="1"/>
    </xf>
    <xf numFmtId="0" fontId="6" fillId="30" borderId="22" xfId="226" applyFont="1" applyFill="1" applyBorder="1" applyAlignment="1" applyProtection="1">
      <alignment horizontal="left" vertical="center" wrapText="1"/>
      <protection hidden="1"/>
    </xf>
    <xf numFmtId="164" fontId="6" fillId="0" borderId="2" xfId="0" applyNumberFormat="1" applyFont="1" applyBorder="1" applyAlignment="1" applyProtection="1">
      <alignment horizontal="center" vertical="center" wrapText="1"/>
      <protection locked="0" hidden="1"/>
    </xf>
    <xf numFmtId="164" fontId="6" fillId="30" borderId="2" xfId="226" applyNumberFormat="1" applyFont="1" applyFill="1" applyBorder="1" applyAlignment="1" applyProtection="1">
      <alignment horizontal="center" vertical="center" wrapText="1"/>
      <protection hidden="1"/>
    </xf>
    <xf numFmtId="164" fontId="6" fillId="30" borderId="26" xfId="226" applyNumberFormat="1" applyFont="1" applyFill="1" applyBorder="1" applyAlignment="1" applyProtection="1">
      <alignment horizontal="center" vertical="center" wrapText="1"/>
      <protection hidden="1"/>
    </xf>
    <xf numFmtId="170" fontId="6" fillId="30" borderId="2" xfId="2" applyNumberFormat="1"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vertical="center" wrapText="1"/>
      <protection hidden="1"/>
    </xf>
    <xf numFmtId="170" fontId="6" fillId="30" borderId="0" xfId="0" applyNumberFormat="1" applyFont="1" applyFill="1" applyAlignment="1" applyProtection="1">
      <alignment horizontal="center" vertical="center"/>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0" fontId="6" fillId="0" borderId="30" xfId="0" applyFont="1" applyBorder="1" applyAlignment="1" applyProtection="1">
      <alignment horizontal="left" vertical="center"/>
      <protection locked="0" hidden="1"/>
    </xf>
    <xf numFmtId="0" fontId="6" fillId="0" borderId="0" xfId="0" applyFont="1" applyProtection="1">
      <protection locked="0" hidden="1"/>
    </xf>
    <xf numFmtId="0" fontId="6" fillId="0" borderId="0" xfId="0" applyFont="1" applyAlignment="1" applyProtection="1">
      <alignment horizontal="left" vertical="center"/>
      <protection locked="0" hidden="1"/>
    </xf>
    <xf numFmtId="0" fontId="1" fillId="0" borderId="0" xfId="0" applyFont="1" applyAlignment="1" applyProtection="1">
      <alignment horizontal="left" vertical="center" wrapText="1"/>
      <protection hidden="1"/>
    </xf>
    <xf numFmtId="0" fontId="6" fillId="4" borderId="2" xfId="0" applyFont="1" applyFill="1" applyBorder="1" applyAlignment="1" applyProtection="1">
      <alignment horizontal="center" vertical="center" wrapText="1"/>
      <protection locked="0" hidden="1"/>
    </xf>
    <xf numFmtId="166" fontId="6" fillId="30" borderId="17" xfId="226" applyNumberFormat="1" applyFont="1" applyFill="1" applyBorder="1" applyAlignment="1" applyProtection="1">
      <alignment horizontal="center" vertical="center"/>
      <protection hidden="1"/>
    </xf>
    <xf numFmtId="0" fontId="6" fillId="4" borderId="0" xfId="0" applyFont="1" applyFill="1" applyAlignment="1" applyProtection="1">
      <alignment horizontal="left" vertical="center" wrapText="1"/>
      <protection hidden="1"/>
    </xf>
    <xf numFmtId="0" fontId="6" fillId="4" borderId="0" xfId="0" applyFont="1" applyFill="1" applyAlignment="1" applyProtection="1">
      <alignment horizontal="center" vertical="center" wrapText="1"/>
      <protection hidden="1"/>
    </xf>
    <xf numFmtId="0" fontId="1" fillId="0" borderId="0" xfId="0" applyFont="1" applyAlignment="1" applyProtection="1">
      <alignment horizontal="left" vertical="center"/>
      <protection hidden="1"/>
    </xf>
    <xf numFmtId="0" fontId="6" fillId="0" borderId="2" xfId="222" applyFont="1" applyFill="1" applyBorder="1" applyAlignment="1" applyProtection="1">
      <alignment horizontal="center" vertical="center" wrapText="1"/>
      <protection locked="0" hidden="1"/>
    </xf>
    <xf numFmtId="0" fontId="6" fillId="30" borderId="17" xfId="226" applyFont="1" applyFill="1" applyBorder="1" applyAlignment="1" applyProtection="1">
      <alignment horizontal="left" vertical="center"/>
      <protection hidden="1"/>
    </xf>
    <xf numFmtId="0" fontId="6" fillId="30" borderId="17" xfId="226" applyFont="1" applyFill="1" applyBorder="1" applyAlignment="1" applyProtection="1">
      <alignment horizontal="center" vertical="center"/>
      <protection hidden="1"/>
    </xf>
    <xf numFmtId="166" fontId="6" fillId="30" borderId="23" xfId="226" applyNumberFormat="1" applyFont="1" applyFill="1" applyBorder="1" applyAlignment="1" applyProtection="1">
      <alignment horizontal="center" vertical="center"/>
      <protection hidden="1"/>
    </xf>
    <xf numFmtId="1" fontId="6" fillId="30" borderId="12" xfId="226" applyNumberFormat="1" applyFont="1" applyFill="1" applyAlignment="1" applyProtection="1">
      <alignment horizontal="center" vertical="center"/>
      <protection hidden="1"/>
    </xf>
    <xf numFmtId="0" fontId="6" fillId="30" borderId="17" xfId="226" applyFont="1" applyFill="1" applyBorder="1" applyAlignment="1" applyProtection="1">
      <alignment horizontal="left" vertical="top" wrapText="1"/>
      <protection hidden="1"/>
    </xf>
    <xf numFmtId="0" fontId="6" fillId="30" borderId="12" xfId="226" applyFont="1" applyFill="1" applyAlignment="1" applyProtection="1">
      <alignment horizontal="left" vertical="top" wrapText="1"/>
      <protection hidden="1"/>
    </xf>
    <xf numFmtId="0" fontId="6" fillId="30" borderId="23" xfId="226" applyFont="1" applyFill="1" applyBorder="1" applyAlignment="1" applyProtection="1">
      <alignment horizontal="left" vertical="top" wrapText="1"/>
      <protection hidden="1"/>
    </xf>
    <xf numFmtId="0" fontId="1" fillId="0" borderId="0" xfId="0" applyFont="1" applyAlignment="1" applyProtection="1">
      <alignment horizontal="right" vertical="center"/>
      <protection hidden="1"/>
    </xf>
    <xf numFmtId="0" fontId="6" fillId="0" borderId="0" xfId="0" applyFont="1" applyAlignment="1" applyProtection="1">
      <alignment horizontal="center" vertical="center"/>
      <protection locked="0" hidden="1"/>
    </xf>
    <xf numFmtId="1" fontId="6" fillId="0" borderId="0" xfId="0" applyNumberFormat="1" applyFont="1" applyAlignment="1" applyProtection="1">
      <alignment horizontal="left" vertical="center"/>
      <protection hidden="1"/>
    </xf>
    <xf numFmtId="0" fontId="1" fillId="0" borderId="32" xfId="0" applyFont="1" applyBorder="1" applyAlignment="1" applyProtection="1">
      <alignment vertical="center"/>
      <protection hidden="1"/>
    </xf>
    <xf numFmtId="0" fontId="1" fillId="24" borderId="0" xfId="0" applyFont="1" applyFill="1" applyAlignment="1" applyProtection="1">
      <alignment vertical="center"/>
      <protection hidden="1"/>
    </xf>
    <xf numFmtId="0" fontId="6" fillId="22" borderId="18" xfId="225" applyFont="1" applyBorder="1" applyAlignment="1" applyProtection="1">
      <alignment horizontal="left" vertical="center" wrapText="1"/>
      <protection hidden="1"/>
    </xf>
    <xf numFmtId="0" fontId="6" fillId="22" borderId="1" xfId="225" applyFont="1" applyBorder="1" applyAlignment="1" applyProtection="1">
      <alignment horizontal="left" vertical="center" wrapText="1"/>
      <protection hidden="1"/>
    </xf>
    <xf numFmtId="164" fontId="6" fillId="0" borderId="2" xfId="0" applyNumberFormat="1" applyFont="1" applyBorder="1" applyAlignment="1" applyProtection="1">
      <alignment horizontal="center" vertical="center"/>
      <protection locked="0" hidden="1"/>
    </xf>
    <xf numFmtId="9" fontId="6" fillId="22" borderId="0" xfId="2" applyFont="1" applyFill="1" applyAlignment="1" applyProtection="1">
      <alignment horizontal="center" vertical="center"/>
      <protection hidden="1"/>
    </xf>
    <xf numFmtId="0" fontId="6" fillId="0" borderId="0" xfId="0" applyFont="1" applyAlignment="1" applyProtection="1">
      <alignment vertical="center"/>
      <protection locked="0" hidden="1"/>
    </xf>
    <xf numFmtId="166" fontId="6" fillId="22" borderId="17" xfId="225" applyNumberFormat="1" applyFont="1" applyBorder="1" applyAlignment="1" applyProtection="1">
      <alignment horizontal="center" vertical="center"/>
      <protection hidden="1"/>
    </xf>
    <xf numFmtId="0" fontId="6" fillId="22" borderId="17" xfId="225" applyFont="1" applyBorder="1" applyAlignment="1" applyProtection="1">
      <alignment horizontal="left" vertical="center" wrapText="1"/>
      <protection hidden="1"/>
    </xf>
    <xf numFmtId="0" fontId="6" fillId="22" borderId="17" xfId="225" applyFont="1" applyBorder="1" applyAlignment="1" applyProtection="1">
      <alignment horizontal="center" vertical="center"/>
      <protection hidden="1"/>
    </xf>
    <xf numFmtId="0" fontId="6" fillId="4" borderId="0" xfId="0" applyFont="1" applyFill="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6" fillId="0" borderId="25" xfId="0" applyFont="1" applyBorder="1" applyProtection="1">
      <protection hidden="1"/>
    </xf>
    <xf numFmtId="0" fontId="1" fillId="0" borderId="62" xfId="0" applyFont="1" applyBorder="1" applyAlignment="1" applyProtection="1">
      <alignment vertical="center" wrapText="1"/>
      <protection hidden="1"/>
    </xf>
    <xf numFmtId="0" fontId="1" fillId="0" borderId="32" xfId="0" applyFont="1" applyBorder="1" applyAlignment="1" applyProtection="1">
      <alignment vertical="center" wrapText="1"/>
      <protection hidden="1"/>
    </xf>
    <xf numFmtId="0" fontId="1" fillId="0" borderId="61" xfId="0" applyFont="1" applyBorder="1" applyAlignment="1" applyProtection="1">
      <alignment vertical="center" wrapText="1"/>
      <protection hidden="1"/>
    </xf>
    <xf numFmtId="0" fontId="6" fillId="0" borderId="0" xfId="0" applyFont="1" applyAlignment="1" applyProtection="1">
      <alignment horizontal="right" vertical="center"/>
      <protection locked="0" hidden="1"/>
    </xf>
    <xf numFmtId="164" fontId="6" fillId="0" borderId="0" xfId="0" applyNumberFormat="1" applyFont="1" applyAlignment="1" applyProtection="1">
      <alignment horizontal="center"/>
      <protection hidden="1"/>
    </xf>
    <xf numFmtId="0" fontId="6" fillId="4" borderId="26" xfId="0" applyFont="1" applyFill="1" applyBorder="1" applyAlignment="1" applyProtection="1">
      <alignment vertical="center" wrapText="1"/>
      <protection locked="0" hidden="1"/>
    </xf>
    <xf numFmtId="0" fontId="6" fillId="0" borderId="2" xfId="222" applyFont="1" applyFill="1" applyBorder="1" applyAlignment="1" applyProtection="1">
      <alignment horizontal="center" vertical="center"/>
      <protection locked="0" hidden="1"/>
    </xf>
    <xf numFmtId="166" fontId="6" fillId="22" borderId="12" xfId="225" applyNumberFormat="1" applyFont="1" applyAlignment="1" applyProtection="1">
      <alignment horizontal="left" vertical="center"/>
      <protection hidden="1"/>
    </xf>
    <xf numFmtId="0" fontId="6" fillId="22" borderId="23" xfId="225" applyFont="1" applyBorder="1" applyAlignment="1" applyProtection="1">
      <alignment vertical="center" wrapText="1"/>
      <protection hidden="1"/>
    </xf>
    <xf numFmtId="0" fontId="6" fillId="0" borderId="18" xfId="0" applyFont="1" applyBorder="1" applyAlignment="1" applyProtection="1">
      <alignment horizontal="center" vertical="center"/>
      <protection locked="0" hidden="1"/>
    </xf>
    <xf numFmtId="0" fontId="6" fillId="22" borderId="17" xfId="225" applyFont="1" applyBorder="1" applyAlignment="1" applyProtection="1">
      <alignment horizontal="left" vertical="top" wrapText="1"/>
      <protection hidden="1"/>
    </xf>
    <xf numFmtId="0" fontId="6" fillId="22" borderId="12" xfId="225" applyFont="1" applyAlignment="1" applyProtection="1">
      <alignment horizontal="left" vertical="top" wrapText="1"/>
      <protection hidden="1"/>
    </xf>
    <xf numFmtId="0" fontId="6" fillId="22" borderId="23" xfId="225" applyFont="1" applyBorder="1" applyAlignment="1" applyProtection="1">
      <alignment horizontal="left" vertical="top" wrapText="1"/>
      <protection hidden="1"/>
    </xf>
    <xf numFmtId="0" fontId="1" fillId="0" borderId="0" xfId="0" applyFont="1" applyAlignment="1" applyProtection="1">
      <alignment horizontal="center" vertical="center"/>
      <protection locked="0" hidden="1"/>
    </xf>
    <xf numFmtId="0" fontId="6" fillId="0" borderId="30" xfId="0" applyFont="1" applyBorder="1" applyAlignment="1" applyProtection="1">
      <alignment horizontal="center" vertical="center" wrapText="1"/>
      <protection locked="0" hidden="1"/>
    </xf>
    <xf numFmtId="0" fontId="6" fillId="0" borderId="30" xfId="0" applyFont="1" applyBorder="1" applyAlignment="1" applyProtection="1">
      <alignment horizontal="center" vertical="center"/>
      <protection locked="0" hidden="1"/>
    </xf>
    <xf numFmtId="0" fontId="6" fillId="0" borderId="0" xfId="0" applyFont="1" applyAlignment="1" applyProtection="1">
      <alignment horizontal="center" vertical="center" wrapText="1"/>
      <protection locked="0" hidden="1"/>
    </xf>
    <xf numFmtId="0" fontId="6" fillId="26" borderId="12" xfId="226" applyFont="1" applyFill="1" applyAlignment="1" applyProtection="1">
      <alignment vertical="center" wrapText="1"/>
      <protection hidden="1"/>
    </xf>
    <xf numFmtId="166" fontId="6" fillId="26" borderId="12" xfId="226" applyNumberFormat="1" applyFont="1" applyFill="1" applyAlignment="1" applyProtection="1">
      <alignment horizontal="center" vertical="center"/>
      <protection hidden="1"/>
    </xf>
    <xf numFmtId="0" fontId="6" fillId="26" borderId="12" xfId="226" applyFont="1" applyFill="1" applyAlignment="1" applyProtection="1">
      <alignment horizontal="left" vertical="center" wrapText="1"/>
      <protection hidden="1"/>
    </xf>
    <xf numFmtId="0" fontId="6" fillId="26" borderId="12" xfId="226" applyFont="1" applyFill="1" applyAlignment="1" applyProtection="1">
      <alignment horizontal="center" vertical="center"/>
      <protection hidden="1"/>
    </xf>
    <xf numFmtId="0" fontId="6" fillId="0" borderId="0" xfId="0" applyFont="1" applyAlignment="1" applyProtection="1">
      <alignment wrapText="1"/>
      <protection locked="0" hidden="1"/>
    </xf>
    <xf numFmtId="0" fontId="6" fillId="4" borderId="36" xfId="0" applyFont="1" applyFill="1" applyBorder="1" applyAlignment="1" applyProtection="1">
      <alignment vertical="center" wrapText="1"/>
      <protection hidden="1"/>
    </xf>
    <xf numFmtId="0" fontId="6" fillId="4" borderId="0" xfId="0" applyFont="1" applyFill="1" applyAlignment="1" applyProtection="1">
      <alignment horizontal="center" vertical="center"/>
      <protection locked="0" hidden="1"/>
    </xf>
    <xf numFmtId="0" fontId="6" fillId="26" borderId="12" xfId="226" applyFont="1" applyFill="1" applyAlignment="1" applyProtection="1">
      <alignment horizontal="left" vertical="center"/>
      <protection hidden="1"/>
    </xf>
    <xf numFmtId="0" fontId="6" fillId="26" borderId="23" xfId="226" applyFont="1" applyFill="1" applyBorder="1" applyAlignment="1" applyProtection="1">
      <alignment vertical="center" wrapText="1"/>
      <protection hidden="1"/>
    </xf>
    <xf numFmtId="0" fontId="6" fillId="26" borderId="17" xfId="222" applyFont="1" applyFill="1" applyBorder="1" applyAlignment="1" applyProtection="1">
      <alignment horizontal="center" vertical="center"/>
      <protection hidden="1"/>
    </xf>
    <xf numFmtId="0" fontId="6" fillId="26" borderId="17" xfId="222" applyFont="1" applyFill="1" applyBorder="1" applyAlignment="1" applyProtection="1">
      <alignment horizontal="left" vertical="center"/>
      <protection hidden="1"/>
    </xf>
    <xf numFmtId="0" fontId="6" fillId="26" borderId="12" xfId="222" applyFont="1" applyFill="1" applyAlignment="1" applyProtection="1">
      <alignment horizontal="center" vertical="center"/>
      <protection hidden="1"/>
    </xf>
    <xf numFmtId="0" fontId="6" fillId="26" borderId="12" xfId="222" applyFont="1" applyFill="1" applyAlignment="1" applyProtection="1">
      <alignment horizontal="left" vertical="center" wrapText="1"/>
      <protection hidden="1"/>
    </xf>
    <xf numFmtId="0" fontId="6" fillId="26" borderId="23" xfId="222" applyFont="1" applyFill="1" applyBorder="1" applyAlignment="1" applyProtection="1">
      <alignment horizontal="center" vertical="center"/>
      <protection hidden="1"/>
    </xf>
    <xf numFmtId="0" fontId="6" fillId="26" borderId="17" xfId="226" applyFont="1" applyFill="1" applyBorder="1" applyAlignment="1" applyProtection="1">
      <alignment vertical="top" wrapText="1"/>
      <protection hidden="1"/>
    </xf>
    <xf numFmtId="0" fontId="6" fillId="26" borderId="17" xfId="226" applyFont="1" applyFill="1" applyBorder="1" applyAlignment="1" applyProtection="1">
      <alignment horizontal="center" vertical="center"/>
      <protection hidden="1"/>
    </xf>
    <xf numFmtId="0" fontId="6" fillId="26" borderId="17" xfId="226" applyFont="1" applyFill="1" applyBorder="1" applyAlignment="1" applyProtection="1">
      <alignment horizontal="left" vertical="center" wrapText="1"/>
      <protection hidden="1"/>
    </xf>
    <xf numFmtId="0" fontId="6" fillId="26" borderId="12" xfId="226" applyFont="1" applyFill="1" applyAlignment="1" applyProtection="1">
      <alignment vertical="top" wrapText="1"/>
      <protection hidden="1"/>
    </xf>
    <xf numFmtId="0" fontId="6" fillId="26" borderId="23" xfId="226" applyFont="1" applyFill="1" applyBorder="1" applyAlignment="1" applyProtection="1">
      <alignment vertical="top" wrapText="1"/>
      <protection hidden="1"/>
    </xf>
    <xf numFmtId="0" fontId="6" fillId="26" borderId="23" xfId="226" applyFont="1" applyFill="1" applyBorder="1" applyAlignment="1" applyProtection="1">
      <alignment horizontal="center" vertical="center"/>
      <protection hidden="1"/>
    </xf>
    <xf numFmtId="0" fontId="6" fillId="26" borderId="23" xfId="226" applyFont="1" applyFill="1" applyBorder="1" applyAlignment="1" applyProtection="1">
      <alignment horizontal="left" vertical="center" wrapText="1"/>
      <protection hidden="1"/>
    </xf>
    <xf numFmtId="0" fontId="1" fillId="0" borderId="0" xfId="0" applyFont="1" applyAlignment="1" applyProtection="1">
      <alignment horizontal="left" vertical="center"/>
      <protection locked="0" hidden="1"/>
    </xf>
    <xf numFmtId="0" fontId="1" fillId="0" borderId="0" xfId="0" applyFont="1" applyAlignment="1" applyProtection="1">
      <alignment vertical="center"/>
      <protection locked="0" hidden="1"/>
    </xf>
    <xf numFmtId="0" fontId="1" fillId="0" borderId="0" xfId="0" applyFont="1" applyAlignment="1" applyProtection="1">
      <alignment horizontal="left" vertical="center" wrapText="1"/>
      <protection locked="0" hidden="1"/>
    </xf>
    <xf numFmtId="0" fontId="1" fillId="0" borderId="0" xfId="0" applyFont="1" applyAlignment="1" applyProtection="1">
      <alignment vertical="center" wrapText="1"/>
      <protection locked="0" hidden="1"/>
    </xf>
    <xf numFmtId="0" fontId="6" fillId="26" borderId="18" xfId="226" applyFont="1" applyFill="1" applyBorder="1" applyAlignment="1" applyProtection="1">
      <alignment horizontal="left" vertical="center" wrapText="1"/>
      <protection hidden="1"/>
    </xf>
    <xf numFmtId="0" fontId="6" fillId="26" borderId="1" xfId="226" applyFont="1" applyFill="1" applyBorder="1" applyAlignment="1" applyProtection="1">
      <alignment horizontal="left" vertical="center" wrapText="1"/>
      <protection hidden="1"/>
    </xf>
    <xf numFmtId="0" fontId="1" fillId="0" borderId="0" xfId="0" applyFont="1" applyAlignment="1" applyProtection="1">
      <alignment horizontal="right" vertical="center"/>
      <protection locked="0" hidden="1"/>
    </xf>
    <xf numFmtId="0" fontId="6" fillId="35" borderId="0" xfId="0" applyFont="1" applyFill="1" applyAlignment="1" applyProtection="1">
      <alignment horizontal="center" vertical="center"/>
      <protection hidden="1"/>
    </xf>
    <xf numFmtId="0" fontId="6" fillId="42" borderId="12" xfId="247" applyFont="1" applyFill="1" applyAlignment="1" applyProtection="1">
      <alignment horizontal="left" vertical="center" wrapText="1"/>
      <protection hidden="1"/>
    </xf>
    <xf numFmtId="166" fontId="6" fillId="42" borderId="12" xfId="247" applyNumberFormat="1" applyFont="1" applyFill="1" applyAlignment="1" applyProtection="1">
      <alignment horizontal="center" vertical="center"/>
      <protection hidden="1"/>
    </xf>
    <xf numFmtId="0" fontId="6" fillId="42" borderId="12" xfId="0" applyFont="1" applyFill="1" applyBorder="1" applyAlignment="1" applyProtection="1">
      <alignment vertical="center" wrapText="1"/>
      <protection hidden="1"/>
    </xf>
    <xf numFmtId="0" fontId="6" fillId="42" borderId="1" xfId="247" applyFont="1" applyFill="1" applyBorder="1" applyAlignment="1" applyProtection="1">
      <alignment horizontal="center" vertical="center"/>
      <protection hidden="1"/>
    </xf>
    <xf numFmtId="167" fontId="6" fillId="0" borderId="2" xfId="0" applyNumberFormat="1" applyFont="1" applyBorder="1" applyAlignment="1" applyProtection="1">
      <alignment horizontal="center" vertical="center"/>
      <protection locked="0" hidden="1"/>
    </xf>
    <xf numFmtId="167" fontId="6" fillId="0" borderId="0" xfId="0" applyNumberFormat="1" applyFont="1" applyAlignment="1" applyProtection="1">
      <alignment horizontal="center" vertical="center"/>
      <protection hidden="1"/>
    </xf>
    <xf numFmtId="166" fontId="6" fillId="42" borderId="12" xfId="0" applyNumberFormat="1" applyFont="1" applyFill="1" applyBorder="1" applyAlignment="1" applyProtection="1">
      <alignment horizontal="center" vertical="center"/>
      <protection hidden="1"/>
    </xf>
    <xf numFmtId="0" fontId="6" fillId="42" borderId="12" xfId="0" applyFont="1" applyFill="1" applyBorder="1" applyAlignment="1" applyProtection="1">
      <alignment horizontal="left" vertical="center" wrapText="1"/>
      <protection hidden="1"/>
    </xf>
    <xf numFmtId="0" fontId="6" fillId="42" borderId="12" xfId="0" applyFont="1" applyFill="1" applyBorder="1" applyAlignment="1" applyProtection="1">
      <alignment horizontal="center" vertical="center"/>
      <protection hidden="1"/>
    </xf>
    <xf numFmtId="0" fontId="6" fillId="0" borderId="62" xfId="0" applyFont="1" applyBorder="1" applyProtection="1">
      <protection locked="0" hidden="1"/>
    </xf>
    <xf numFmtId="0" fontId="6" fillId="0" borderId="61" xfId="0" applyFont="1" applyBorder="1" applyProtection="1">
      <protection locked="0" hidden="1"/>
    </xf>
    <xf numFmtId="166" fontId="6" fillId="42" borderId="12" xfId="0" applyNumberFormat="1" applyFont="1" applyFill="1" applyBorder="1" applyAlignment="1" applyProtection="1">
      <alignment horizontal="center" vertical="center"/>
      <protection locked="0" hidden="1"/>
    </xf>
    <xf numFmtId="0" fontId="6" fillId="42" borderId="12" xfId="0" applyFont="1" applyFill="1" applyBorder="1" applyAlignment="1" applyProtection="1">
      <alignment horizontal="center" vertical="center"/>
      <protection locked="0" hidden="1"/>
    </xf>
    <xf numFmtId="0" fontId="6" fillId="42" borderId="12" xfId="0" applyFont="1" applyFill="1" applyBorder="1" applyAlignment="1" applyProtection="1">
      <alignment horizontal="left" vertical="center" wrapText="1"/>
      <protection locked="0" hidden="1"/>
    </xf>
    <xf numFmtId="0" fontId="6" fillId="42" borderId="1" xfId="0" applyFont="1" applyFill="1" applyBorder="1" applyAlignment="1" applyProtection="1">
      <alignment horizontal="center" vertical="center"/>
      <protection hidden="1"/>
    </xf>
    <xf numFmtId="166" fontId="6" fillId="42" borderId="18" xfId="0" applyNumberFormat="1" applyFont="1" applyFill="1" applyBorder="1" applyAlignment="1" applyProtection="1">
      <alignment horizontal="center" vertical="center"/>
      <protection hidden="1"/>
    </xf>
    <xf numFmtId="166" fontId="6" fillId="42" borderId="12" xfId="0" applyNumberFormat="1" applyFont="1" applyFill="1" applyBorder="1" applyAlignment="1" applyProtection="1">
      <alignment horizontal="center" vertical="center" wrapText="1"/>
      <protection hidden="1"/>
    </xf>
    <xf numFmtId="166" fontId="6" fillId="42" borderId="12" xfId="0" applyNumberFormat="1" applyFont="1" applyFill="1" applyBorder="1" applyAlignment="1" applyProtection="1">
      <alignment vertical="center" wrapText="1"/>
      <protection hidden="1"/>
    </xf>
    <xf numFmtId="0" fontId="6" fillId="42" borderId="12" xfId="0" applyFont="1" applyFill="1" applyBorder="1" applyAlignment="1" applyProtection="1">
      <alignment horizontal="center" vertical="center" wrapText="1"/>
      <protection hidden="1"/>
    </xf>
    <xf numFmtId="0" fontId="6" fillId="0" borderId="0" xfId="0" applyFont="1" applyAlignment="1" applyProtection="1">
      <alignment horizontal="center"/>
      <protection hidden="1"/>
    </xf>
    <xf numFmtId="0" fontId="6" fillId="42" borderId="0" xfId="0" applyFont="1" applyFill="1" applyAlignment="1" applyProtection="1">
      <alignment horizontal="center" vertical="center"/>
      <protection hidden="1"/>
    </xf>
    <xf numFmtId="0" fontId="6" fillId="0" borderId="44" xfId="0" applyFont="1" applyBorder="1" applyAlignment="1" applyProtection="1">
      <alignment vertical="center"/>
      <protection hidden="1"/>
    </xf>
    <xf numFmtId="0" fontId="6" fillId="22" borderId="17" xfId="0" applyFont="1" applyFill="1" applyBorder="1" applyAlignment="1" applyProtection="1">
      <alignment vertical="center" wrapText="1"/>
      <protection hidden="1"/>
    </xf>
    <xf numFmtId="3" fontId="6" fillId="22" borderId="0" xfId="0" applyNumberFormat="1" applyFont="1" applyFill="1" applyAlignment="1" applyProtection="1">
      <alignment horizontal="center" vertical="center"/>
      <protection hidden="1"/>
    </xf>
    <xf numFmtId="0" fontId="6" fillId="0" borderId="0" xfId="0" applyFont="1" applyAlignment="1" applyProtection="1">
      <alignment horizontal="center"/>
      <protection locked="0" hidden="1"/>
    </xf>
    <xf numFmtId="0" fontId="6" fillId="0" borderId="2" xfId="0" applyFont="1" applyBorder="1" applyAlignment="1" applyProtection="1">
      <alignment horizontal="center" vertical="center"/>
      <protection hidden="1"/>
    </xf>
    <xf numFmtId="166" fontId="6" fillId="26" borderId="17" xfId="222" applyNumberFormat="1" applyFont="1" applyFill="1" applyBorder="1" applyAlignment="1" applyProtection="1">
      <alignment horizontal="center" vertical="center"/>
      <protection hidden="1"/>
    </xf>
    <xf numFmtId="166" fontId="6" fillId="26" borderId="12" xfId="222" applyNumberFormat="1" applyFont="1" applyFill="1" applyAlignment="1" applyProtection="1">
      <alignment horizontal="center" vertical="center"/>
      <protection hidden="1"/>
    </xf>
    <xf numFmtId="166" fontId="6" fillId="26" borderId="23" xfId="222" applyNumberFormat="1" applyFont="1" applyFill="1" applyBorder="1" applyAlignment="1" applyProtection="1">
      <alignment horizontal="center" vertical="center"/>
      <protection hidden="1"/>
    </xf>
    <xf numFmtId="166" fontId="6" fillId="26" borderId="17" xfId="226" applyNumberFormat="1" applyFont="1" applyFill="1" applyBorder="1" applyAlignment="1" applyProtection="1">
      <alignment horizontal="center" vertical="center"/>
      <protection hidden="1"/>
    </xf>
    <xf numFmtId="0" fontId="6" fillId="26" borderId="12" xfId="226" applyFont="1" applyFill="1" applyAlignment="1" applyProtection="1">
      <alignment horizontal="center" vertical="center" wrapText="1"/>
      <protection hidden="1"/>
    </xf>
    <xf numFmtId="166" fontId="6" fillId="26" borderId="23" xfId="226" applyNumberFormat="1" applyFont="1" applyFill="1" applyBorder="1" applyAlignment="1" applyProtection="1">
      <alignment horizontal="center" vertical="center"/>
      <protection hidden="1"/>
    </xf>
    <xf numFmtId="0" fontId="6" fillId="26" borderId="1" xfId="226" applyFont="1" applyFill="1" applyBorder="1" applyAlignment="1" applyProtection="1">
      <alignment horizontal="center" vertical="center" wrapText="1"/>
      <protection hidden="1"/>
    </xf>
    <xf numFmtId="0" fontId="6" fillId="4" borderId="38" xfId="0" applyFont="1" applyFill="1" applyBorder="1" applyAlignment="1" applyProtection="1">
      <alignment horizontal="center" vertical="center"/>
      <protection locked="0" hidden="1"/>
    </xf>
    <xf numFmtId="9" fontId="6" fillId="0" borderId="0" xfId="2" applyFont="1" applyAlignment="1" applyProtection="1">
      <alignment horizontal="center" vertical="center"/>
      <protection hidden="1"/>
    </xf>
    <xf numFmtId="9" fontId="6" fillId="0" borderId="0" xfId="0" applyNumberFormat="1" applyFont="1" applyAlignment="1" applyProtection="1">
      <alignment vertical="center"/>
      <protection hidden="1"/>
    </xf>
    <xf numFmtId="0" fontId="6" fillId="2" borderId="12" xfId="0" applyFont="1" applyFill="1" applyBorder="1" applyAlignment="1" applyProtection="1">
      <alignment vertical="center" wrapText="1"/>
      <protection hidden="1"/>
    </xf>
    <xf numFmtId="0" fontId="6" fillId="2" borderId="12" xfId="0" applyFont="1" applyFill="1" applyBorder="1" applyAlignment="1" applyProtection="1">
      <alignment horizontal="center" vertical="center"/>
      <protection hidden="1"/>
    </xf>
    <xf numFmtId="0" fontId="6" fillId="0" borderId="2" xfId="0" applyFont="1" applyBorder="1" applyAlignment="1" applyProtection="1">
      <alignment vertical="center"/>
      <protection locked="0" hidden="1"/>
    </xf>
    <xf numFmtId="0" fontId="6" fillId="2" borderId="23" xfId="0" applyFont="1" applyFill="1" applyBorder="1" applyAlignment="1" applyProtection="1">
      <alignment vertical="center" wrapText="1"/>
      <protection hidden="1"/>
    </xf>
    <xf numFmtId="0" fontId="6" fillId="2" borderId="0" xfId="0" applyFont="1" applyFill="1" applyAlignment="1" applyProtection="1">
      <alignment vertical="center" wrapText="1"/>
      <protection hidden="1"/>
    </xf>
    <xf numFmtId="0" fontId="6" fillId="2" borderId="17" xfId="0" applyFont="1" applyFill="1" applyBorder="1" applyAlignment="1" applyProtection="1">
      <alignment vertical="center" wrapText="1"/>
      <protection hidden="1"/>
    </xf>
    <xf numFmtId="0" fontId="6" fillId="0" borderId="0" xfId="0" applyFont="1" applyAlignment="1" applyProtection="1">
      <alignment horizontal="center" wrapText="1"/>
      <protection hidden="1"/>
    </xf>
    <xf numFmtId="1" fontId="6" fillId="0" borderId="0" xfId="0" applyNumberFormat="1" applyFont="1" applyAlignment="1" applyProtection="1">
      <alignment horizontal="center" vertical="center"/>
      <protection hidden="1"/>
    </xf>
    <xf numFmtId="0" fontId="6" fillId="2" borderId="0" xfId="0" applyFont="1" applyFill="1" applyAlignment="1" applyProtection="1">
      <alignment horizontal="center" vertical="center"/>
      <protection hidden="1"/>
    </xf>
    <xf numFmtId="0" fontId="6" fillId="0" borderId="0" xfId="0" applyFont="1" applyAlignment="1" applyProtection="1">
      <alignment vertical="center" wrapText="1"/>
      <protection locked="0" hidden="1"/>
    </xf>
    <xf numFmtId="9" fontId="6" fillId="0" borderId="0" xfId="0" applyNumberFormat="1" applyFont="1" applyAlignment="1" applyProtection="1">
      <alignment horizontal="center" vertical="center"/>
      <protection hidden="1"/>
    </xf>
    <xf numFmtId="9" fontId="6" fillId="0" borderId="0" xfId="2" applyFont="1" applyAlignment="1" applyProtection="1">
      <alignment vertical="center"/>
      <protection hidden="1"/>
    </xf>
    <xf numFmtId="9" fontId="6" fillId="0" borderId="0" xfId="2" applyFont="1" applyFill="1" applyAlignment="1" applyProtection="1">
      <alignment vertical="center"/>
      <protection hidden="1"/>
    </xf>
    <xf numFmtId="0" fontId="6" fillId="47" borderId="0" xfId="0" applyFont="1" applyFill="1" applyAlignment="1" applyProtection="1">
      <alignment horizontal="center" vertical="center"/>
      <protection hidden="1"/>
    </xf>
    <xf numFmtId="167" fontId="6" fillId="3" borderId="0" xfId="0" applyNumberFormat="1" applyFont="1" applyFill="1" applyAlignment="1" applyProtection="1">
      <alignment horizontal="center" vertical="center"/>
      <protection hidden="1"/>
    </xf>
    <xf numFmtId="0" fontId="6" fillId="3" borderId="0" xfId="0" applyFont="1" applyFill="1" applyAlignment="1" applyProtection="1">
      <alignment horizontal="center" vertical="center"/>
      <protection hidden="1"/>
    </xf>
    <xf numFmtId="0" fontId="6" fillId="3" borderId="45" xfId="0" applyFont="1" applyFill="1" applyBorder="1" applyAlignment="1" applyProtection="1">
      <alignment vertical="center"/>
      <protection hidden="1"/>
    </xf>
    <xf numFmtId="0" fontId="6" fillId="2" borderId="12" xfId="0" applyFont="1" applyFill="1" applyBorder="1" applyAlignment="1" applyProtection="1">
      <alignment vertical="center"/>
      <protection hidden="1"/>
    </xf>
    <xf numFmtId="0" fontId="6" fillId="2" borderId="23"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6" fillId="2" borderId="17" xfId="0" applyFont="1" applyFill="1" applyBorder="1" applyAlignment="1" applyProtection="1">
      <alignment vertical="center"/>
      <protection hidden="1"/>
    </xf>
    <xf numFmtId="166" fontId="6" fillId="0" borderId="0" xfId="0" applyNumberFormat="1" applyFont="1" applyAlignment="1" applyProtection="1">
      <alignment horizontal="center" vertical="center"/>
      <protection hidden="1"/>
    </xf>
    <xf numFmtId="0" fontId="1" fillId="0" borderId="0" xfId="0" applyFont="1" applyAlignment="1">
      <alignment horizontal="left"/>
    </xf>
    <xf numFmtId="0" fontId="1" fillId="49" borderId="0" xfId="0" applyFont="1" applyFill="1" applyAlignment="1">
      <alignment horizontal="center"/>
    </xf>
    <xf numFmtId="0" fontId="1" fillId="49" borderId="63" xfId="0" applyFont="1" applyFill="1" applyBorder="1"/>
    <xf numFmtId="0" fontId="1" fillId="49" borderId="63" xfId="0" applyFont="1" applyFill="1" applyBorder="1" applyAlignment="1">
      <alignment horizontal="center" vertical="center"/>
    </xf>
    <xf numFmtId="0" fontId="1" fillId="49" borderId="63" xfId="0" applyFont="1" applyFill="1" applyBorder="1" applyAlignment="1">
      <alignment horizontal="center"/>
    </xf>
    <xf numFmtId="0" fontId="1" fillId="0" borderId="23" xfId="0" applyFont="1" applyBorder="1" applyAlignment="1">
      <alignment horizontal="left"/>
    </xf>
    <xf numFmtId="0" fontId="1" fillId="49" borderId="23" xfId="0" applyFont="1" applyFill="1" applyBorder="1" applyAlignment="1">
      <alignment horizontal="center"/>
    </xf>
    <xf numFmtId="0" fontId="1" fillId="49" borderId="12" xfId="0" applyFont="1" applyFill="1" applyBorder="1" applyAlignment="1">
      <alignment horizontal="center"/>
    </xf>
    <xf numFmtId="0" fontId="1" fillId="0" borderId="17" xfId="0" applyFont="1" applyBorder="1" applyAlignment="1">
      <alignment horizontal="left"/>
    </xf>
    <xf numFmtId="0" fontId="1" fillId="49" borderId="17" xfId="0" applyFont="1" applyFill="1" applyBorder="1" applyAlignment="1">
      <alignment horizontal="center"/>
    </xf>
    <xf numFmtId="0" fontId="1" fillId="49" borderId="66" xfId="0" applyFont="1" applyFill="1" applyBorder="1"/>
    <xf numFmtId="0" fontId="1" fillId="0" borderId="66" xfId="0" applyFont="1" applyBorder="1" applyAlignment="1">
      <alignment horizontal="left"/>
    </xf>
    <xf numFmtId="0" fontId="1" fillId="0" borderId="66" xfId="0" applyFont="1" applyBorder="1"/>
    <xf numFmtId="0" fontId="1" fillId="49" borderId="66" xfId="0" applyFont="1" applyFill="1" applyBorder="1" applyAlignment="1">
      <alignment horizontal="center"/>
    </xf>
    <xf numFmtId="0" fontId="7" fillId="20" borderId="0" xfId="0" applyFont="1" applyFill="1" applyAlignment="1">
      <alignment horizontal="center" vertical="center" wrapText="1"/>
    </xf>
    <xf numFmtId="0" fontId="55" fillId="30" borderId="0" xfId="226" applyFont="1" applyFill="1" applyBorder="1" applyAlignment="1" applyProtection="1">
      <alignment horizontal="center" vertical="center" wrapText="1"/>
      <protection locked="0"/>
    </xf>
    <xf numFmtId="0" fontId="7" fillId="41" borderId="17" xfId="0" applyFont="1" applyFill="1" applyBorder="1" applyAlignment="1">
      <alignment horizontal="center" vertical="center" wrapText="1"/>
    </xf>
    <xf numFmtId="164" fontId="6" fillId="4" borderId="2" xfId="0" applyNumberFormat="1" applyFont="1" applyFill="1" applyBorder="1" applyAlignment="1" applyProtection="1">
      <alignment horizontal="center" vertical="center" wrapText="1"/>
      <protection locked="0"/>
    </xf>
    <xf numFmtId="0" fontId="7" fillId="31" borderId="17" xfId="0" applyFont="1" applyFill="1" applyBorder="1" applyAlignment="1">
      <alignment horizontal="center" vertical="center" wrapText="1"/>
    </xf>
    <xf numFmtId="0" fontId="84" fillId="0" borderId="0" xfId="0" applyFont="1" applyAlignment="1">
      <alignment horizontal="center" vertical="center" wrapText="1"/>
    </xf>
    <xf numFmtId="0" fontId="85" fillId="31" borderId="17" xfId="0" applyFont="1" applyFill="1" applyBorder="1" applyAlignment="1">
      <alignment horizontal="center" vertical="center" wrapText="1"/>
    </xf>
    <xf numFmtId="0" fontId="88" fillId="0" borderId="0" xfId="0" applyFont="1" applyAlignment="1">
      <alignment horizontal="center" vertical="center" wrapText="1"/>
    </xf>
    <xf numFmtId="9" fontId="87" fillId="0" borderId="0" xfId="2" applyFont="1" applyAlignment="1" applyProtection="1">
      <alignment horizontal="center" vertical="center" wrapText="1"/>
    </xf>
    <xf numFmtId="0" fontId="87" fillId="0" borderId="0" xfId="0" applyFont="1" applyAlignment="1">
      <alignment horizontal="center" vertical="center" wrapText="1"/>
    </xf>
    <xf numFmtId="0" fontId="11" fillId="3" borderId="0" xfId="0" applyFont="1" applyFill="1" applyAlignment="1">
      <alignment wrapText="1"/>
    </xf>
    <xf numFmtId="165" fontId="10" fillId="20" borderId="0" xfId="0" applyNumberFormat="1" applyFont="1" applyFill="1" applyAlignment="1">
      <alignment horizontal="center" vertical="center" wrapText="1"/>
    </xf>
    <xf numFmtId="164" fontId="6" fillId="0" borderId="2" xfId="0" applyNumberFormat="1" applyFont="1" applyBorder="1" applyAlignment="1" applyProtection="1">
      <alignment horizontal="center" vertical="center" wrapText="1"/>
      <protection locked="0"/>
    </xf>
    <xf numFmtId="164" fontId="6" fillId="30" borderId="2" xfId="226" applyNumberFormat="1" applyFont="1" applyFill="1" applyBorder="1" applyAlignment="1" applyProtection="1">
      <alignment horizontal="center" vertical="center" wrapText="1"/>
    </xf>
    <xf numFmtId="164" fontId="6" fillId="30" borderId="26" xfId="226" applyNumberFormat="1" applyFont="1" applyFill="1" applyBorder="1" applyAlignment="1" applyProtection="1">
      <alignment horizontal="center" vertical="center" wrapText="1"/>
    </xf>
    <xf numFmtId="170" fontId="6" fillId="30" borderId="2" xfId="2" applyNumberFormat="1" applyFont="1" applyFill="1" applyBorder="1" applyAlignment="1" applyProtection="1">
      <alignment horizontal="center" vertical="center" wrapText="1"/>
    </xf>
    <xf numFmtId="0" fontId="6" fillId="0" borderId="0" xfId="0" applyFont="1" applyAlignment="1">
      <alignment horizontal="center" vertical="center" wrapText="1"/>
    </xf>
    <xf numFmtId="0" fontId="10" fillId="3" borderId="15" xfId="0"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wrapText="1"/>
    </xf>
    <xf numFmtId="0" fontId="0" fillId="0" borderId="0" xfId="0" applyAlignment="1" applyProtection="1">
      <alignment horizontal="center" wrapText="1"/>
      <protection locked="0"/>
    </xf>
    <xf numFmtId="0" fontId="0" fillId="0" borderId="0" xfId="0" applyAlignment="1" applyProtection="1">
      <alignment wrapText="1"/>
      <protection locked="0"/>
    </xf>
    <xf numFmtId="0" fontId="82" fillId="0" borderId="0" xfId="0" applyFont="1" applyAlignment="1">
      <alignment horizontal="center" vertical="center" wrapText="1"/>
    </xf>
    <xf numFmtId="166" fontId="83" fillId="32" borderId="0" xfId="2" applyNumberFormat="1" applyFont="1" applyFill="1" applyAlignment="1" applyProtection="1">
      <alignment horizontal="center" vertical="center" wrapText="1"/>
    </xf>
    <xf numFmtId="0" fontId="80" fillId="0" borderId="0" xfId="0" applyFont="1" applyAlignment="1">
      <alignment horizontal="center" vertical="center" wrapText="1"/>
    </xf>
    <xf numFmtId="0" fontId="0" fillId="4" borderId="38" xfId="0" applyFill="1" applyBorder="1" applyAlignment="1" applyProtection="1">
      <alignment horizontal="center" vertical="center" wrapText="1"/>
      <protection locked="0"/>
    </xf>
    <xf numFmtId="0" fontId="84" fillId="4" borderId="0" xfId="0" applyFont="1" applyFill="1" applyAlignment="1">
      <alignment horizontal="center" vertical="center" wrapText="1"/>
    </xf>
    <xf numFmtId="0" fontId="6" fillId="4" borderId="2" xfId="0" applyFont="1" applyFill="1" applyBorder="1" applyAlignment="1" applyProtection="1">
      <alignment horizontal="center" vertical="center" wrapText="1"/>
      <protection locked="0"/>
    </xf>
    <xf numFmtId="0" fontId="0" fillId="4" borderId="38" xfId="255" applyFont="1" applyFill="1" applyBorder="1" applyAlignment="1" applyProtection="1">
      <alignment horizontal="center" vertical="center" wrapText="1"/>
      <protection locked="0"/>
    </xf>
    <xf numFmtId="0" fontId="0" fillId="4" borderId="67" xfId="255" applyFont="1" applyFill="1" applyBorder="1" applyAlignment="1" applyProtection="1">
      <alignment horizontal="center" vertical="center" wrapText="1"/>
      <protection locked="0"/>
    </xf>
    <xf numFmtId="0" fontId="0" fillId="4" borderId="2" xfId="222" applyFont="1" applyFill="1" applyBorder="1" applyAlignment="1" applyProtection="1">
      <alignment horizontal="center" vertical="center" wrapText="1"/>
      <protection locked="0"/>
    </xf>
    <xf numFmtId="0" fontId="7" fillId="20" borderId="23" xfId="223" applyBorder="1" applyProtection="1">
      <alignment horizontal="center" vertical="center" wrapText="1"/>
    </xf>
    <xf numFmtId="0" fontId="10" fillId="20" borderId="0" xfId="223" applyFont="1" applyProtection="1">
      <alignment horizontal="center" vertical="center" wrapText="1"/>
    </xf>
    <xf numFmtId="0" fontId="0" fillId="4" borderId="0" xfId="0" applyFill="1" applyAlignment="1">
      <alignment horizontal="center" vertical="center" wrapText="1"/>
    </xf>
    <xf numFmtId="0" fontId="0" fillId="4" borderId="69" xfId="0"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81" fillId="0" borderId="0" xfId="0" applyFont="1" applyAlignment="1">
      <alignment vertical="center" wrapText="1"/>
    </xf>
    <xf numFmtId="0" fontId="15" fillId="4" borderId="2" xfId="222" applyFont="1" applyFill="1" applyBorder="1" applyAlignment="1" applyProtection="1">
      <alignment horizontal="center" vertical="center" wrapText="1"/>
      <protection locked="0"/>
    </xf>
    <xf numFmtId="0" fontId="15" fillId="4" borderId="70" xfId="222" applyFont="1" applyFill="1" applyBorder="1" applyAlignment="1" applyProtection="1">
      <alignment horizontal="center" vertical="center" wrapText="1"/>
      <protection locked="0"/>
    </xf>
    <xf numFmtId="0" fontId="84" fillId="0" borderId="28" xfId="0" applyFont="1" applyBorder="1" applyAlignment="1">
      <alignment horizontal="center" vertical="center" wrapText="1"/>
    </xf>
    <xf numFmtId="0" fontId="84" fillId="0" borderId="0" xfId="0" applyFont="1" applyAlignment="1">
      <alignment wrapText="1"/>
    </xf>
    <xf numFmtId="0" fontId="39" fillId="19" borderId="17" xfId="222" applyBorder="1" applyAlignment="1" applyProtection="1">
      <alignment horizontal="center" vertical="center" wrapText="1"/>
      <protection locked="0"/>
    </xf>
    <xf numFmtId="0" fontId="39" fillId="19" borderId="12" xfId="222" applyAlignment="1" applyProtection="1">
      <alignment horizontal="center" vertical="center" wrapText="1"/>
      <protection locked="0"/>
    </xf>
    <xf numFmtId="0" fontId="39" fillId="19" borderId="23" xfId="222" applyBorder="1" applyAlignment="1" applyProtection="1">
      <alignment horizontal="center" vertical="center" wrapText="1"/>
      <protection locked="0"/>
    </xf>
    <xf numFmtId="0" fontId="15" fillId="4" borderId="71" xfId="222" applyFont="1" applyFill="1" applyBorder="1" applyAlignment="1" applyProtection="1">
      <alignment horizontal="center" vertical="center" wrapText="1"/>
      <protection locked="0"/>
    </xf>
    <xf numFmtId="0" fontId="15" fillId="4" borderId="72" xfId="222" applyFont="1" applyFill="1" applyBorder="1" applyAlignment="1" applyProtection="1">
      <alignment horizontal="center" vertical="center" wrapText="1"/>
      <protection locked="0"/>
    </xf>
    <xf numFmtId="165" fontId="10" fillId="20" borderId="0" xfId="223" applyNumberFormat="1" applyFont="1" applyProtection="1">
      <alignment horizontal="center" vertical="center" wrapText="1"/>
    </xf>
    <xf numFmtId="0" fontId="80" fillId="0" borderId="0" xfId="0" applyFont="1" applyAlignment="1">
      <alignment vertical="center" wrapText="1"/>
    </xf>
    <xf numFmtId="0" fontId="89" fillId="0" borderId="0" xfId="0" applyFont="1" applyAlignment="1" applyProtection="1">
      <alignment horizontal="center" vertical="center" wrapText="1"/>
      <protection locked="0"/>
    </xf>
    <xf numFmtId="0" fontId="89" fillId="0" borderId="0" xfId="0" applyFont="1" applyAlignment="1" applyProtection="1">
      <alignment horizontal="left" vertical="center" wrapText="1"/>
      <protection locked="0"/>
    </xf>
    <xf numFmtId="166" fontId="16" fillId="32" borderId="0" xfId="0" applyNumberFormat="1" applyFont="1" applyFill="1" applyAlignment="1">
      <alignment horizontal="center" vertical="center" wrapText="1"/>
    </xf>
    <xf numFmtId="0" fontId="90" fillId="0" borderId="0" xfId="0" applyFont="1" applyAlignment="1" applyProtection="1">
      <alignment horizontal="center" vertical="center" wrapText="1"/>
      <protection locked="0"/>
    </xf>
    <xf numFmtId="0" fontId="90" fillId="0" borderId="0" xfId="0" applyFont="1" applyAlignment="1" applyProtection="1">
      <alignment horizontal="left" vertical="center" wrapText="1"/>
      <protection locked="0"/>
    </xf>
    <xf numFmtId="166" fontId="16" fillId="32" borderId="0" xfId="2" applyNumberFormat="1" applyFont="1" applyFill="1" applyAlignment="1" applyProtection="1">
      <alignment horizontal="center" vertical="center" wrapText="1"/>
    </xf>
    <xf numFmtId="0" fontId="1" fillId="0" borderId="0" xfId="0" applyFont="1" applyAlignment="1">
      <alignment vertical="center" wrapText="1"/>
    </xf>
    <xf numFmtId="0" fontId="59" fillId="3" borderId="15" xfId="0" applyFont="1" applyFill="1" applyBorder="1" applyAlignment="1">
      <alignment vertical="center" wrapText="1"/>
    </xf>
    <xf numFmtId="0" fontId="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0" fillId="20" borderId="0" xfId="0" applyFont="1" applyFill="1" applyAlignment="1">
      <alignment horizontal="center" vertical="center" wrapText="1"/>
    </xf>
    <xf numFmtId="1" fontId="53" fillId="42" borderId="0" xfId="0" applyNumberFormat="1" applyFont="1" applyFill="1" applyAlignment="1">
      <alignment horizontal="center" vertical="center" wrapText="1"/>
    </xf>
    <xf numFmtId="0" fontId="6" fillId="0" borderId="0" xfId="0" applyFont="1" applyAlignment="1" applyProtection="1">
      <alignment wrapText="1"/>
      <protection locked="0"/>
    </xf>
    <xf numFmtId="0" fontId="57" fillId="0" borderId="0" xfId="0" applyFont="1" applyAlignment="1">
      <alignment wrapText="1"/>
    </xf>
    <xf numFmtId="0" fontId="6"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5" fillId="41" borderId="0" xfId="226" applyFont="1" applyFill="1" applyBorder="1" applyAlignment="1" applyProtection="1">
      <alignment horizontal="center" vertical="center" wrapText="1"/>
      <protection locked="0"/>
    </xf>
    <xf numFmtId="0" fontId="56" fillId="0" borderId="0" xfId="0" applyFont="1" applyAlignment="1">
      <alignment horizontal="center" vertical="center" wrapText="1"/>
    </xf>
    <xf numFmtId="0" fontId="10" fillId="31" borderId="0" xfId="0" applyFont="1" applyFill="1" applyAlignment="1">
      <alignment horizontal="center" vertical="center" wrapText="1"/>
    </xf>
    <xf numFmtId="165" fontId="10" fillId="41" borderId="0" xfId="0" applyNumberFormat="1" applyFont="1" applyFill="1" applyAlignment="1">
      <alignment horizontal="center" vertical="center" wrapText="1"/>
    </xf>
    <xf numFmtId="0" fontId="10" fillId="41" borderId="0" xfId="0" applyFont="1" applyFill="1" applyAlignment="1">
      <alignment horizontal="center" vertical="center" wrapText="1"/>
    </xf>
    <xf numFmtId="0" fontId="6" fillId="4" borderId="1" xfId="0" applyFont="1" applyFill="1" applyBorder="1" applyAlignment="1" applyProtection="1">
      <alignment horizontal="center" vertical="center" wrapText="1"/>
      <protection locked="0"/>
    </xf>
    <xf numFmtId="0" fontId="56" fillId="4" borderId="0" xfId="0" applyFont="1" applyFill="1" applyAlignment="1">
      <alignment horizontal="center" vertical="center" wrapText="1"/>
    </xf>
    <xf numFmtId="167" fontId="6" fillId="0" borderId="2" xfId="0" applyNumberFormat="1" applyFont="1" applyBorder="1" applyAlignment="1" applyProtection="1">
      <alignment horizontal="center" vertical="center" wrapText="1"/>
      <protection locked="0"/>
    </xf>
    <xf numFmtId="0" fontId="10" fillId="20" borderId="43" xfId="223" applyFont="1" applyBorder="1" applyProtection="1">
      <alignment horizontal="center" vertical="center" wrapText="1"/>
    </xf>
    <xf numFmtId="167" fontId="10" fillId="20" borderId="0" xfId="223" applyNumberFormat="1" applyFont="1" applyProtection="1">
      <alignment horizontal="center" vertical="center" wrapText="1"/>
    </xf>
    <xf numFmtId="0" fontId="6" fillId="4" borderId="0" xfId="0" applyFont="1" applyFill="1" applyAlignment="1" applyProtection="1">
      <alignment horizontal="center" vertical="center" wrapText="1"/>
      <protection locked="0"/>
    </xf>
    <xf numFmtId="167" fontId="6" fillId="0" borderId="0" xfId="0" applyNumberFormat="1" applyFont="1" applyAlignment="1">
      <alignment horizontal="center" vertical="center" wrapText="1"/>
    </xf>
    <xf numFmtId="0" fontId="55" fillId="31" borderId="17" xfId="0" applyFont="1" applyFill="1" applyBorder="1" applyAlignment="1" applyProtection="1">
      <alignment horizontal="center" vertical="center" wrapText="1"/>
      <protection locked="0"/>
    </xf>
    <xf numFmtId="167" fontId="10" fillId="31" borderId="0" xfId="0" applyNumberFormat="1" applyFont="1" applyFill="1" applyAlignment="1">
      <alignment horizontal="center" vertical="center" wrapText="1"/>
    </xf>
    <xf numFmtId="0" fontId="10" fillId="20" borderId="43" xfId="0" applyFont="1" applyFill="1" applyBorder="1" applyAlignment="1">
      <alignment horizontal="center" vertical="center" wrapText="1"/>
    </xf>
    <xf numFmtId="0" fontId="10" fillId="0" borderId="0" xfId="0" applyFont="1" applyAlignment="1">
      <alignment horizontal="center" vertical="center" wrapText="1"/>
    </xf>
    <xf numFmtId="0" fontId="10" fillId="20" borderId="15" xfId="0" applyFont="1" applyFill="1" applyBorder="1" applyAlignment="1">
      <alignment horizontal="center" vertical="center" wrapText="1"/>
    </xf>
    <xf numFmtId="167" fontId="6" fillId="0" borderId="0" xfId="0" applyNumberFormat="1" applyFont="1" applyAlignment="1">
      <alignment wrapText="1"/>
    </xf>
    <xf numFmtId="165" fontId="10" fillId="31" borderId="0" xfId="0" applyNumberFormat="1" applyFont="1" applyFill="1" applyAlignment="1">
      <alignment horizontal="center" vertical="center" wrapText="1"/>
    </xf>
    <xf numFmtId="0" fontId="1" fillId="0" borderId="0" xfId="0" applyFont="1" applyAlignment="1" applyProtection="1">
      <alignment vertical="center" wrapText="1"/>
      <protection locked="0"/>
    </xf>
    <xf numFmtId="0" fontId="10" fillId="0" borderId="0" xfId="223" applyFont="1" applyFill="1">
      <alignment horizontal="center" vertical="center" wrapText="1"/>
      <protection locked="0"/>
    </xf>
    <xf numFmtId="166" fontId="57" fillId="42" borderId="0" xfId="0" applyNumberFormat="1" applyFont="1" applyFill="1" applyAlignment="1">
      <alignment horizontal="center" vertical="center" wrapText="1"/>
    </xf>
    <xf numFmtId="0" fontId="17" fillId="0" borderId="0" xfId="0" applyFont="1" applyAlignment="1">
      <alignment horizontal="center" vertical="center" wrapText="1"/>
    </xf>
    <xf numFmtId="166" fontId="57" fillId="42" borderId="0" xfId="2" applyNumberFormat="1"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66" fontId="41" fillId="3" borderId="0" xfId="0" applyNumberFormat="1" applyFont="1" applyFill="1" applyAlignment="1">
      <alignment horizontal="center" wrapText="1"/>
    </xf>
    <xf numFmtId="0" fontId="10" fillId="3" borderId="0" xfId="0" applyFont="1" applyFill="1" applyAlignment="1">
      <alignment horizontal="center" vertical="center" wrapText="1"/>
    </xf>
    <xf numFmtId="164" fontId="59" fillId="0" borderId="2" xfId="0" applyNumberFormat="1" applyFont="1" applyBorder="1" applyAlignment="1" applyProtection="1">
      <alignment horizontal="center" vertical="center" wrapText="1"/>
      <protection locked="0"/>
    </xf>
    <xf numFmtId="164" fontId="57" fillId="43" borderId="12" xfId="226" applyNumberFormat="1" applyFont="1" applyFill="1" applyAlignment="1" applyProtection="1">
      <alignment horizontal="center" vertical="center" wrapText="1"/>
    </xf>
    <xf numFmtId="164" fontId="60" fillId="42" borderId="2" xfId="0" applyNumberFormat="1" applyFont="1" applyFill="1" applyBorder="1" applyAlignment="1">
      <alignment horizontal="center" vertical="center" wrapText="1"/>
    </xf>
    <xf numFmtId="164" fontId="59" fillId="42" borderId="2" xfId="0" applyNumberFormat="1" applyFont="1" applyFill="1" applyBorder="1" applyAlignment="1">
      <alignment horizontal="center" vertical="center" wrapText="1"/>
    </xf>
    <xf numFmtId="9" fontId="60" fillId="42" borderId="2" xfId="2" applyFont="1" applyFill="1" applyBorder="1" applyAlignment="1" applyProtection="1">
      <alignment horizontal="center" vertical="center" wrapText="1"/>
    </xf>
    <xf numFmtId="0" fontId="56" fillId="3" borderId="0" xfId="0" applyFont="1" applyFill="1" applyAlignment="1">
      <alignment horizontal="left" vertical="center" wrapText="1"/>
    </xf>
    <xf numFmtId="0" fontId="76" fillId="0" borderId="0" xfId="0" applyFont="1" applyAlignment="1">
      <alignment horizontal="left" vertical="center" wrapText="1"/>
    </xf>
    <xf numFmtId="0" fontId="17" fillId="0" borderId="0" xfId="0" applyFont="1" applyAlignment="1">
      <alignment horizontal="left" vertical="center" wrapText="1"/>
    </xf>
    <xf numFmtId="0" fontId="14" fillId="0" borderId="0" xfId="0" applyFont="1" applyAlignment="1">
      <alignment wrapText="1"/>
    </xf>
    <xf numFmtId="0" fontId="14" fillId="0" borderId="0" xfId="0" applyFont="1" applyAlignment="1" applyProtection="1">
      <alignment horizontal="center" vertical="center" wrapText="1"/>
      <protection locked="0"/>
    </xf>
    <xf numFmtId="0" fontId="14" fillId="0" borderId="0" xfId="0" applyFont="1" applyAlignment="1" applyProtection="1">
      <alignment wrapText="1"/>
      <protection locked="0"/>
    </xf>
    <xf numFmtId="0" fontId="10" fillId="39" borderId="0" xfId="0" applyFont="1" applyFill="1" applyAlignment="1">
      <alignment horizontal="center" vertical="center" wrapText="1"/>
    </xf>
    <xf numFmtId="0" fontId="10" fillId="0" borderId="0" xfId="0" applyFont="1" applyAlignment="1" applyProtection="1">
      <alignment horizontal="center" vertical="center" wrapText="1"/>
      <protection locked="0"/>
    </xf>
    <xf numFmtId="0" fontId="61" fillId="0" borderId="0" xfId="0" applyFont="1" applyAlignment="1" applyProtection="1">
      <alignment vertical="center" wrapText="1"/>
      <protection locked="0"/>
    </xf>
    <xf numFmtId="1" fontId="53" fillId="26" borderId="0" xfId="2" applyNumberFormat="1" applyFont="1" applyFill="1" applyAlignment="1" applyProtection="1">
      <alignment horizontal="center" vertical="center" wrapText="1"/>
    </xf>
    <xf numFmtId="166" fontId="53" fillId="0" borderId="0" xfId="2" applyNumberFormat="1" applyFont="1" applyFill="1" applyAlignment="1" applyProtection="1">
      <alignment horizontal="center" vertical="center" wrapText="1"/>
      <protection locked="0"/>
    </xf>
    <xf numFmtId="0" fontId="55" fillId="29" borderId="0" xfId="226" applyFont="1" applyFill="1" applyBorder="1" applyAlignment="1" applyProtection="1">
      <alignment horizontal="center" vertical="center" wrapText="1"/>
      <protection locked="0"/>
    </xf>
    <xf numFmtId="0" fontId="10" fillId="39" borderId="15" xfId="0" applyFont="1" applyFill="1" applyBorder="1" applyAlignment="1" applyProtection="1">
      <alignment horizontal="center" vertical="center" wrapText="1"/>
      <protection locked="0"/>
    </xf>
    <xf numFmtId="0" fontId="10" fillId="39" borderId="0" xfId="0" applyFont="1" applyFill="1" applyAlignment="1" applyProtection="1">
      <alignment horizontal="center" vertical="center" wrapText="1"/>
      <protection locked="0"/>
    </xf>
    <xf numFmtId="0" fontId="55" fillId="28" borderId="17" xfId="0" applyFont="1" applyFill="1" applyBorder="1" applyAlignment="1" applyProtection="1">
      <alignment horizontal="center" vertical="center" wrapText="1"/>
      <protection locked="0"/>
    </xf>
    <xf numFmtId="0" fontId="10" fillId="28" borderId="0" xfId="0" applyFont="1" applyFill="1" applyAlignment="1">
      <alignment horizontal="center" vertical="center" wrapText="1"/>
    </xf>
    <xf numFmtId="0" fontId="10" fillId="28" borderId="0" xfId="0" applyFont="1" applyFill="1" applyAlignment="1" applyProtection="1">
      <alignment horizontal="left" vertical="center" wrapText="1"/>
      <protection locked="0"/>
    </xf>
    <xf numFmtId="0" fontId="6" fillId="4" borderId="2" xfId="224" applyFont="1" applyFill="1" applyBorder="1" applyAlignment="1" applyProtection="1">
      <alignment horizontal="center" vertical="center" wrapText="1"/>
      <protection locked="0"/>
    </xf>
    <xf numFmtId="0" fontId="6" fillId="4" borderId="2" xfId="222" applyFont="1" applyFill="1" applyBorder="1" applyAlignment="1" applyProtection="1">
      <alignment horizontal="center" vertical="center" wrapText="1"/>
      <protection locked="0"/>
    </xf>
    <xf numFmtId="166" fontId="10" fillId="39" borderId="15" xfId="223" applyNumberFormat="1" applyFont="1" applyFill="1" applyBorder="1">
      <alignment horizontal="center" vertical="center" wrapText="1"/>
      <protection locked="0"/>
    </xf>
    <xf numFmtId="164" fontId="10" fillId="39" borderId="43" xfId="223" applyNumberFormat="1" applyFont="1" applyFill="1" applyBorder="1" applyAlignment="1" applyProtection="1">
      <alignment horizontal="left" vertical="center" wrapText="1"/>
    </xf>
    <xf numFmtId="164" fontId="10" fillId="39" borderId="23" xfId="223" applyNumberFormat="1" applyFont="1" applyFill="1" applyBorder="1" applyAlignment="1" applyProtection="1">
      <alignment horizontal="left" vertical="center" wrapText="1"/>
    </xf>
    <xf numFmtId="0" fontId="10" fillId="39" borderId="23" xfId="223" applyFont="1" applyFill="1" applyBorder="1" applyAlignment="1" applyProtection="1">
      <alignment horizontal="left" vertical="center" wrapText="1"/>
    </xf>
    <xf numFmtId="164" fontId="59" fillId="4" borderId="0" xfId="0" applyNumberFormat="1" applyFont="1" applyFill="1" applyAlignment="1">
      <alignment horizontal="center" vertical="center" wrapText="1"/>
    </xf>
    <xf numFmtId="164" fontId="59" fillId="0" borderId="0" xfId="0" applyNumberFormat="1" applyFont="1" applyAlignment="1">
      <alignment horizontal="center" vertical="center" wrapText="1"/>
    </xf>
    <xf numFmtId="0" fontId="59" fillId="0" borderId="0" xfId="0" applyFont="1" applyAlignment="1" applyProtection="1">
      <alignment horizontal="left" vertical="center" wrapText="1"/>
      <protection locked="0"/>
    </xf>
    <xf numFmtId="0" fontId="10" fillId="28" borderId="17" xfId="0" applyFont="1" applyFill="1" applyBorder="1" applyAlignment="1" applyProtection="1">
      <alignment horizontal="center" vertical="center" wrapText="1"/>
      <protection locked="0"/>
    </xf>
    <xf numFmtId="164" fontId="60" fillId="28" borderId="0" xfId="0" applyNumberFormat="1" applyFont="1" applyFill="1" applyAlignment="1">
      <alignment horizontal="center" vertical="center" wrapText="1"/>
    </xf>
    <xf numFmtId="0" fontId="60" fillId="28" borderId="0" xfId="0" applyFont="1" applyFill="1" applyAlignment="1" applyProtection="1">
      <alignment horizontal="left" vertical="center" wrapText="1"/>
      <protection locked="0"/>
    </xf>
    <xf numFmtId="166" fontId="10" fillId="39" borderId="0" xfId="223" applyNumberFormat="1" applyFont="1" applyFill="1">
      <alignment horizontal="center" vertical="center" wrapText="1"/>
      <protection locked="0"/>
    </xf>
    <xf numFmtId="164" fontId="17" fillId="0" borderId="0" xfId="0" applyNumberFormat="1" applyFont="1" applyAlignment="1">
      <alignment horizontal="center" vertical="center" wrapText="1"/>
    </xf>
    <xf numFmtId="0" fontId="17" fillId="0" borderId="0" xfId="0" applyFont="1" applyAlignment="1" applyProtection="1">
      <alignment horizontal="left" vertical="center" wrapText="1"/>
      <protection locked="0"/>
    </xf>
    <xf numFmtId="164" fontId="60" fillId="28" borderId="0" xfId="0" applyNumberFormat="1" applyFont="1" applyFill="1" applyAlignment="1">
      <alignment vertical="center" wrapText="1"/>
    </xf>
    <xf numFmtId="0" fontId="59" fillId="0" borderId="2" xfId="222" applyFont="1" applyFill="1" applyBorder="1" applyAlignment="1" applyProtection="1">
      <alignment horizontal="center" vertical="center" wrapText="1"/>
      <protection locked="0"/>
    </xf>
    <xf numFmtId="0" fontId="59" fillId="33" borderId="2" xfId="222" applyFont="1" applyFill="1" applyBorder="1" applyAlignment="1" applyProtection="1">
      <alignment horizontal="center" vertical="center" wrapText="1"/>
      <protection locked="0"/>
    </xf>
    <xf numFmtId="164" fontId="47" fillId="28" borderId="0" xfId="0" applyNumberFormat="1" applyFont="1" applyFill="1" applyAlignment="1">
      <alignment horizontal="center" vertical="center" wrapText="1"/>
    </xf>
    <xf numFmtId="0" fontId="47" fillId="28" borderId="0" xfId="0" applyFont="1" applyFill="1" applyAlignment="1" applyProtection="1">
      <alignment horizontal="left" vertical="center" wrapText="1"/>
      <protection locked="0"/>
    </xf>
    <xf numFmtId="0" fontId="10" fillId="39" borderId="0" xfId="223" applyFont="1" applyFill="1" applyProtection="1">
      <alignment horizontal="center" vertical="center" wrapText="1"/>
    </xf>
    <xf numFmtId="0" fontId="10" fillId="27" borderId="0" xfId="0" applyFont="1" applyFill="1" applyAlignment="1">
      <alignment horizontal="center" vertical="center" wrapText="1"/>
    </xf>
    <xf numFmtId="166" fontId="57" fillId="26" borderId="0" xfId="0" applyNumberFormat="1" applyFont="1" applyFill="1" applyAlignment="1">
      <alignment horizontal="center" vertical="center" wrapText="1"/>
    </xf>
    <xf numFmtId="166" fontId="57" fillId="26" borderId="0" xfId="2" applyNumberFormat="1" applyFont="1" applyFill="1" applyBorder="1" applyAlignment="1" applyProtection="1">
      <alignment horizontal="center" vertical="center" wrapText="1"/>
    </xf>
    <xf numFmtId="164" fontId="57" fillId="26" borderId="12" xfId="226" applyNumberFormat="1" applyFont="1" applyFill="1" applyAlignment="1" applyProtection="1">
      <alignment horizontal="center" vertical="center" wrapText="1"/>
    </xf>
    <xf numFmtId="164" fontId="57" fillId="26" borderId="2" xfId="226" applyNumberFormat="1" applyFont="1" applyFill="1" applyBorder="1" applyAlignment="1" applyProtection="1">
      <alignment horizontal="center" vertical="center" wrapText="1"/>
    </xf>
    <xf numFmtId="9" fontId="57" fillId="26" borderId="2" xfId="2" applyFont="1" applyFill="1" applyBorder="1" applyAlignment="1" applyProtection="1">
      <alignment horizontal="center" vertical="center" wrapText="1"/>
    </xf>
    <xf numFmtId="0" fontId="0" fillId="52" borderId="12" xfId="247" applyFont="1" applyFill="1" applyAlignment="1" applyProtection="1">
      <alignment horizontal="center" vertical="center" wrapText="1"/>
    </xf>
    <xf numFmtId="0" fontId="81" fillId="0" borderId="0" xfId="0" applyFont="1" applyAlignment="1">
      <alignment horizontal="center" vertical="center" wrapText="1"/>
    </xf>
    <xf numFmtId="166" fontId="16" fillId="22" borderId="0" xfId="0" applyNumberFormat="1" applyFont="1" applyFill="1" applyAlignment="1">
      <alignment horizontal="center" vertical="center" wrapText="1"/>
    </xf>
    <xf numFmtId="0" fontId="55" fillId="24" borderId="0" xfId="226" applyFont="1" applyFill="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1" fillId="24" borderId="0" xfId="0" applyFont="1" applyFill="1" applyAlignment="1">
      <alignment vertical="center" wrapText="1"/>
    </xf>
    <xf numFmtId="0" fontId="91" fillId="4" borderId="74" xfId="0" applyFont="1" applyFill="1" applyBorder="1" applyAlignment="1" applyProtection="1">
      <alignment horizontal="center" vertical="center" wrapText="1"/>
      <protection locked="0"/>
    </xf>
    <xf numFmtId="0" fontId="91" fillId="4" borderId="38" xfId="255" applyFont="1" applyFill="1" applyBorder="1" applyAlignment="1" applyProtection="1">
      <alignment horizontal="center" vertical="center" wrapText="1"/>
      <protection locked="0"/>
    </xf>
    <xf numFmtId="0" fontId="91" fillId="4" borderId="38" xfId="0" applyFont="1" applyFill="1" applyBorder="1" applyAlignment="1" applyProtection="1">
      <alignment horizontal="center" vertical="center" wrapText="1"/>
      <protection locked="0"/>
    </xf>
    <xf numFmtId="0" fontId="91" fillId="4" borderId="2" xfId="222" applyFont="1" applyFill="1" applyBorder="1" applyAlignment="1" applyProtection="1">
      <alignment horizontal="center" vertical="center" wrapText="1"/>
      <protection locked="0"/>
    </xf>
    <xf numFmtId="0" fontId="93" fillId="20" borderId="23" xfId="223" applyFont="1" applyBorder="1" applyProtection="1">
      <alignment horizontal="center" vertical="center" wrapText="1"/>
    </xf>
    <xf numFmtId="0" fontId="91" fillId="4" borderId="0" xfId="0" applyFont="1" applyFill="1" applyAlignment="1">
      <alignment horizontal="center" vertical="center" wrapText="1"/>
    </xf>
    <xf numFmtId="0" fontId="93" fillId="23" borderId="17" xfId="0" applyFont="1" applyFill="1" applyBorder="1" applyAlignment="1">
      <alignment horizontal="center" vertical="center" wrapText="1"/>
    </xf>
    <xf numFmtId="0" fontId="91" fillId="4" borderId="69" xfId="0" applyFont="1" applyFill="1" applyBorder="1" applyAlignment="1" applyProtection="1">
      <alignment horizontal="center" vertical="center" wrapText="1"/>
      <protection locked="0"/>
    </xf>
    <xf numFmtId="0" fontId="91" fillId="4" borderId="75" xfId="0" applyFont="1" applyFill="1" applyBorder="1" applyAlignment="1" applyProtection="1">
      <alignment horizontal="center" vertical="center" wrapText="1"/>
      <protection locked="0"/>
    </xf>
    <xf numFmtId="0" fontId="91" fillId="0" borderId="0" xfId="0" applyFont="1" applyAlignment="1">
      <alignment horizontal="center" vertical="center" wrapText="1"/>
    </xf>
    <xf numFmtId="0" fontId="91" fillId="0" borderId="75" xfId="0" applyFont="1" applyBorder="1" applyAlignment="1" applyProtection="1">
      <alignment horizontal="center" vertical="center" wrapText="1"/>
      <protection locked="0"/>
    </xf>
    <xf numFmtId="1" fontId="7" fillId="20" borderId="23" xfId="223" applyNumberFormat="1" applyBorder="1" applyProtection="1">
      <alignment horizontal="center" vertical="center" wrapText="1"/>
    </xf>
    <xf numFmtId="0" fontId="95" fillId="0" borderId="75" xfId="0" applyFont="1" applyBorder="1" applyAlignment="1" applyProtection="1">
      <alignment horizontal="center" vertical="center" wrapText="1"/>
      <protection locked="0"/>
    </xf>
    <xf numFmtId="0" fontId="91" fillId="0" borderId="2" xfId="222" applyFont="1" applyFill="1" applyBorder="1" applyAlignment="1" applyProtection="1">
      <alignment horizontal="center" vertical="center" wrapText="1"/>
      <protection locked="0"/>
    </xf>
    <xf numFmtId="0" fontId="91" fillId="4" borderId="2" xfId="222" applyFont="1" applyFill="1" applyBorder="1" applyAlignment="1">
      <alignment horizontal="center" vertical="center" wrapText="1"/>
    </xf>
    <xf numFmtId="0" fontId="91" fillId="4" borderId="71" xfId="222" applyFont="1" applyFill="1" applyBorder="1" applyAlignment="1" applyProtection="1">
      <alignment horizontal="center" vertical="center" wrapText="1"/>
      <protection locked="0"/>
    </xf>
    <xf numFmtId="0" fontId="91" fillId="4" borderId="70" xfId="222" applyFont="1" applyFill="1" applyBorder="1" applyAlignment="1" applyProtection="1">
      <alignment horizontal="center" vertical="center" wrapText="1"/>
      <protection locked="0"/>
    </xf>
    <xf numFmtId="0" fontId="91" fillId="4" borderId="72" xfId="222" applyFont="1" applyFill="1" applyBorder="1" applyAlignment="1" applyProtection="1">
      <alignment horizontal="center" vertical="center" wrapText="1"/>
      <protection locked="0"/>
    </xf>
    <xf numFmtId="0" fontId="10" fillId="20" borderId="17" xfId="223" applyFont="1" applyBorder="1" applyProtection="1">
      <alignment horizontal="center" vertical="center" wrapText="1"/>
    </xf>
    <xf numFmtId="164" fontId="48" fillId="22" borderId="2" xfId="0" applyNumberFormat="1" applyFont="1" applyFill="1" applyBorder="1" applyAlignment="1">
      <alignment horizontal="center" vertical="center" wrapText="1"/>
    </xf>
    <xf numFmtId="166" fontId="16" fillId="22" borderId="0" xfId="2" applyNumberFormat="1" applyFont="1" applyFill="1" applyAlignment="1" applyProtection="1">
      <alignment horizontal="center" vertical="center" wrapText="1"/>
    </xf>
    <xf numFmtId="0" fontId="10" fillId="20" borderId="17" xfId="223" applyFont="1" applyBorder="1" applyAlignment="1" applyProtection="1">
      <alignment horizontal="left" vertical="center" wrapText="1"/>
    </xf>
    <xf numFmtId="164" fontId="57" fillId="22" borderId="2" xfId="225" applyNumberFormat="1" applyFont="1" applyBorder="1" applyAlignment="1" applyProtection="1">
      <alignment horizontal="center" vertical="center" wrapText="1"/>
    </xf>
    <xf numFmtId="9" fontId="57" fillId="22" borderId="2" xfId="2" applyFont="1" applyFill="1" applyBorder="1" applyAlignment="1" applyProtection="1">
      <alignment horizontal="center" vertical="center" wrapText="1"/>
    </xf>
    <xf numFmtId="0" fontId="90" fillId="0" borderId="0" xfId="0" applyFont="1" applyAlignment="1">
      <alignment wrapText="1"/>
    </xf>
    <xf numFmtId="0" fontId="92" fillId="52" borderId="30" xfId="256" applyFill="1" applyBorder="1" applyAlignment="1" applyProtection="1">
      <alignment wrapText="1"/>
      <protection locked="0"/>
    </xf>
    <xf numFmtId="0" fontId="93" fillId="20" borderId="23" xfId="223" applyFont="1" applyBorder="1">
      <alignment horizontal="center" vertical="center" wrapText="1"/>
      <protection locked="0"/>
    </xf>
    <xf numFmtId="0" fontId="0" fillId="24" borderId="0" xfId="0" applyFill="1" applyAlignment="1" applyProtection="1">
      <alignment wrapText="1"/>
      <protection locked="0"/>
    </xf>
    <xf numFmtId="0" fontId="92" fillId="52" borderId="62" xfId="256" applyFill="1" applyBorder="1" applyAlignment="1" applyProtection="1">
      <alignment wrapText="1"/>
      <protection locked="0"/>
    </xf>
    <xf numFmtId="1" fontId="7" fillId="20" borderId="23" xfId="223" applyNumberFormat="1" applyBorder="1">
      <alignment horizontal="center" vertical="center" wrapText="1"/>
      <protection locked="0"/>
    </xf>
    <xf numFmtId="0" fontId="94" fillId="0" borderId="0" xfId="0" applyFont="1" applyAlignment="1" applyProtection="1">
      <alignment wrapText="1"/>
      <protection locked="0"/>
    </xf>
    <xf numFmtId="0" fontId="94" fillId="24" borderId="0" xfId="0" applyFont="1" applyFill="1" applyAlignment="1" applyProtection="1">
      <alignment wrapText="1"/>
      <protection locked="0"/>
    </xf>
    <xf numFmtId="0" fontId="92" fillId="52" borderId="30" xfId="256" applyFill="1" applyBorder="1" applyAlignment="1" applyProtection="1">
      <alignment vertical="center" wrapText="1"/>
      <protection locked="0"/>
    </xf>
    <xf numFmtId="0" fontId="81" fillId="0" borderId="28" xfId="0" applyFont="1" applyBorder="1" applyAlignment="1">
      <alignment horizontal="center" vertical="center" wrapText="1"/>
    </xf>
    <xf numFmtId="0" fontId="92" fillId="52" borderId="0" xfId="256" applyFill="1" applyBorder="1" applyProtection="1">
      <protection hidden="1"/>
    </xf>
    <xf numFmtId="0" fontId="0" fillId="25" borderId="18" xfId="254" applyFont="1" applyBorder="1" applyAlignment="1" applyProtection="1">
      <alignment horizontal="left" vertical="center" wrapText="1"/>
      <protection hidden="1"/>
    </xf>
    <xf numFmtId="0" fontId="15" fillId="0" borderId="26" xfId="254" applyFill="1" applyBorder="1" applyAlignment="1" applyProtection="1">
      <alignment vertical="center" wrapText="1"/>
      <protection locked="0" hidden="1"/>
    </xf>
    <xf numFmtId="0" fontId="15" fillId="0" borderId="20" xfId="254" applyFill="1" applyBorder="1" applyAlignment="1" applyProtection="1">
      <alignment vertical="center" wrapText="1"/>
      <protection locked="0" hidden="1"/>
    </xf>
    <xf numFmtId="0" fontId="1" fillId="0" borderId="62" xfId="0" applyFont="1" applyBorder="1" applyAlignment="1">
      <alignment horizontal="left" vertical="center" wrapText="1"/>
    </xf>
    <xf numFmtId="0" fontId="1" fillId="0" borderId="32" xfId="0" applyFont="1" applyBorder="1" applyAlignment="1">
      <alignment horizontal="left" vertical="center" wrapText="1"/>
    </xf>
    <xf numFmtId="0" fontId="1" fillId="0" borderId="61" xfId="0" applyFont="1" applyBorder="1" applyAlignment="1">
      <alignment horizontal="left" vertical="center" wrapText="1"/>
    </xf>
    <xf numFmtId="0" fontId="72" fillId="4" borderId="15" xfId="246" applyFont="1" applyFill="1" applyBorder="1" applyAlignment="1">
      <alignment horizontal="left" vertical="center" wrapText="1"/>
    </xf>
    <xf numFmtId="0" fontId="68" fillId="3" borderId="0" xfId="0" applyFont="1" applyFill="1" applyAlignment="1">
      <alignment horizontal="left" vertical="center"/>
    </xf>
    <xf numFmtId="0" fontId="10" fillId="3" borderId="31" xfId="0" applyFont="1" applyFill="1" applyBorder="1" applyAlignment="1">
      <alignment horizontal="center" vertical="center"/>
    </xf>
    <xf numFmtId="0" fontId="10" fillId="3" borderId="30" xfId="0" applyFont="1" applyFill="1" applyBorder="1" applyAlignment="1">
      <alignment horizontal="center" vertical="center"/>
    </xf>
    <xf numFmtId="0" fontId="1" fillId="0" borderId="35" xfId="0" applyFont="1" applyBorder="1" applyAlignment="1">
      <alignment vertical="center" wrapText="1"/>
    </xf>
    <xf numFmtId="0" fontId="1" fillId="0" borderId="33" xfId="0" applyFont="1" applyBorder="1" applyAlignment="1">
      <alignment vertical="center" wrapText="1"/>
    </xf>
    <xf numFmtId="0" fontId="1" fillId="0" borderId="31" xfId="0" applyFont="1" applyBorder="1" applyAlignment="1">
      <alignment vertical="center" wrapText="1"/>
    </xf>
    <xf numFmtId="0" fontId="1" fillId="0" borderId="35" xfId="0" applyFont="1" applyBorder="1" applyAlignment="1">
      <alignment vertical="center"/>
    </xf>
    <xf numFmtId="0" fontId="1" fillId="0" borderId="33" xfId="0" applyFont="1" applyBorder="1" applyAlignment="1">
      <alignment vertical="center"/>
    </xf>
    <xf numFmtId="0" fontId="1" fillId="0" borderId="31" xfId="0" applyFont="1" applyBorder="1" applyAlignment="1">
      <alignment vertical="center"/>
    </xf>
    <xf numFmtId="0" fontId="1" fillId="0" borderId="35" xfId="0" quotePrefix="1" applyFont="1" applyBorder="1" applyAlignment="1">
      <alignment vertical="center" wrapText="1"/>
    </xf>
    <xf numFmtId="49" fontId="1" fillId="0" borderId="35" xfId="0" quotePrefix="1" applyNumberFormat="1" applyFont="1" applyBorder="1" applyAlignment="1">
      <alignment vertical="center" wrapText="1"/>
    </xf>
    <xf numFmtId="49" fontId="1" fillId="0" borderId="33" xfId="0" applyNumberFormat="1" applyFont="1" applyBorder="1" applyAlignment="1">
      <alignment vertical="center" wrapText="1"/>
    </xf>
    <xf numFmtId="49" fontId="1" fillId="0" borderId="31" xfId="0" applyNumberFormat="1" applyFont="1" applyBorder="1" applyAlignment="1">
      <alignment vertical="center" wrapText="1"/>
    </xf>
    <xf numFmtId="49" fontId="1" fillId="0" borderId="35" xfId="0" quotePrefix="1" applyNumberFormat="1" applyFont="1" applyBorder="1" applyAlignment="1">
      <alignment horizontal="center" vertical="center" wrapText="1"/>
    </xf>
    <xf numFmtId="49" fontId="1" fillId="0" borderId="33" xfId="0" quotePrefix="1" applyNumberFormat="1" applyFont="1" applyBorder="1" applyAlignment="1">
      <alignment horizontal="center" vertical="center" wrapText="1"/>
    </xf>
    <xf numFmtId="49" fontId="1" fillId="0" borderId="31" xfId="0" quotePrefix="1" applyNumberFormat="1" applyFont="1" applyBorder="1" applyAlignment="1">
      <alignment horizontal="center" vertical="center" wrapText="1"/>
    </xf>
    <xf numFmtId="0" fontId="55" fillId="31" borderId="0" xfId="0" applyFont="1" applyFill="1" applyAlignment="1" applyProtection="1">
      <alignment horizontal="center" vertical="center"/>
      <protection hidden="1"/>
    </xf>
    <xf numFmtId="0" fontId="55" fillId="30" borderId="0" xfId="226" applyFont="1" applyFill="1" applyBorder="1" applyAlignment="1" applyProtection="1">
      <alignment horizontal="center" vertical="center" wrapText="1"/>
      <protection locked="0"/>
    </xf>
    <xf numFmtId="0" fontId="52" fillId="30" borderId="0" xfId="226" applyFont="1" applyFill="1" applyBorder="1" applyAlignment="1" applyProtection="1">
      <alignment horizontal="left" vertical="center" wrapText="1"/>
      <protection locked="0" hidden="1"/>
    </xf>
    <xf numFmtId="0" fontId="52" fillId="30" borderId="42" xfId="226" applyFont="1" applyFill="1" applyBorder="1" applyAlignment="1" applyProtection="1">
      <alignment horizontal="left" vertical="center" wrapText="1"/>
      <protection locked="0" hidden="1"/>
    </xf>
    <xf numFmtId="0" fontId="65" fillId="44" borderId="0" xfId="0" applyFont="1" applyFill="1" applyAlignment="1">
      <alignment horizontal="left" vertical="center" wrapText="1"/>
    </xf>
    <xf numFmtId="0" fontId="54" fillId="44" borderId="0" xfId="0" applyFont="1" applyFill="1" applyAlignment="1">
      <alignment horizontal="center" vertical="center" wrapText="1"/>
    </xf>
    <xf numFmtId="0" fontId="81" fillId="0" borderId="28" xfId="0" applyFont="1" applyBorder="1" applyAlignment="1">
      <alignment horizontal="center" vertical="center" wrapText="1"/>
    </xf>
    <xf numFmtId="0" fontId="16" fillId="25" borderId="18" xfId="254" applyFont="1" applyBorder="1" applyAlignment="1" applyProtection="1">
      <alignment horizontal="left" vertical="center" wrapText="1"/>
      <protection hidden="1"/>
    </xf>
    <xf numFmtId="0" fontId="0" fillId="25" borderId="23" xfId="254" applyFont="1" applyBorder="1" applyAlignment="1" applyProtection="1">
      <alignment horizontal="left" vertical="center" wrapText="1"/>
      <protection hidden="1"/>
    </xf>
    <xf numFmtId="0" fontId="0" fillId="25" borderId="17" xfId="254" applyFont="1" applyBorder="1" applyAlignment="1" applyProtection="1">
      <alignment horizontal="left" vertical="center" wrapText="1"/>
      <protection hidden="1"/>
    </xf>
    <xf numFmtId="0" fontId="85" fillId="31" borderId="17" xfId="0" applyFont="1" applyFill="1" applyBorder="1" applyAlignment="1" applyProtection="1">
      <alignment horizontal="left" vertical="center" wrapText="1"/>
      <protection hidden="1"/>
    </xf>
    <xf numFmtId="0" fontId="15" fillId="25" borderId="73" xfId="254" applyBorder="1" applyAlignment="1" applyProtection="1">
      <alignment horizontal="center" vertical="center" wrapText="1"/>
      <protection hidden="1"/>
    </xf>
    <xf numFmtId="1" fontId="52" fillId="30" borderId="0" xfId="226" applyNumberFormat="1" applyFont="1" applyFill="1" applyBorder="1" applyAlignment="1" applyProtection="1">
      <alignment horizontal="left" vertical="center" wrapText="1"/>
      <protection locked="0" hidden="1"/>
    </xf>
    <xf numFmtId="1" fontId="52" fillId="30" borderId="42" xfId="226" applyNumberFormat="1" applyFont="1" applyFill="1" applyBorder="1" applyAlignment="1" applyProtection="1">
      <alignment horizontal="left" vertical="center" wrapText="1"/>
      <protection locked="0" hidden="1"/>
    </xf>
    <xf numFmtId="0" fontId="16" fillId="25" borderId="21" xfId="254" applyFont="1" applyBorder="1" applyAlignment="1" applyProtection="1">
      <alignment horizontal="left" vertical="center" wrapText="1"/>
      <protection hidden="1"/>
    </xf>
    <xf numFmtId="0" fontId="0" fillId="25" borderId="0" xfId="254" applyFont="1" applyBorder="1" applyAlignment="1" applyProtection="1">
      <alignment horizontal="left" vertical="center" wrapText="1"/>
      <protection hidden="1"/>
    </xf>
    <xf numFmtId="0" fontId="0" fillId="4" borderId="26" xfId="0" applyFill="1" applyBorder="1" applyAlignment="1" applyProtection="1">
      <alignment horizontal="left" vertical="center" wrapText="1"/>
      <protection locked="0" hidden="1"/>
    </xf>
    <xf numFmtId="0" fontId="0" fillId="4" borderId="29" xfId="0" applyFill="1" applyBorder="1" applyAlignment="1" applyProtection="1">
      <alignment horizontal="left" vertical="center" wrapText="1"/>
      <protection locked="0" hidden="1"/>
    </xf>
    <xf numFmtId="0" fontId="0" fillId="4" borderId="20" xfId="0" applyFill="1" applyBorder="1" applyAlignment="1" applyProtection="1">
      <alignment horizontal="left" vertical="center" wrapText="1"/>
      <protection locked="0" hidden="1"/>
    </xf>
    <xf numFmtId="0" fontId="16" fillId="32" borderId="18" xfId="254" applyFont="1" applyFill="1" applyBorder="1" applyAlignment="1" applyProtection="1">
      <alignment horizontal="left" vertical="center" wrapText="1"/>
      <protection hidden="1"/>
    </xf>
    <xf numFmtId="0" fontId="0" fillId="25" borderId="12" xfId="254" applyFont="1" applyAlignment="1" applyProtection="1">
      <alignment horizontal="left" vertical="center" wrapText="1"/>
      <protection hidden="1"/>
    </xf>
    <xf numFmtId="0" fontId="16" fillId="32" borderId="22" xfId="254" applyFont="1" applyFill="1" applyBorder="1" applyAlignment="1" applyProtection="1">
      <alignment horizontal="left" vertical="center" wrapText="1"/>
      <protection hidden="1"/>
    </xf>
    <xf numFmtId="0" fontId="16" fillId="32" borderId="29" xfId="254" applyFont="1" applyFill="1" applyBorder="1" applyAlignment="1" applyProtection="1">
      <alignment horizontal="left" vertical="center" wrapText="1"/>
      <protection hidden="1"/>
    </xf>
    <xf numFmtId="0" fontId="16" fillId="32" borderId="20" xfId="254" applyFont="1" applyFill="1" applyBorder="1" applyAlignment="1" applyProtection="1">
      <alignment horizontal="left" vertical="center" wrapText="1"/>
      <protection hidden="1"/>
    </xf>
    <xf numFmtId="1" fontId="52" fillId="30" borderId="36" xfId="226" applyNumberFormat="1" applyFont="1" applyFill="1" applyBorder="1" applyAlignment="1" applyProtection="1">
      <alignment horizontal="left" vertical="center" wrapText="1"/>
      <protection locked="0" hidden="1"/>
    </xf>
    <xf numFmtId="1" fontId="52" fillId="30" borderId="37" xfId="226" applyNumberFormat="1" applyFont="1" applyFill="1" applyBorder="1" applyAlignment="1" applyProtection="1">
      <alignment horizontal="left" vertical="center" wrapText="1"/>
      <protection locked="0" hidden="1"/>
    </xf>
    <xf numFmtId="0" fontId="49" fillId="0" borderId="0" xfId="0" applyFont="1" applyAlignment="1" applyProtection="1">
      <alignment horizontal="left" vertical="center" wrapText="1"/>
      <protection hidden="1"/>
    </xf>
    <xf numFmtId="0" fontId="50" fillId="0" borderId="0" xfId="0" applyFont="1" applyAlignment="1" applyProtection="1">
      <alignment horizontal="left" vertical="center" wrapText="1"/>
      <protection hidden="1"/>
    </xf>
    <xf numFmtId="0" fontId="16" fillId="25" borderId="26" xfId="254" applyFont="1" applyBorder="1" applyAlignment="1" applyProtection="1">
      <alignment horizontal="left" vertical="center" wrapText="1"/>
      <protection hidden="1"/>
    </xf>
    <xf numFmtId="0" fontId="16" fillId="25" borderId="29" xfId="254" applyFont="1" applyBorder="1" applyAlignment="1" applyProtection="1">
      <alignment horizontal="left" vertical="center" wrapText="1"/>
      <protection hidden="1"/>
    </xf>
    <xf numFmtId="0" fontId="16" fillId="25" borderId="20" xfId="254" applyFont="1" applyBorder="1" applyAlignment="1" applyProtection="1">
      <alignment horizontal="left" vertical="center" wrapText="1"/>
      <protection hidden="1"/>
    </xf>
    <xf numFmtId="0" fontId="16" fillId="25" borderId="22" xfId="254" applyFont="1" applyBorder="1" applyAlignment="1" applyProtection="1">
      <alignment horizontal="left" vertical="center" wrapText="1"/>
      <protection hidden="1"/>
    </xf>
    <xf numFmtId="0" fontId="16" fillId="25" borderId="24" xfId="254" applyFont="1" applyBorder="1" applyAlignment="1" applyProtection="1">
      <alignment horizontal="left" vertical="center" wrapText="1"/>
      <protection hidden="1"/>
    </xf>
    <xf numFmtId="0" fontId="15" fillId="25" borderId="0" xfId="254" applyBorder="1" applyAlignment="1" applyProtection="1">
      <alignment horizontal="left" vertical="center" wrapText="1"/>
      <protection hidden="1"/>
    </xf>
    <xf numFmtId="0" fontId="15" fillId="25" borderId="17" xfId="254" applyBorder="1" applyAlignment="1" applyProtection="1">
      <alignment horizontal="left" vertical="center" wrapText="1"/>
      <protection hidden="1"/>
    </xf>
    <xf numFmtId="0" fontId="15" fillId="0" borderId="26" xfId="254" applyFill="1" applyBorder="1" applyAlignment="1" applyProtection="1">
      <alignment horizontal="left" vertical="center" wrapText="1"/>
      <protection locked="0" hidden="1"/>
    </xf>
    <xf numFmtId="0" fontId="15" fillId="0" borderId="20" xfId="254" applyFill="1" applyBorder="1" applyAlignment="1" applyProtection="1">
      <alignment horizontal="left" vertical="center" wrapText="1"/>
      <protection locked="0" hidden="1"/>
    </xf>
    <xf numFmtId="0" fontId="0" fillId="4" borderId="27" xfId="0" applyFill="1" applyBorder="1" applyAlignment="1" applyProtection="1">
      <alignment horizontal="left" vertical="center" wrapText="1"/>
      <protection locked="0" hidden="1"/>
    </xf>
    <xf numFmtId="0" fontId="0" fillId="4" borderId="39" xfId="0" applyFill="1" applyBorder="1" applyAlignment="1" applyProtection="1">
      <alignment horizontal="left" vertical="center" wrapText="1"/>
      <protection locked="0" hidden="1"/>
    </xf>
    <xf numFmtId="0" fontId="0" fillId="32" borderId="29" xfId="254" applyFont="1" applyFill="1" applyBorder="1" applyAlignment="1" applyProtection="1">
      <alignment horizontal="left" vertical="center" wrapText="1"/>
      <protection hidden="1"/>
    </xf>
    <xf numFmtId="0" fontId="16" fillId="32" borderId="21" xfId="254" applyFont="1" applyFill="1" applyBorder="1" applyAlignment="1" applyProtection="1">
      <alignment horizontal="left" vertical="center" wrapText="1"/>
      <protection hidden="1"/>
    </xf>
    <xf numFmtId="0" fontId="85" fillId="31" borderId="0" xfId="0" applyFont="1" applyFill="1" applyAlignment="1" applyProtection="1">
      <alignment horizontal="left" vertical="center" wrapText="1"/>
      <protection hidden="1"/>
    </xf>
    <xf numFmtId="0" fontId="0" fillId="4" borderId="26" xfId="0" applyFill="1" applyBorder="1" applyAlignment="1" applyProtection="1">
      <alignment horizontal="center" vertical="center" wrapText="1"/>
      <protection locked="0" hidden="1"/>
    </xf>
    <xf numFmtId="0" fontId="0" fillId="4" borderId="20" xfId="0" applyFill="1" applyBorder="1" applyAlignment="1" applyProtection="1">
      <alignment horizontal="center" vertical="center" wrapText="1"/>
      <protection locked="0" hidden="1"/>
    </xf>
    <xf numFmtId="0" fontId="19" fillId="5" borderId="29" xfId="4" applyBorder="1" applyAlignment="1" applyProtection="1">
      <alignment horizontal="left" vertical="center" wrapText="1"/>
      <protection hidden="1"/>
    </xf>
    <xf numFmtId="0" fontId="19" fillId="5" borderId="20" xfId="4" applyBorder="1" applyAlignment="1" applyProtection="1">
      <alignment horizontal="left" vertical="center" wrapText="1"/>
      <protection hidden="1"/>
    </xf>
    <xf numFmtId="0" fontId="57" fillId="30" borderId="18" xfId="226" applyFont="1" applyFill="1" applyBorder="1" applyAlignment="1" applyProtection="1">
      <alignment horizontal="left" vertical="center" wrapText="1"/>
      <protection hidden="1"/>
    </xf>
    <xf numFmtId="0" fontId="6" fillId="30" borderId="12" xfId="226" applyFont="1" applyFill="1" applyAlignment="1" applyProtection="1">
      <alignment horizontal="left" vertical="center" wrapText="1"/>
      <protection hidden="1"/>
    </xf>
    <xf numFmtId="0" fontId="57" fillId="30" borderId="29" xfId="226" applyFont="1" applyFill="1" applyBorder="1" applyAlignment="1" applyProtection="1">
      <alignment horizontal="center" vertical="center" wrapText="1"/>
      <protection hidden="1"/>
    </xf>
    <xf numFmtId="0" fontId="57" fillId="30" borderId="20" xfId="226" applyFont="1" applyFill="1" applyBorder="1" applyAlignment="1" applyProtection="1">
      <alignment horizontal="center" vertical="center" wrapText="1"/>
      <protection hidden="1"/>
    </xf>
    <xf numFmtId="0" fontId="6" fillId="4" borderId="29" xfId="0" applyFont="1" applyFill="1" applyBorder="1" applyAlignment="1" applyProtection="1">
      <alignment horizontal="left" vertical="center" wrapText="1"/>
      <protection locked="0" hidden="1"/>
    </xf>
    <xf numFmtId="0" fontId="6" fillId="4" borderId="20" xfId="0" applyFont="1" applyFill="1" applyBorder="1" applyAlignment="1" applyProtection="1">
      <alignment horizontal="left" vertical="center" wrapText="1"/>
      <protection locked="0" hidden="1"/>
    </xf>
    <xf numFmtId="0" fontId="65" fillId="44" borderId="0" xfId="0" applyFont="1" applyFill="1" applyAlignment="1" applyProtection="1">
      <alignment horizontal="left" vertical="center"/>
      <protection hidden="1"/>
    </xf>
    <xf numFmtId="0" fontId="6" fillId="30" borderId="0" xfId="226" applyFont="1" applyFill="1" applyBorder="1" applyAlignment="1" applyProtection="1">
      <alignment horizontal="center" vertical="center" wrapText="1"/>
      <protection hidden="1"/>
    </xf>
    <xf numFmtId="0" fontId="65" fillId="44" borderId="0" xfId="0" applyFont="1" applyFill="1" applyAlignment="1" applyProtection="1">
      <alignment horizontal="left" vertical="center" wrapText="1"/>
      <protection hidden="1"/>
    </xf>
    <xf numFmtId="0" fontId="54" fillId="44" borderId="0" xfId="0" applyFont="1" applyFill="1" applyAlignment="1" applyProtection="1">
      <alignment horizontal="center" vertical="center" wrapText="1"/>
      <protection hidden="1"/>
    </xf>
    <xf numFmtId="0" fontId="55" fillId="31" borderId="17" xfId="0" applyFont="1" applyFill="1" applyBorder="1" applyAlignment="1" applyProtection="1">
      <alignment horizontal="left" vertical="center" wrapText="1"/>
      <protection hidden="1"/>
    </xf>
    <xf numFmtId="0" fontId="57" fillId="30" borderId="21" xfId="226" applyFont="1" applyFill="1" applyBorder="1" applyAlignment="1" applyProtection="1">
      <alignment horizontal="left" vertical="center" wrapText="1"/>
      <protection hidden="1"/>
    </xf>
    <xf numFmtId="0" fontId="6" fillId="30" borderId="0" xfId="226" applyFont="1" applyFill="1" applyBorder="1" applyAlignment="1" applyProtection="1">
      <alignment horizontal="left" vertical="center" wrapText="1"/>
      <protection hidden="1"/>
    </xf>
    <xf numFmtId="0" fontId="6" fillId="30" borderId="17" xfId="226" applyFont="1" applyFill="1" applyBorder="1" applyAlignment="1" applyProtection="1">
      <alignment horizontal="left" vertical="center" wrapText="1"/>
      <protection hidden="1"/>
    </xf>
    <xf numFmtId="0" fontId="55" fillId="30" borderId="0" xfId="226" applyFont="1" applyFill="1" applyBorder="1" applyAlignment="1" applyProtection="1">
      <alignment horizontal="center" vertical="center" wrapText="1"/>
      <protection locked="0" hidden="1"/>
    </xf>
    <xf numFmtId="0" fontId="51" fillId="0" borderId="0" xfId="0" applyFont="1" applyAlignment="1" applyProtection="1">
      <alignment horizontal="center" vertical="center" wrapText="1"/>
      <protection hidden="1"/>
    </xf>
    <xf numFmtId="0" fontId="6" fillId="30" borderId="40" xfId="226" applyFont="1" applyFill="1" applyBorder="1" applyAlignment="1" applyProtection="1">
      <alignment horizontal="center" vertical="center"/>
      <protection hidden="1"/>
    </xf>
    <xf numFmtId="0" fontId="6" fillId="30" borderId="19" xfId="226" applyFont="1" applyFill="1" applyBorder="1" applyAlignment="1" applyProtection="1">
      <alignment horizontal="center" vertical="center"/>
      <protection hidden="1"/>
    </xf>
    <xf numFmtId="0" fontId="57" fillId="30" borderId="22" xfId="226" applyFont="1" applyFill="1" applyBorder="1" applyAlignment="1" applyProtection="1">
      <alignment horizontal="left" vertical="center" wrapText="1"/>
      <protection hidden="1"/>
    </xf>
    <xf numFmtId="0" fontId="57" fillId="30" borderId="24" xfId="226" applyFont="1" applyFill="1" applyBorder="1" applyAlignment="1" applyProtection="1">
      <alignment horizontal="left" vertical="center" wrapText="1"/>
      <protection hidden="1"/>
    </xf>
    <xf numFmtId="0" fontId="6" fillId="30" borderId="23" xfId="226" applyFont="1" applyFill="1" applyBorder="1" applyAlignment="1" applyProtection="1">
      <alignment horizontal="left" vertical="center" wrapText="1"/>
      <protection hidden="1"/>
    </xf>
    <xf numFmtId="0" fontId="6" fillId="0" borderId="26" xfId="226" applyFont="1" applyFill="1" applyBorder="1" applyAlignment="1" applyProtection="1">
      <alignment horizontal="left" vertical="center" wrapText="1"/>
      <protection locked="0" hidden="1"/>
    </xf>
    <xf numFmtId="0" fontId="6" fillId="0" borderId="20" xfId="226" applyFont="1" applyFill="1" applyBorder="1" applyAlignment="1" applyProtection="1">
      <alignment horizontal="left" vertical="center" wrapText="1"/>
      <protection locked="0" hidden="1"/>
    </xf>
    <xf numFmtId="0" fontId="57" fillId="32" borderId="18" xfId="226" applyFont="1" applyFill="1" applyBorder="1" applyAlignment="1" applyProtection="1">
      <alignment horizontal="left" vertical="center" wrapText="1"/>
      <protection hidden="1"/>
    </xf>
    <xf numFmtId="0" fontId="57" fillId="32" borderId="22" xfId="226" applyFont="1" applyFill="1" applyBorder="1" applyAlignment="1" applyProtection="1">
      <alignment horizontal="left" vertical="center" wrapText="1"/>
      <protection hidden="1"/>
    </xf>
    <xf numFmtId="0" fontId="6" fillId="4" borderId="27" xfId="0" applyFont="1" applyFill="1" applyBorder="1" applyAlignment="1" applyProtection="1">
      <alignment horizontal="left" vertical="center" wrapText="1"/>
      <protection locked="0" hidden="1"/>
    </xf>
    <xf numFmtId="0" fontId="6" fillId="4" borderId="39" xfId="0" applyFont="1" applyFill="1" applyBorder="1" applyAlignment="1" applyProtection="1">
      <alignment horizontal="left" vertical="center" wrapText="1"/>
      <protection locked="0" hidden="1"/>
    </xf>
    <xf numFmtId="0" fontId="6" fillId="30" borderId="22" xfId="226" applyFont="1" applyFill="1" applyBorder="1" applyAlignment="1" applyProtection="1">
      <alignment horizontal="center" vertical="center" wrapText="1"/>
      <protection hidden="1"/>
    </xf>
    <xf numFmtId="0" fontId="6" fillId="30" borderId="21" xfId="226" applyFont="1" applyFill="1" applyBorder="1" applyAlignment="1" applyProtection="1">
      <alignment horizontal="center" vertical="center" wrapText="1"/>
      <protection hidden="1"/>
    </xf>
    <xf numFmtId="0" fontId="6" fillId="4" borderId="23" xfId="0" applyFont="1" applyFill="1" applyBorder="1" applyAlignment="1" applyProtection="1">
      <alignment horizontal="left" vertical="center" wrapText="1"/>
      <protection locked="0" hidden="1"/>
    </xf>
    <xf numFmtId="0" fontId="6" fillId="4" borderId="0" xfId="0" applyFont="1" applyFill="1" applyAlignment="1" applyProtection="1">
      <alignment horizontal="left" vertical="center" wrapText="1"/>
      <protection locked="0" hidden="1"/>
    </xf>
    <xf numFmtId="0" fontId="6" fillId="4" borderId="17" xfId="0" applyFont="1" applyFill="1" applyBorder="1" applyAlignment="1" applyProtection="1">
      <alignment horizontal="left" vertical="center" wrapText="1"/>
      <protection locked="0" hidden="1"/>
    </xf>
    <xf numFmtId="0" fontId="52" fillId="30" borderId="15" xfId="226" applyFont="1" applyFill="1" applyBorder="1" applyAlignment="1" applyProtection="1">
      <alignment horizontal="left" vertical="center" wrapText="1"/>
      <protection locked="0" hidden="1"/>
    </xf>
    <xf numFmtId="0" fontId="52" fillId="30" borderId="16" xfId="226" applyFont="1" applyFill="1" applyBorder="1" applyAlignment="1" applyProtection="1">
      <alignment horizontal="left" vertical="center" wrapText="1"/>
      <protection locked="0" hidden="1"/>
    </xf>
    <xf numFmtId="0" fontId="6" fillId="30" borderId="23" xfId="226" applyFont="1" applyFill="1" applyBorder="1" applyAlignment="1" applyProtection="1">
      <alignment horizontal="center" vertical="center" wrapText="1"/>
      <protection hidden="1"/>
    </xf>
    <xf numFmtId="0" fontId="6" fillId="30" borderId="17" xfId="226" applyFont="1" applyFill="1" applyBorder="1" applyAlignment="1" applyProtection="1">
      <alignment horizontal="center" vertical="center" wrapText="1"/>
      <protection hidden="1"/>
    </xf>
    <xf numFmtId="166" fontId="6" fillId="30" borderId="23" xfId="226" applyNumberFormat="1" applyFont="1" applyFill="1" applyBorder="1" applyAlignment="1" applyProtection="1">
      <alignment horizontal="center" vertical="center"/>
      <protection hidden="1"/>
    </xf>
    <xf numFmtId="166" fontId="6" fillId="30" borderId="17" xfId="226" applyNumberFormat="1" applyFont="1" applyFill="1" applyBorder="1" applyAlignment="1" applyProtection="1">
      <alignment horizontal="center" vertical="center"/>
      <protection hidden="1"/>
    </xf>
    <xf numFmtId="0" fontId="55" fillId="24" borderId="0" xfId="226" applyFont="1" applyFill="1" applyBorder="1" applyAlignment="1" applyProtection="1">
      <alignment horizontal="center" vertical="center" wrapText="1"/>
      <protection locked="0"/>
    </xf>
    <xf numFmtId="0" fontId="52" fillId="22" borderId="0" xfId="226" applyFont="1" applyFill="1" applyBorder="1" applyAlignment="1" applyProtection="1">
      <alignment horizontal="left" vertical="center" wrapText="1"/>
      <protection locked="0" hidden="1"/>
    </xf>
    <xf numFmtId="0" fontId="52" fillId="22" borderId="42" xfId="226" applyFont="1" applyFill="1" applyBorder="1" applyAlignment="1" applyProtection="1">
      <alignment horizontal="left" vertical="center" wrapText="1"/>
      <protection locked="0" hidden="1"/>
    </xf>
    <xf numFmtId="0" fontId="52" fillId="22" borderId="15" xfId="226" applyFont="1" applyFill="1" applyBorder="1" applyAlignment="1" applyProtection="1">
      <alignment horizontal="left" vertical="center" wrapText="1"/>
      <protection locked="0" hidden="1"/>
    </xf>
    <xf numFmtId="0" fontId="52" fillId="22" borderId="16" xfId="226" applyFont="1" applyFill="1" applyBorder="1" applyAlignment="1" applyProtection="1">
      <alignment horizontal="left" vertical="center" wrapText="1"/>
      <protection locked="0" hidden="1"/>
    </xf>
    <xf numFmtId="0" fontId="85" fillId="23" borderId="17" xfId="0" applyFont="1" applyFill="1" applyBorder="1" applyAlignment="1" applyProtection="1">
      <alignment horizontal="left" vertical="center" wrapText="1"/>
      <protection hidden="1"/>
    </xf>
    <xf numFmtId="1" fontId="52" fillId="22" borderId="36" xfId="226" applyNumberFormat="1" applyFont="1" applyFill="1" applyBorder="1" applyAlignment="1" applyProtection="1">
      <alignment horizontal="left" vertical="center" wrapText="1"/>
      <protection locked="0" hidden="1"/>
    </xf>
    <xf numFmtId="1" fontId="52" fillId="22" borderId="37" xfId="226" applyNumberFormat="1" applyFont="1" applyFill="1" applyBorder="1" applyAlignment="1" applyProtection="1">
      <alignment horizontal="left" vertical="center" wrapText="1"/>
      <protection locked="0" hidden="1"/>
    </xf>
    <xf numFmtId="1" fontId="52" fillId="22" borderId="0" xfId="226" applyNumberFormat="1" applyFont="1" applyFill="1" applyBorder="1" applyAlignment="1" applyProtection="1">
      <alignment horizontal="left" vertical="center" wrapText="1"/>
      <protection locked="0" hidden="1"/>
    </xf>
    <xf numFmtId="1" fontId="52" fillId="22" borderId="42" xfId="226" applyNumberFormat="1" applyFont="1" applyFill="1" applyBorder="1" applyAlignment="1" applyProtection="1">
      <alignment horizontal="left" vertical="center" wrapText="1"/>
      <protection locked="0" hidden="1"/>
    </xf>
    <xf numFmtId="0" fontId="16" fillId="52" borderId="21" xfId="247" applyFont="1" applyFill="1" applyBorder="1" applyAlignment="1" applyProtection="1">
      <alignment horizontal="left" vertical="center" wrapText="1"/>
      <protection hidden="1"/>
    </xf>
    <xf numFmtId="0" fontId="16" fillId="52" borderId="18" xfId="247" applyFont="1" applyFill="1" applyBorder="1" applyAlignment="1" applyProtection="1">
      <alignment horizontal="left" vertical="center" wrapText="1"/>
      <protection hidden="1"/>
    </xf>
    <xf numFmtId="0" fontId="0" fillId="52" borderId="17" xfId="247" applyFont="1" applyFill="1" applyBorder="1" applyAlignment="1" applyProtection="1">
      <alignment horizontal="left" vertical="center" wrapText="1"/>
      <protection hidden="1"/>
    </xf>
    <xf numFmtId="0" fontId="0" fillId="52" borderId="12" xfId="247" applyFont="1" applyFill="1" applyAlignment="1" applyProtection="1">
      <alignment horizontal="left" vertical="center" wrapText="1"/>
      <protection hidden="1"/>
    </xf>
    <xf numFmtId="0" fontId="16" fillId="52" borderId="22" xfId="247" applyFont="1" applyFill="1" applyBorder="1" applyAlignment="1" applyProtection="1">
      <alignment horizontal="left" vertical="center" wrapText="1"/>
      <protection hidden="1"/>
    </xf>
    <xf numFmtId="0" fontId="16" fillId="52" borderId="24" xfId="247" applyFont="1" applyFill="1" applyBorder="1" applyAlignment="1" applyProtection="1">
      <alignment horizontal="left" vertical="center" wrapText="1"/>
      <protection hidden="1"/>
    </xf>
    <xf numFmtId="0" fontId="0" fillId="52" borderId="21" xfId="0"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center" wrapText="1"/>
      <protection hidden="1"/>
    </xf>
    <xf numFmtId="0" fontId="0" fillId="52" borderId="0" xfId="247" applyFont="1" applyFill="1" applyBorder="1" applyAlignment="1" applyProtection="1">
      <alignment horizontal="left" vertical="center" wrapText="1"/>
      <protection hidden="1"/>
    </xf>
    <xf numFmtId="0" fontId="0" fillId="52" borderId="17" xfId="0" applyFill="1" applyBorder="1" applyAlignment="1" applyProtection="1">
      <alignment horizontal="left" vertical="center" wrapText="1"/>
      <protection hidden="1"/>
    </xf>
    <xf numFmtId="0" fontId="16" fillId="52" borderId="23" xfId="247" applyFont="1" applyFill="1" applyBorder="1" applyAlignment="1" applyProtection="1">
      <alignment horizontal="left" vertical="center" wrapText="1"/>
      <protection hidden="1"/>
    </xf>
    <xf numFmtId="0" fontId="16" fillId="52" borderId="17" xfId="247" applyFont="1" applyFill="1" applyBorder="1" applyAlignment="1" applyProtection="1">
      <alignment horizontal="left" vertical="center" wrapText="1"/>
      <protection hidden="1"/>
    </xf>
    <xf numFmtId="0" fontId="0" fillId="0" borderId="26" xfId="247" applyFont="1" applyFill="1" applyBorder="1" applyAlignment="1" applyProtection="1">
      <alignment horizontal="left" vertical="center" wrapText="1"/>
      <protection locked="0" hidden="1"/>
    </xf>
    <xf numFmtId="0" fontId="0" fillId="0" borderId="20" xfId="0" applyBorder="1" applyAlignment="1" applyProtection="1">
      <alignment horizontal="left" vertical="center" wrapText="1"/>
      <protection locked="0" hidden="1"/>
    </xf>
    <xf numFmtId="0" fontId="16" fillId="52" borderId="0" xfId="247" applyFont="1" applyFill="1" applyBorder="1" applyAlignment="1" applyProtection="1">
      <alignment horizontal="left" vertical="center" wrapText="1"/>
      <protection hidden="1"/>
    </xf>
    <xf numFmtId="0" fontId="16" fillId="52" borderId="26" xfId="247" applyFont="1" applyFill="1" applyBorder="1" applyAlignment="1" applyProtection="1">
      <alignment horizontal="center" vertical="center" wrapText="1"/>
      <protection hidden="1"/>
    </xf>
    <xf numFmtId="0" fontId="16" fillId="52" borderId="29" xfId="247" applyFont="1" applyFill="1" applyBorder="1" applyAlignment="1" applyProtection="1">
      <alignment horizontal="center" vertical="center" wrapText="1"/>
      <protection hidden="1"/>
    </xf>
    <xf numFmtId="0" fontId="16" fillId="52" borderId="20" xfId="247" applyFont="1" applyFill="1" applyBorder="1" applyAlignment="1" applyProtection="1">
      <alignment horizontal="center" vertical="center" wrapText="1"/>
      <protection hidden="1"/>
    </xf>
    <xf numFmtId="0" fontId="15" fillId="52" borderId="17" xfId="247" applyFill="1" applyBorder="1" applyAlignment="1" applyProtection="1">
      <alignment horizontal="left" vertical="center" wrapText="1"/>
      <protection hidden="1"/>
    </xf>
    <xf numFmtId="0" fontId="0" fillId="52" borderId="23" xfId="247" applyFont="1" applyFill="1" applyBorder="1" applyAlignment="1" applyProtection="1">
      <alignment horizontal="left" vertical="center"/>
      <protection hidden="1"/>
    </xf>
    <xf numFmtId="0" fontId="0" fillId="52" borderId="0" xfId="247" applyFont="1" applyFill="1" applyBorder="1" applyAlignment="1" applyProtection="1">
      <alignment horizontal="left" vertical="center"/>
      <protection hidden="1"/>
    </xf>
    <xf numFmtId="0" fontId="0" fillId="4" borderId="26" xfId="247" applyFont="1" applyFill="1" applyBorder="1" applyAlignment="1" applyProtection="1">
      <alignment horizontal="left" vertical="center" wrapText="1"/>
      <protection locked="0" hidden="1"/>
    </xf>
    <xf numFmtId="0" fontId="15" fillId="52" borderId="73" xfId="247" applyFill="1" applyBorder="1" applyAlignment="1" applyProtection="1">
      <alignment horizontal="center" vertical="center" wrapText="1"/>
      <protection hidden="1"/>
    </xf>
    <xf numFmtId="0" fontId="84" fillId="0" borderId="0" xfId="0" applyFont="1" applyAlignment="1">
      <alignment horizontal="center" vertical="center" wrapText="1"/>
    </xf>
    <xf numFmtId="0" fontId="84" fillId="0" borderId="42" xfId="0" applyFont="1" applyBorder="1" applyAlignment="1">
      <alignment horizontal="center" vertical="center" wrapText="1"/>
    </xf>
    <xf numFmtId="0" fontId="71" fillId="44" borderId="0" xfId="0" applyFont="1" applyFill="1" applyAlignment="1">
      <alignment horizontal="left" vertical="center" wrapText="1"/>
    </xf>
    <xf numFmtId="0" fontId="19" fillId="5" borderId="23" xfId="4" applyBorder="1" applyAlignment="1" applyProtection="1">
      <alignment horizontal="center" vertical="center"/>
      <protection hidden="1"/>
    </xf>
    <xf numFmtId="0" fontId="19" fillId="5" borderId="17" xfId="4" applyBorder="1" applyAlignment="1" applyProtection="1">
      <alignment horizontal="center" vertical="center"/>
      <protection hidden="1"/>
    </xf>
    <xf numFmtId="0" fontId="16" fillId="52" borderId="23" xfId="247" applyFont="1" applyFill="1" applyBorder="1" applyAlignment="1" applyProtection="1">
      <alignment horizontal="center" vertical="center" wrapText="1"/>
      <protection hidden="1"/>
    </xf>
    <xf numFmtId="0" fontId="16" fillId="52" borderId="0" xfId="247" applyFont="1" applyFill="1" applyBorder="1" applyAlignment="1" applyProtection="1">
      <alignment horizontal="center" vertical="center" wrapText="1"/>
      <protection hidden="1"/>
    </xf>
    <xf numFmtId="0" fontId="16" fillId="52" borderId="17" xfId="247" applyFont="1" applyFill="1" applyBorder="1" applyAlignment="1" applyProtection="1">
      <alignment horizontal="center" vertical="center" wrapText="1"/>
      <protection hidden="1"/>
    </xf>
    <xf numFmtId="0" fontId="19" fillId="5" borderId="23" xfId="4" applyBorder="1" applyAlignment="1" applyProtection="1">
      <alignment horizontal="center" vertical="center" wrapText="1"/>
      <protection hidden="1"/>
    </xf>
    <xf numFmtId="0" fontId="19" fillId="5" borderId="0" xfId="4" applyBorder="1" applyAlignment="1" applyProtection="1">
      <alignment horizontal="center" vertical="center" wrapText="1"/>
      <protection hidden="1"/>
    </xf>
    <xf numFmtId="0" fontId="19" fillId="5" borderId="17" xfId="4" applyBorder="1" applyAlignment="1" applyProtection="1">
      <alignment horizontal="center" vertical="center" wrapText="1"/>
      <protection hidden="1"/>
    </xf>
    <xf numFmtId="0" fontId="47" fillId="40" borderId="0" xfId="0" applyFont="1" applyFill="1" applyAlignment="1" applyProtection="1">
      <alignment horizontal="center" vertical="center"/>
      <protection hidden="1"/>
    </xf>
    <xf numFmtId="0" fontId="71" fillId="44" borderId="0" xfId="0" applyFont="1" applyFill="1" applyAlignment="1" applyProtection="1">
      <alignment horizontal="left" vertical="center" wrapText="1"/>
      <protection hidden="1"/>
    </xf>
    <xf numFmtId="0" fontId="57" fillId="22" borderId="18" xfId="225" applyFont="1" applyBorder="1" applyAlignment="1" applyProtection="1">
      <alignment horizontal="left" vertical="center" wrapText="1"/>
      <protection hidden="1"/>
    </xf>
    <xf numFmtId="0" fontId="6" fillId="22" borderId="12" xfId="225" applyFont="1" applyAlignment="1" applyProtection="1">
      <alignment horizontal="left" vertical="center" wrapText="1"/>
      <protection hidden="1"/>
    </xf>
    <xf numFmtId="0" fontId="57" fillId="22" borderId="22" xfId="225" applyFont="1" applyBorder="1" applyAlignment="1" applyProtection="1">
      <alignment horizontal="left" vertical="center" wrapText="1"/>
      <protection hidden="1"/>
    </xf>
    <xf numFmtId="0" fontId="57" fillId="22" borderId="24" xfId="225" applyFont="1" applyBorder="1" applyAlignment="1" applyProtection="1">
      <alignment horizontal="left" vertical="center" wrapText="1"/>
      <protection hidden="1"/>
    </xf>
    <xf numFmtId="0" fontId="6" fillId="22" borderId="21" xfId="0" applyFont="1" applyFill="1" applyBorder="1" applyAlignment="1" applyProtection="1">
      <alignment horizontal="left" vertical="center" wrapText="1"/>
      <protection hidden="1"/>
    </xf>
    <xf numFmtId="0" fontId="6" fillId="22" borderId="23" xfId="225" applyFont="1" applyBorder="1" applyAlignment="1" applyProtection="1">
      <alignment horizontal="left" vertical="center" wrapText="1"/>
      <protection hidden="1"/>
    </xf>
    <xf numFmtId="0" fontId="6" fillId="22" borderId="0" xfId="225" applyFont="1" applyBorder="1" applyAlignment="1" applyProtection="1">
      <alignment horizontal="left" vertical="center" wrapText="1"/>
      <protection hidden="1"/>
    </xf>
    <xf numFmtId="0" fontId="6" fillId="22" borderId="17" xfId="0" applyFont="1" applyFill="1" applyBorder="1" applyAlignment="1" applyProtection="1">
      <alignment horizontal="left" vertical="center" wrapText="1"/>
      <protection hidden="1"/>
    </xf>
    <xf numFmtId="0" fontId="55" fillId="23" borderId="17" xfId="0" applyFont="1" applyFill="1" applyBorder="1" applyAlignment="1" applyProtection="1">
      <alignment horizontal="left" vertical="center" wrapText="1"/>
      <protection hidden="1"/>
    </xf>
    <xf numFmtId="0" fontId="57" fillId="22" borderId="21" xfId="225" applyFont="1" applyBorder="1" applyAlignment="1" applyProtection="1">
      <alignment horizontal="left" vertical="center" wrapText="1"/>
      <protection hidden="1"/>
    </xf>
    <xf numFmtId="0" fontId="6" fillId="22" borderId="17" xfId="225" applyFont="1" applyBorder="1" applyAlignment="1" applyProtection="1">
      <alignment horizontal="left" vertical="center" wrapText="1"/>
      <protection hidden="1"/>
    </xf>
    <xf numFmtId="0" fontId="6" fillId="0" borderId="2" xfId="225" applyFont="1" applyFill="1" applyBorder="1" applyAlignment="1" applyProtection="1">
      <alignment horizontal="left" vertical="center" wrapText="1"/>
      <protection hidden="1"/>
    </xf>
    <xf numFmtId="0" fontId="55" fillId="24" borderId="0" xfId="226" applyFont="1" applyFill="1" applyBorder="1" applyAlignment="1" applyProtection="1">
      <alignment horizontal="center" vertical="center" wrapText="1"/>
      <protection locked="0" hidden="1"/>
    </xf>
    <xf numFmtId="0" fontId="56" fillId="0" borderId="0" xfId="0" applyFont="1" applyAlignment="1" applyProtection="1">
      <alignment horizontal="center" vertical="center" wrapText="1"/>
      <protection hidden="1"/>
    </xf>
    <xf numFmtId="0" fontId="56" fillId="4" borderId="0" xfId="0" applyFont="1" applyFill="1" applyAlignment="1" applyProtection="1">
      <alignment horizontal="center" vertical="center" wrapText="1"/>
      <protection hidden="1"/>
    </xf>
    <xf numFmtId="0" fontId="6" fillId="0" borderId="21" xfId="0" applyFont="1" applyBorder="1" applyAlignment="1" applyProtection="1">
      <alignment horizontal="left" vertical="center" wrapText="1"/>
      <protection hidden="1"/>
    </xf>
    <xf numFmtId="0" fontId="6" fillId="0" borderId="17" xfId="0" applyFont="1" applyBorder="1" applyAlignment="1" applyProtection="1">
      <alignment horizontal="left" vertical="center" wrapText="1"/>
      <protection hidden="1"/>
    </xf>
    <xf numFmtId="0" fontId="6" fillId="0" borderId="26" xfId="225" applyFont="1" applyFill="1" applyBorder="1" applyAlignment="1" applyProtection="1">
      <alignment horizontal="left" vertical="center" wrapText="1"/>
      <protection locked="0" hidden="1"/>
    </xf>
    <xf numFmtId="0" fontId="6" fillId="0" borderId="20" xfId="0" applyFont="1" applyBorder="1" applyAlignment="1" applyProtection="1">
      <alignment horizontal="left" vertical="center" wrapText="1"/>
      <protection locked="0" hidden="1"/>
    </xf>
    <xf numFmtId="0" fontId="6" fillId="22" borderId="0" xfId="225" applyFont="1" applyBorder="1" applyAlignment="1" applyProtection="1">
      <alignment horizontal="center" vertical="center" wrapText="1"/>
      <protection hidden="1"/>
    </xf>
    <xf numFmtId="0" fontId="57" fillId="22" borderId="26" xfId="225" applyFont="1" applyBorder="1" applyAlignment="1" applyProtection="1">
      <alignment horizontal="left" vertical="center" wrapText="1"/>
      <protection hidden="1"/>
    </xf>
    <xf numFmtId="0" fontId="57" fillId="22" borderId="29" xfId="225" applyFont="1" applyBorder="1" applyAlignment="1" applyProtection="1">
      <alignment horizontal="left" vertical="center" wrapText="1"/>
      <protection hidden="1"/>
    </xf>
    <xf numFmtId="0" fontId="61" fillId="4" borderId="26" xfId="0" applyFont="1" applyFill="1" applyBorder="1" applyAlignment="1" applyProtection="1">
      <alignment horizontal="left" vertical="center" wrapText="1"/>
      <protection locked="0" hidden="1"/>
    </xf>
    <xf numFmtId="0" fontId="61" fillId="4" borderId="29" xfId="0" applyFont="1" applyFill="1" applyBorder="1" applyAlignment="1" applyProtection="1">
      <alignment horizontal="left" vertical="center" wrapText="1"/>
      <protection locked="0" hidden="1"/>
    </xf>
    <xf numFmtId="0" fontId="6" fillId="0" borderId="29" xfId="225" applyFont="1" applyFill="1" applyBorder="1" applyAlignment="1" applyProtection="1">
      <alignment horizontal="left" vertical="center" wrapText="1"/>
      <protection locked="0" hidden="1"/>
    </xf>
    <xf numFmtId="0" fontId="6" fillId="0" borderId="20" xfId="225" applyFont="1" applyFill="1" applyBorder="1" applyAlignment="1" applyProtection="1">
      <alignment horizontal="left" vertical="center" wrapText="1"/>
      <protection locked="0" hidden="1"/>
    </xf>
    <xf numFmtId="0" fontId="6" fillId="0" borderId="26" xfId="0" applyFont="1" applyBorder="1" applyAlignment="1" applyProtection="1">
      <alignment horizontal="left" vertical="center" wrapText="1"/>
      <protection locked="0" hidden="1"/>
    </xf>
    <xf numFmtId="0" fontId="6" fillId="0" borderId="29" xfId="0" applyFont="1" applyBorder="1" applyAlignment="1" applyProtection="1">
      <alignment horizontal="left" vertical="center" wrapText="1"/>
      <protection locked="0" hidden="1"/>
    </xf>
    <xf numFmtId="0" fontId="6" fillId="4" borderId="26" xfId="0" applyFont="1" applyFill="1" applyBorder="1" applyAlignment="1" applyProtection="1">
      <alignment horizontal="left" vertical="center" wrapText="1"/>
      <protection locked="0" hidden="1"/>
    </xf>
    <xf numFmtId="0" fontId="47" fillId="29" borderId="0" xfId="0" applyFont="1" applyFill="1" applyAlignment="1" applyProtection="1">
      <alignment horizontal="center" vertical="center"/>
      <protection hidden="1"/>
    </xf>
    <xf numFmtId="1" fontId="52" fillId="35" borderId="0" xfId="226" applyNumberFormat="1" applyFont="1" applyFill="1" applyBorder="1" applyAlignment="1" applyProtection="1">
      <alignment horizontal="left" vertical="center" wrapText="1"/>
      <protection locked="0" hidden="1"/>
    </xf>
    <xf numFmtId="1" fontId="52" fillId="35" borderId="42" xfId="226" applyNumberFormat="1" applyFont="1" applyFill="1" applyBorder="1" applyAlignment="1" applyProtection="1">
      <alignment horizontal="left" vertical="center" wrapText="1"/>
      <protection locked="0" hidden="1"/>
    </xf>
    <xf numFmtId="0" fontId="55" fillId="29" borderId="0" xfId="226" applyFont="1" applyFill="1" applyBorder="1" applyAlignment="1" applyProtection="1">
      <alignment horizontal="center" vertical="center" wrapText="1"/>
      <protection locked="0"/>
    </xf>
    <xf numFmtId="0" fontId="57" fillId="35" borderId="0" xfId="0" applyFont="1" applyFill="1" applyAlignment="1" applyProtection="1">
      <alignment horizontal="center" vertical="center" wrapText="1"/>
      <protection hidden="1"/>
    </xf>
    <xf numFmtId="0" fontId="6" fillId="26" borderId="0" xfId="226" applyFont="1" applyFill="1" applyBorder="1" applyAlignment="1" applyProtection="1">
      <alignment horizontal="center" vertical="center" wrapText="1"/>
      <protection hidden="1"/>
    </xf>
    <xf numFmtId="0" fontId="6" fillId="25" borderId="0" xfId="226" applyFont="1" applyBorder="1" applyAlignment="1" applyProtection="1">
      <alignment horizontal="center" vertical="center" wrapText="1"/>
      <protection hidden="1"/>
    </xf>
    <xf numFmtId="0" fontId="57" fillId="26" borderId="22" xfId="226" applyFont="1" applyFill="1" applyBorder="1" applyAlignment="1" applyProtection="1">
      <alignment horizontal="left" vertical="center" wrapText="1"/>
      <protection hidden="1"/>
    </xf>
    <xf numFmtId="0" fontId="57" fillId="32" borderId="21" xfId="226" applyFont="1" applyFill="1" applyBorder="1" applyAlignment="1" applyProtection="1">
      <alignment horizontal="left" vertical="center" wrapText="1"/>
      <protection hidden="1"/>
    </xf>
    <xf numFmtId="0" fontId="6" fillId="33" borderId="23" xfId="226" applyFont="1" applyFill="1" applyBorder="1" applyAlignment="1" applyProtection="1">
      <alignment vertical="center" wrapText="1"/>
      <protection locked="0" hidden="1"/>
    </xf>
    <xf numFmtId="0" fontId="6" fillId="34" borderId="17" xfId="226" applyFont="1" applyFill="1" applyBorder="1" applyAlignment="1" applyProtection="1">
      <alignment vertical="center" wrapText="1"/>
      <protection locked="0" hidden="1"/>
    </xf>
    <xf numFmtId="0" fontId="57" fillId="26" borderId="18" xfId="226" applyFont="1" applyFill="1" applyBorder="1" applyAlignment="1" applyProtection="1">
      <alignment horizontal="left" vertical="center" wrapText="1"/>
      <protection hidden="1"/>
    </xf>
    <xf numFmtId="0" fontId="6" fillId="34" borderId="0" xfId="226" applyFont="1" applyFill="1" applyBorder="1" applyAlignment="1" applyProtection="1">
      <alignment vertical="center" wrapText="1"/>
      <protection locked="0" hidden="1"/>
    </xf>
    <xf numFmtId="0" fontId="6" fillId="26" borderId="23" xfId="226" applyFont="1" applyFill="1" applyBorder="1" applyAlignment="1" applyProtection="1">
      <alignment vertical="center" wrapText="1"/>
      <protection hidden="1"/>
    </xf>
    <xf numFmtId="0" fontId="6" fillId="25" borderId="0" xfId="226" applyFont="1" applyBorder="1" applyAlignment="1" applyProtection="1">
      <alignment vertical="center" wrapText="1"/>
      <protection hidden="1"/>
    </xf>
    <xf numFmtId="0" fontId="6" fillId="25" borderId="17" xfId="226" applyFont="1" applyBorder="1" applyAlignment="1" applyProtection="1">
      <alignment vertical="center" wrapText="1"/>
      <protection hidden="1"/>
    </xf>
    <xf numFmtId="0" fontId="55" fillId="28" borderId="17" xfId="0" applyFont="1" applyFill="1" applyBorder="1" applyAlignment="1" applyProtection="1">
      <alignment horizontal="left" vertical="center" wrapText="1"/>
      <protection hidden="1"/>
    </xf>
    <xf numFmtId="0" fontId="57" fillId="26" borderId="24" xfId="226" applyFont="1" applyFill="1" applyBorder="1" applyAlignment="1" applyProtection="1">
      <alignment horizontal="left" vertical="center" wrapText="1"/>
      <protection hidden="1"/>
    </xf>
    <xf numFmtId="0" fontId="6" fillId="33" borderId="23" xfId="226" applyFont="1" applyFill="1" applyBorder="1" applyAlignment="1" applyProtection="1">
      <alignment horizontal="left" vertical="center" wrapText="1"/>
      <protection locked="0" hidden="1"/>
    </xf>
    <xf numFmtId="0" fontId="6" fillId="33" borderId="0" xfId="226" applyFont="1" applyFill="1" applyBorder="1" applyAlignment="1" applyProtection="1">
      <alignment horizontal="left" vertical="center" wrapText="1"/>
      <protection locked="0" hidden="1"/>
    </xf>
    <xf numFmtId="0" fontId="6" fillId="33" borderId="17" xfId="226" applyFont="1" applyFill="1" applyBorder="1" applyAlignment="1" applyProtection="1">
      <alignment horizontal="left" vertical="center" wrapText="1"/>
      <protection locked="0" hidden="1"/>
    </xf>
    <xf numFmtId="0" fontId="57" fillId="26" borderId="21" xfId="226" applyFont="1" applyFill="1" applyBorder="1" applyAlignment="1" applyProtection="1">
      <alignment horizontal="left" vertical="center" wrapText="1"/>
      <protection hidden="1"/>
    </xf>
    <xf numFmtId="0" fontId="6" fillId="26" borderId="12" xfId="226" applyFont="1" applyFill="1" applyAlignment="1" applyProtection="1">
      <alignment vertical="center" wrapText="1"/>
      <protection hidden="1"/>
    </xf>
    <xf numFmtId="0" fontId="6" fillId="25" borderId="12" xfId="226" applyFont="1" applyAlignment="1" applyProtection="1">
      <alignment vertical="center" wrapText="1"/>
      <protection hidden="1"/>
    </xf>
    <xf numFmtId="0" fontId="6" fillId="25" borderId="23" xfId="226" applyFont="1" applyBorder="1" applyAlignment="1" applyProtection="1">
      <alignment vertical="center" wrapText="1"/>
      <protection hidden="1"/>
    </xf>
    <xf numFmtId="0" fontId="6" fillId="33" borderId="12" xfId="226" applyFont="1" applyFill="1" applyAlignment="1" applyProtection="1">
      <alignment vertical="center" wrapText="1"/>
      <protection locked="0" hidden="1"/>
    </xf>
    <xf numFmtId="0" fontId="6" fillId="34" borderId="23" xfId="226" applyFont="1" applyFill="1" applyBorder="1" applyAlignment="1" applyProtection="1">
      <alignment vertical="center" wrapText="1"/>
      <protection locked="0" hidden="1"/>
    </xf>
    <xf numFmtId="0" fontId="6" fillId="0" borderId="12" xfId="226" applyFont="1" applyFill="1" applyAlignment="1" applyProtection="1">
      <alignment vertical="center" wrapText="1"/>
      <protection locked="0" hidden="1"/>
    </xf>
    <xf numFmtId="0" fontId="57" fillId="25" borderId="21" xfId="226" applyFont="1" applyBorder="1" applyAlignment="1" applyProtection="1">
      <alignment horizontal="left" vertical="center" wrapText="1"/>
      <protection hidden="1"/>
    </xf>
    <xf numFmtId="0" fontId="55" fillId="28" borderId="0" xfId="0" applyFont="1" applyFill="1" applyAlignment="1" applyProtection="1">
      <alignment horizontal="left" vertical="center" wrapText="1"/>
      <protection hidden="1"/>
    </xf>
    <xf numFmtId="0" fontId="55" fillId="31" borderId="0" xfId="0" applyFont="1" applyFill="1" applyAlignment="1" applyProtection="1">
      <alignment horizontal="left" vertical="center" wrapText="1"/>
      <protection hidden="1"/>
    </xf>
    <xf numFmtId="0" fontId="57" fillId="32" borderId="24" xfId="226" applyFont="1" applyFill="1" applyBorder="1" applyAlignment="1" applyProtection="1">
      <alignment horizontal="left" vertical="center" wrapText="1"/>
      <protection hidden="1"/>
    </xf>
    <xf numFmtId="0" fontId="49" fillId="0" borderId="0" xfId="0" applyFont="1" applyAlignment="1" applyProtection="1">
      <alignment vertical="center" wrapText="1"/>
      <protection hidden="1"/>
    </xf>
    <xf numFmtId="1" fontId="52" fillId="35" borderId="36" xfId="226" applyNumberFormat="1" applyFont="1" applyFill="1" applyBorder="1" applyAlignment="1" applyProtection="1">
      <alignment horizontal="left" vertical="center" wrapText="1"/>
      <protection locked="0" hidden="1"/>
    </xf>
    <xf numFmtId="1" fontId="52" fillId="35" borderId="37" xfId="226" applyNumberFormat="1" applyFont="1" applyFill="1" applyBorder="1" applyAlignment="1" applyProtection="1">
      <alignment horizontal="left" vertical="center" wrapText="1"/>
      <protection locked="0" hidden="1"/>
    </xf>
    <xf numFmtId="0" fontId="52" fillId="35" borderId="0" xfId="226" applyFont="1" applyFill="1" applyBorder="1" applyAlignment="1" applyProtection="1">
      <alignment horizontal="left" vertical="center" wrapText="1"/>
      <protection locked="0" hidden="1"/>
    </xf>
    <xf numFmtId="0" fontId="52" fillId="35" borderId="42" xfId="226" applyFont="1" applyFill="1" applyBorder="1" applyAlignment="1" applyProtection="1">
      <alignment horizontal="left" vertical="center" wrapText="1"/>
      <protection locked="0" hidden="1"/>
    </xf>
    <xf numFmtId="0" fontId="55" fillId="29" borderId="17" xfId="0" applyFont="1" applyFill="1" applyBorder="1" applyAlignment="1" applyProtection="1">
      <alignment horizontal="left" vertical="center" wrapText="1"/>
      <protection hidden="1"/>
    </xf>
    <xf numFmtId="0" fontId="57" fillId="25" borderId="24" xfId="226" applyFont="1" applyBorder="1" applyAlignment="1" applyProtection="1">
      <alignment horizontal="left" vertical="center" wrapText="1"/>
      <protection hidden="1"/>
    </xf>
    <xf numFmtId="0" fontId="6" fillId="30" borderId="0" xfId="226" applyFont="1" applyFill="1" applyBorder="1" applyAlignment="1" applyProtection="1">
      <alignment vertical="center" wrapText="1"/>
      <protection hidden="1"/>
    </xf>
    <xf numFmtId="0" fontId="52" fillId="35" borderId="15" xfId="226" applyFont="1" applyFill="1" applyBorder="1" applyAlignment="1" applyProtection="1">
      <alignment horizontal="left" vertical="center" wrapText="1"/>
      <protection locked="0" hidden="1"/>
    </xf>
    <xf numFmtId="0" fontId="52" fillId="35" borderId="16" xfId="226" applyFont="1" applyFill="1" applyBorder="1" applyAlignment="1" applyProtection="1">
      <alignment horizontal="left" vertical="center" wrapText="1"/>
      <protection locked="0" hidden="1"/>
    </xf>
    <xf numFmtId="1" fontId="52" fillId="42" borderId="0" xfId="226" applyNumberFormat="1" applyFont="1" applyFill="1" applyBorder="1" applyAlignment="1" applyProtection="1">
      <alignment horizontal="left" vertical="center" wrapText="1"/>
      <protection locked="0" hidden="1"/>
    </xf>
    <xf numFmtId="1" fontId="52" fillId="42" borderId="52" xfId="226" applyNumberFormat="1" applyFont="1" applyFill="1" applyBorder="1" applyAlignment="1" applyProtection="1">
      <alignment horizontal="left" vertical="center" wrapText="1"/>
      <protection locked="0" hidden="1"/>
    </xf>
    <xf numFmtId="0" fontId="55" fillId="41" borderId="0" xfId="226" applyFont="1" applyFill="1" applyBorder="1" applyAlignment="1" applyProtection="1">
      <alignment horizontal="center" vertical="center" wrapText="1"/>
      <protection locked="0"/>
    </xf>
    <xf numFmtId="0" fontId="6" fillId="42" borderId="12" xfId="0" applyFont="1" applyFill="1" applyBorder="1" applyAlignment="1" applyProtection="1">
      <alignment vertical="center" wrapText="1"/>
      <protection hidden="1"/>
    </xf>
    <xf numFmtId="0" fontId="52" fillId="42" borderId="0" xfId="226" applyFont="1" applyFill="1" applyBorder="1" applyAlignment="1" applyProtection="1">
      <alignment horizontal="left" vertical="center" wrapText="1"/>
      <protection locked="0" hidden="1"/>
    </xf>
    <xf numFmtId="0" fontId="52" fillId="42" borderId="52" xfId="226" applyFont="1" applyFill="1" applyBorder="1" applyAlignment="1" applyProtection="1">
      <alignment horizontal="left" vertical="center" wrapText="1"/>
      <protection locked="0" hidden="1"/>
    </xf>
    <xf numFmtId="0" fontId="52" fillId="42" borderId="54" xfId="226" applyFont="1" applyFill="1" applyBorder="1" applyAlignment="1" applyProtection="1">
      <alignment horizontal="left" vertical="center" wrapText="1"/>
      <protection locked="0" hidden="1"/>
    </xf>
    <xf numFmtId="0" fontId="52" fillId="42" borderId="55" xfId="226" applyFont="1" applyFill="1" applyBorder="1" applyAlignment="1" applyProtection="1">
      <alignment horizontal="left" vertical="center" wrapText="1"/>
      <protection locked="0" hidden="1"/>
    </xf>
    <xf numFmtId="0" fontId="6" fillId="42" borderId="12" xfId="0" applyFont="1" applyFill="1" applyBorder="1" applyAlignment="1" applyProtection="1">
      <alignment horizontal="left" vertical="center" wrapText="1"/>
      <protection hidden="1"/>
    </xf>
    <xf numFmtId="0" fontId="57" fillId="42" borderId="18" xfId="0" applyFont="1" applyFill="1" applyBorder="1" applyAlignment="1" applyProtection="1">
      <alignment horizontal="left" vertical="center" wrapText="1"/>
      <protection hidden="1"/>
    </xf>
    <xf numFmtId="0" fontId="6" fillId="42" borderId="23" xfId="0" applyFont="1" applyFill="1" applyBorder="1" applyAlignment="1" applyProtection="1">
      <alignment horizontal="left" vertical="center" wrapText="1"/>
      <protection hidden="1"/>
    </xf>
    <xf numFmtId="0" fontId="6" fillId="42" borderId="0" xfId="0" applyFont="1" applyFill="1" applyAlignment="1" applyProtection="1">
      <alignment horizontal="left" vertical="center" wrapText="1"/>
      <protection hidden="1"/>
    </xf>
    <xf numFmtId="0" fontId="6" fillId="42" borderId="17" xfId="0" applyFont="1" applyFill="1" applyBorder="1" applyAlignment="1" applyProtection="1">
      <alignment horizontal="left" vertical="center" wrapText="1"/>
      <protection hidden="1"/>
    </xf>
    <xf numFmtId="0" fontId="6" fillId="42" borderId="40" xfId="0" applyFont="1" applyFill="1" applyBorder="1" applyAlignment="1" applyProtection="1">
      <alignment horizontal="center" vertical="center"/>
      <protection hidden="1"/>
    </xf>
    <xf numFmtId="0" fontId="6" fillId="42" borderId="25" xfId="0" applyFont="1" applyFill="1" applyBorder="1" applyAlignment="1" applyProtection="1">
      <alignment horizontal="center" vertical="center"/>
      <protection hidden="1"/>
    </xf>
    <xf numFmtId="0" fontId="6" fillId="42" borderId="19" xfId="0" applyFont="1" applyFill="1" applyBorder="1" applyAlignment="1" applyProtection="1">
      <alignment horizontal="center" vertical="center"/>
      <protection hidden="1"/>
    </xf>
    <xf numFmtId="1" fontId="52" fillId="42" borderId="49" xfId="226" applyNumberFormat="1" applyFont="1" applyFill="1" applyBorder="1" applyAlignment="1" applyProtection="1">
      <alignment horizontal="left" vertical="center" wrapText="1"/>
      <protection locked="0" hidden="1"/>
    </xf>
    <xf numFmtId="1" fontId="52" fillId="42" borderId="50" xfId="226" applyNumberFormat="1" applyFont="1" applyFill="1" applyBorder="1" applyAlignment="1" applyProtection="1">
      <alignment horizontal="left" vertical="center" wrapText="1"/>
      <protection locked="0" hidden="1"/>
    </xf>
    <xf numFmtId="0" fontId="57" fillId="42" borderId="26" xfId="0" applyFont="1" applyFill="1" applyBorder="1" applyAlignment="1" applyProtection="1">
      <alignment horizontal="left" vertical="center" wrapText="1"/>
      <protection hidden="1"/>
    </xf>
    <xf numFmtId="0" fontId="57" fillId="42" borderId="29" xfId="0" applyFont="1" applyFill="1" applyBorder="1" applyAlignment="1" applyProtection="1">
      <alignment horizontal="left" vertical="center" wrapText="1"/>
      <protection hidden="1"/>
    </xf>
    <xf numFmtId="0" fontId="57" fillId="42" borderId="20" xfId="0" applyFont="1" applyFill="1" applyBorder="1" applyAlignment="1" applyProtection="1">
      <alignment horizontal="left" vertical="center" wrapText="1"/>
      <protection hidden="1"/>
    </xf>
    <xf numFmtId="0" fontId="57" fillId="42" borderId="18" xfId="0" applyFont="1" applyFill="1" applyBorder="1" applyAlignment="1" applyProtection="1">
      <alignment vertical="center"/>
      <protection hidden="1"/>
    </xf>
    <xf numFmtId="0" fontId="57" fillId="42" borderId="18" xfId="0" applyFont="1" applyFill="1" applyBorder="1" applyAlignment="1" applyProtection="1">
      <alignment vertical="center" wrapText="1"/>
      <protection hidden="1"/>
    </xf>
    <xf numFmtId="0" fontId="57" fillId="42" borderId="22" xfId="0" applyFont="1" applyFill="1" applyBorder="1" applyAlignment="1" applyProtection="1">
      <alignment horizontal="left" vertical="center"/>
      <protection hidden="1"/>
    </xf>
    <xf numFmtId="0" fontId="57" fillId="42" borderId="24" xfId="0" applyFont="1" applyFill="1" applyBorder="1" applyAlignment="1" applyProtection="1">
      <alignment horizontal="left" vertical="center"/>
      <protection hidden="1"/>
    </xf>
    <xf numFmtId="0" fontId="57" fillId="42" borderId="21" xfId="0" applyFont="1" applyFill="1" applyBorder="1" applyAlignment="1" applyProtection="1">
      <alignment horizontal="left" vertical="center"/>
      <protection hidden="1"/>
    </xf>
    <xf numFmtId="0" fontId="57" fillId="42" borderId="22" xfId="0" applyFont="1" applyFill="1" applyBorder="1" applyAlignment="1" applyProtection="1">
      <alignment horizontal="left" vertical="center" wrapText="1"/>
      <protection hidden="1"/>
    </xf>
    <xf numFmtId="0" fontId="57" fillId="42" borderId="21" xfId="0" applyFont="1" applyFill="1" applyBorder="1" applyAlignment="1" applyProtection="1">
      <alignment horizontal="left" vertical="center" wrapText="1"/>
      <protection hidden="1"/>
    </xf>
    <xf numFmtId="0" fontId="57" fillId="42" borderId="24" xfId="0" applyFont="1" applyFill="1" applyBorder="1" applyAlignment="1" applyProtection="1">
      <alignment horizontal="left" vertical="center" wrapText="1"/>
      <protection hidden="1"/>
    </xf>
    <xf numFmtId="0" fontId="57" fillId="42" borderId="18" xfId="247" applyFont="1" applyFill="1" applyBorder="1" applyAlignment="1" applyProtection="1">
      <alignment vertical="center" wrapText="1"/>
      <protection hidden="1"/>
    </xf>
    <xf numFmtId="0" fontId="6" fillId="42" borderId="12" xfId="247" applyFont="1" applyFill="1" applyAlignment="1" applyProtection="1">
      <alignment horizontal="left" vertical="center" wrapText="1"/>
      <protection hidden="1"/>
    </xf>
    <xf numFmtId="4" fontId="60" fillId="22" borderId="24" xfId="3" applyNumberFormat="1" applyFont="1" applyFill="1" applyBorder="1" applyAlignment="1" applyProtection="1">
      <alignment vertical="center" wrapText="1"/>
      <protection hidden="1"/>
    </xf>
    <xf numFmtId="4" fontId="60" fillId="22" borderId="21" xfId="3" applyNumberFormat="1" applyFont="1" applyFill="1" applyBorder="1" applyAlignment="1" applyProtection="1">
      <alignment vertical="center" wrapText="1"/>
      <protection hidden="1"/>
    </xf>
    <xf numFmtId="0" fontId="67" fillId="40" borderId="17" xfId="3" applyNumberFormat="1" applyFont="1" applyFill="1" applyBorder="1" applyAlignment="1" applyProtection="1">
      <alignment vertical="center" wrapText="1"/>
      <protection hidden="1"/>
    </xf>
    <xf numFmtId="0" fontId="6" fillId="40" borderId="17" xfId="0" applyFont="1" applyFill="1" applyBorder="1" applyAlignment="1" applyProtection="1">
      <alignment vertical="center" wrapText="1"/>
      <protection hidden="1"/>
    </xf>
    <xf numFmtId="4" fontId="60" fillId="22" borderId="22" xfId="3" applyNumberFormat="1" applyFont="1" applyFill="1" applyBorder="1" applyAlignment="1" applyProtection="1">
      <alignment horizontal="left" vertical="center" wrapText="1"/>
      <protection hidden="1"/>
    </xf>
    <xf numFmtId="4" fontId="60" fillId="22" borderId="24" xfId="3" applyNumberFormat="1" applyFont="1" applyFill="1" applyBorder="1" applyAlignment="1" applyProtection="1">
      <alignment horizontal="left" vertical="center" wrapText="1"/>
      <protection hidden="1"/>
    </xf>
    <xf numFmtId="4" fontId="60" fillId="22" borderId="21" xfId="3" applyNumberFormat="1" applyFont="1" applyFill="1" applyBorder="1" applyAlignment="1" applyProtection="1">
      <alignment horizontal="left" vertical="center" wrapText="1"/>
      <protection hidden="1"/>
    </xf>
    <xf numFmtId="4" fontId="60" fillId="22" borderId="24" xfId="3" applyNumberFormat="1" applyFont="1" applyFill="1" applyBorder="1" applyAlignment="1" applyProtection="1">
      <alignment horizontal="left" vertical="center"/>
      <protection hidden="1"/>
    </xf>
    <xf numFmtId="4" fontId="60" fillId="22" borderId="21" xfId="3" applyNumberFormat="1" applyFont="1" applyFill="1" applyBorder="1" applyAlignment="1" applyProtection="1">
      <alignment horizontal="left" vertical="center"/>
      <protection hidden="1"/>
    </xf>
    <xf numFmtId="0" fontId="52" fillId="22" borderId="15" xfId="226" applyFont="1" applyFill="1" applyBorder="1" applyAlignment="1" applyProtection="1">
      <alignment horizontal="left" vertical="center" wrapText="1"/>
      <protection hidden="1"/>
    </xf>
    <xf numFmtId="0" fontId="52" fillId="22" borderId="16" xfId="226" applyFont="1" applyFill="1" applyBorder="1" applyAlignment="1" applyProtection="1">
      <alignment horizontal="left" vertical="center" wrapText="1"/>
      <protection hidden="1"/>
    </xf>
    <xf numFmtId="0" fontId="57" fillId="22" borderId="24" xfId="0" applyFont="1" applyFill="1" applyBorder="1" applyAlignment="1" applyProtection="1">
      <alignment horizontal="left" vertical="center"/>
      <protection hidden="1"/>
    </xf>
    <xf numFmtId="0" fontId="57" fillId="22" borderId="21" xfId="0" applyFont="1" applyFill="1" applyBorder="1" applyAlignment="1" applyProtection="1">
      <alignment horizontal="left" vertical="center"/>
      <protection hidden="1"/>
    </xf>
    <xf numFmtId="0" fontId="10" fillId="3" borderId="0" xfId="0" applyFont="1" applyFill="1" applyAlignment="1" applyProtection="1">
      <alignment vertical="center"/>
      <protection hidden="1"/>
    </xf>
    <xf numFmtId="0" fontId="6" fillId="0" borderId="0" xfId="0" applyFont="1" applyAlignment="1" applyProtection="1">
      <alignment vertical="center"/>
      <protection hidden="1"/>
    </xf>
    <xf numFmtId="0" fontId="6" fillId="40" borderId="17" xfId="0" applyFont="1" applyFill="1" applyBorder="1" applyAlignment="1" applyProtection="1">
      <alignment vertical="center"/>
      <protection hidden="1"/>
    </xf>
    <xf numFmtId="0" fontId="57" fillId="22" borderId="21" xfId="0" applyFont="1" applyFill="1" applyBorder="1" applyAlignment="1" applyProtection="1">
      <alignment horizontal="left" vertical="center" wrapText="1"/>
      <protection hidden="1"/>
    </xf>
    <xf numFmtId="0" fontId="57" fillId="26" borderId="23" xfId="226" applyFont="1" applyFill="1" applyBorder="1" applyAlignment="1" applyProtection="1">
      <alignment horizontal="left" vertical="center" wrapText="1"/>
      <protection hidden="1"/>
    </xf>
    <xf numFmtId="0" fontId="57" fillId="26" borderId="0" xfId="226" applyFont="1" applyFill="1" applyBorder="1" applyAlignment="1" applyProtection="1">
      <alignment horizontal="left" vertical="center" wrapText="1"/>
      <protection hidden="1"/>
    </xf>
    <xf numFmtId="0" fontId="57" fillId="26" borderId="17" xfId="226" applyFont="1" applyFill="1" applyBorder="1" applyAlignment="1" applyProtection="1">
      <alignment horizontal="left" vertical="center" wrapText="1"/>
      <protection hidden="1"/>
    </xf>
    <xf numFmtId="0" fontId="57" fillId="33" borderId="26" xfId="226" applyFont="1" applyFill="1" applyBorder="1" applyAlignment="1" applyProtection="1">
      <alignment horizontal="left" vertical="center" wrapText="1"/>
      <protection hidden="1"/>
    </xf>
    <xf numFmtId="0" fontId="57" fillId="33" borderId="20" xfId="226" applyFont="1" applyFill="1" applyBorder="1" applyAlignment="1" applyProtection="1">
      <alignment horizontal="left" vertical="center" wrapText="1"/>
      <protection hidden="1"/>
    </xf>
    <xf numFmtId="0" fontId="57" fillId="33" borderId="0" xfId="226" applyFont="1" applyFill="1" applyBorder="1" applyAlignment="1" applyProtection="1">
      <alignment horizontal="left" vertical="center" wrapText="1"/>
      <protection hidden="1"/>
    </xf>
    <xf numFmtId="0" fontId="57" fillId="33" borderId="17" xfId="226" applyFont="1" applyFill="1" applyBorder="1" applyAlignment="1" applyProtection="1">
      <alignment horizontal="left" vertical="center" wrapText="1"/>
      <protection hidden="1"/>
    </xf>
    <xf numFmtId="0" fontId="57" fillId="32" borderId="17" xfId="226" applyFont="1" applyFill="1" applyBorder="1" applyAlignment="1" applyProtection="1">
      <alignment horizontal="left" vertical="center" wrapText="1"/>
      <protection hidden="1"/>
    </xf>
    <xf numFmtId="0" fontId="57" fillId="26" borderId="22" xfId="226" applyFont="1" applyFill="1" applyBorder="1" applyAlignment="1" applyProtection="1">
      <alignment vertical="center" wrapText="1"/>
      <protection hidden="1"/>
    </xf>
    <xf numFmtId="0" fontId="57" fillId="26" borderId="21" xfId="226" applyFont="1" applyFill="1" applyBorder="1" applyAlignment="1" applyProtection="1">
      <alignment vertical="center" wrapText="1"/>
      <protection hidden="1"/>
    </xf>
    <xf numFmtId="0" fontId="57" fillId="35" borderId="23" xfId="226" applyFont="1" applyFill="1" applyBorder="1" applyAlignment="1" applyProtection="1">
      <alignment horizontal="left" vertical="center" wrapText="1"/>
      <protection hidden="1"/>
    </xf>
    <xf numFmtId="0" fontId="57" fillId="35" borderId="0" xfId="226" applyFont="1" applyFill="1" applyBorder="1" applyAlignment="1" applyProtection="1">
      <alignment horizontal="left" vertical="center" wrapText="1"/>
      <protection hidden="1"/>
    </xf>
    <xf numFmtId="0" fontId="57" fillId="35" borderId="17" xfId="226" applyFont="1" applyFill="1" applyBorder="1" applyAlignment="1" applyProtection="1">
      <alignment horizontal="left" vertical="center" wrapText="1"/>
      <protection hidden="1"/>
    </xf>
    <xf numFmtId="0" fontId="57" fillId="26" borderId="24" xfId="226" applyFont="1" applyFill="1" applyBorder="1" applyAlignment="1" applyProtection="1">
      <alignment vertical="center" wrapText="1"/>
      <protection hidden="1"/>
    </xf>
    <xf numFmtId="0" fontId="57" fillId="33" borderId="26" xfId="226" applyFont="1" applyFill="1" applyBorder="1" applyAlignment="1" applyProtection="1">
      <alignment vertical="center" wrapText="1"/>
      <protection hidden="1"/>
    </xf>
    <xf numFmtId="0" fontId="57" fillId="34" borderId="20" xfId="226" applyFont="1" applyFill="1" applyBorder="1" applyAlignment="1" applyProtection="1">
      <alignment vertical="center" wrapText="1"/>
      <protection hidden="1"/>
    </xf>
    <xf numFmtId="0" fontId="49" fillId="0" borderId="0" xfId="0" applyFont="1" applyAlignment="1" applyProtection="1">
      <alignment horizontal="left" wrapText="1"/>
      <protection hidden="1"/>
    </xf>
    <xf numFmtId="0" fontId="55" fillId="29" borderId="0" xfId="226" applyFont="1" applyFill="1" applyBorder="1" applyAlignment="1" applyProtection="1">
      <alignment horizontal="center" vertical="center" wrapText="1"/>
      <protection locked="0" hidden="1"/>
    </xf>
    <xf numFmtId="0" fontId="57" fillId="25" borderId="17" xfId="226" applyFont="1" applyBorder="1" applyAlignment="1" applyProtection="1">
      <alignment horizontal="left" vertical="center" wrapText="1"/>
      <protection hidden="1"/>
    </xf>
    <xf numFmtId="0" fontId="57" fillId="25" borderId="18" xfId="226" applyFont="1" applyBorder="1" applyAlignment="1" applyProtection="1">
      <alignment horizontal="left" vertical="center" wrapText="1"/>
      <protection hidden="1"/>
    </xf>
    <xf numFmtId="0" fontId="6" fillId="26" borderId="23" xfId="226" applyFont="1" applyFill="1" applyBorder="1" applyAlignment="1" applyProtection="1">
      <alignment horizontal="center" vertical="center" wrapText="1"/>
      <protection hidden="1"/>
    </xf>
    <xf numFmtId="0" fontId="6" fillId="26" borderId="17" xfId="226" applyFont="1" applyFill="1" applyBorder="1" applyAlignment="1" applyProtection="1">
      <alignment horizontal="center" vertical="center" wrapText="1"/>
      <protection hidden="1"/>
    </xf>
    <xf numFmtId="0" fontId="47" fillId="48" borderId="0" xfId="0" applyFont="1" applyFill="1" applyAlignment="1" applyProtection="1">
      <alignment horizontal="center" vertical="center"/>
      <protection hidden="1"/>
    </xf>
    <xf numFmtId="0" fontId="52" fillId="50" borderId="0" xfId="0" applyFont="1" applyFill="1" applyAlignment="1" applyProtection="1">
      <alignment horizontal="center" vertical="center"/>
      <protection locked="0" hidden="1"/>
    </xf>
    <xf numFmtId="0" fontId="6" fillId="2" borderId="40" xfId="0" applyFont="1" applyFill="1" applyBorder="1" applyAlignment="1" applyProtection="1">
      <alignment horizontal="center" vertical="center"/>
      <protection hidden="1"/>
    </xf>
    <xf numFmtId="0" fontId="6" fillId="2" borderId="25" xfId="0" applyFont="1" applyFill="1" applyBorder="1" applyAlignment="1" applyProtection="1">
      <alignment horizontal="center" vertical="center"/>
      <protection hidden="1"/>
    </xf>
    <xf numFmtId="0" fontId="6" fillId="2" borderId="19" xfId="0" applyFont="1" applyFill="1" applyBorder="1" applyAlignment="1" applyProtection="1">
      <alignment horizontal="center" vertical="center"/>
      <protection hidden="1"/>
    </xf>
    <xf numFmtId="0" fontId="57" fillId="2" borderId="22" xfId="0" applyFont="1" applyFill="1" applyBorder="1" applyAlignment="1" applyProtection="1">
      <alignment horizontal="left" vertical="center"/>
      <protection hidden="1"/>
    </xf>
    <xf numFmtId="0" fontId="57" fillId="2" borderId="21" xfId="0" applyFont="1" applyFill="1" applyBorder="1" applyAlignment="1" applyProtection="1">
      <alignment horizontal="left" vertical="center"/>
      <protection hidden="1"/>
    </xf>
    <xf numFmtId="0" fontId="6" fillId="2" borderId="23" xfId="0" applyFont="1" applyFill="1" applyBorder="1" applyAlignment="1" applyProtection="1">
      <alignment vertical="center" wrapText="1"/>
      <protection hidden="1"/>
    </xf>
    <xf numFmtId="0" fontId="6" fillId="2" borderId="17" xfId="0" applyFont="1" applyFill="1" applyBorder="1" applyAlignment="1" applyProtection="1">
      <alignment vertical="center" wrapText="1"/>
      <protection hidden="1"/>
    </xf>
    <xf numFmtId="0" fontId="57" fillId="2" borderId="24" xfId="0" applyFont="1" applyFill="1" applyBorder="1" applyAlignment="1" applyProtection="1">
      <alignment horizontal="left" vertical="center"/>
      <protection hidden="1"/>
    </xf>
    <xf numFmtId="0" fontId="6" fillId="2" borderId="0" xfId="0" applyFont="1" applyFill="1" applyAlignment="1" applyProtection="1">
      <alignment vertical="center" wrapText="1"/>
      <protection hidden="1"/>
    </xf>
    <xf numFmtId="0" fontId="6" fillId="0" borderId="0" xfId="0" applyFont="1" applyAlignment="1" applyProtection="1">
      <alignment horizontal="center" vertical="center"/>
      <protection hidden="1"/>
    </xf>
    <xf numFmtId="0" fontId="60" fillId="47" borderId="22" xfId="0" applyFont="1" applyFill="1" applyBorder="1" applyAlignment="1" applyProtection="1">
      <alignment vertical="center"/>
      <protection hidden="1"/>
    </xf>
    <xf numFmtId="0" fontId="60" fillId="47" borderId="21" xfId="0" applyFont="1" applyFill="1" applyBorder="1" applyAlignment="1" applyProtection="1">
      <alignment vertical="center"/>
      <protection hidden="1"/>
    </xf>
    <xf numFmtId="0" fontId="59" fillId="47" borderId="23" xfId="0" applyFont="1" applyFill="1" applyBorder="1" applyAlignment="1" applyProtection="1">
      <alignment vertical="center" wrapText="1"/>
      <protection hidden="1"/>
    </xf>
    <xf numFmtId="0" fontId="59" fillId="47" borderId="17" xfId="0" applyFont="1" applyFill="1" applyBorder="1" applyAlignment="1" applyProtection="1">
      <alignment vertical="center" wrapText="1"/>
      <protection hidden="1"/>
    </xf>
    <xf numFmtId="0" fontId="59" fillId="47" borderId="40" xfId="0" applyFont="1" applyFill="1" applyBorder="1" applyAlignment="1" applyProtection="1">
      <alignment horizontal="center" vertical="center"/>
      <protection hidden="1"/>
    </xf>
    <xf numFmtId="0" fontId="59" fillId="47" borderId="19" xfId="0" applyFont="1" applyFill="1" applyBorder="1" applyAlignment="1" applyProtection="1">
      <alignment horizontal="center" vertical="center"/>
      <protection hidden="1"/>
    </xf>
    <xf numFmtId="0" fontId="59" fillId="47" borderId="25" xfId="0" applyFont="1" applyFill="1" applyBorder="1" applyAlignment="1" applyProtection="1">
      <alignment horizontal="center" vertical="center"/>
      <protection hidden="1"/>
    </xf>
    <xf numFmtId="0" fontId="47" fillId="47" borderId="0" xfId="0" applyFont="1" applyFill="1" applyAlignment="1" applyProtection="1">
      <alignment horizontal="center" vertical="center"/>
      <protection locked="0" hidden="1"/>
    </xf>
    <xf numFmtId="0" fontId="60" fillId="47" borderId="22" xfId="0" applyFont="1" applyFill="1" applyBorder="1" applyAlignment="1" applyProtection="1">
      <alignment horizontal="left" vertical="center"/>
      <protection hidden="1"/>
    </xf>
    <xf numFmtId="0" fontId="60" fillId="47" borderId="21" xfId="0" applyFont="1" applyFill="1" applyBorder="1" applyAlignment="1" applyProtection="1">
      <alignment horizontal="left" vertical="center"/>
      <protection hidden="1"/>
    </xf>
    <xf numFmtId="0" fontId="60" fillId="47" borderId="24" xfId="0" applyFont="1" applyFill="1" applyBorder="1" applyAlignment="1" applyProtection="1">
      <alignment vertical="center"/>
      <protection hidden="1"/>
    </xf>
    <xf numFmtId="0" fontId="59" fillId="47" borderId="0" xfId="0" applyFont="1" applyFill="1" applyAlignment="1" applyProtection="1">
      <alignment vertical="center" wrapText="1"/>
      <protection hidden="1"/>
    </xf>
    <xf numFmtId="0" fontId="47" fillId="46" borderId="0" xfId="0" applyFont="1" applyFill="1" applyAlignment="1" applyProtection="1">
      <alignment horizontal="center" vertical="center"/>
      <protection hidden="1"/>
    </xf>
    <xf numFmtId="0" fontId="60" fillId="2" borderId="22" xfId="0" applyFont="1" applyFill="1" applyBorder="1" applyAlignment="1" applyProtection="1">
      <alignment horizontal="left" vertical="center"/>
      <protection hidden="1"/>
    </xf>
    <xf numFmtId="0" fontId="60" fillId="2" borderId="21" xfId="0" applyFont="1" applyFill="1" applyBorder="1" applyAlignment="1" applyProtection="1">
      <alignment horizontal="left" vertical="center"/>
      <protection hidden="1"/>
    </xf>
    <xf numFmtId="0" fontId="59" fillId="2" borderId="23" xfId="0" applyFont="1" applyFill="1" applyBorder="1" applyAlignment="1" applyProtection="1">
      <alignment vertical="center" wrapText="1"/>
      <protection hidden="1"/>
    </xf>
    <xf numFmtId="0" fontId="59" fillId="2" borderId="17" xfId="0" applyFont="1" applyFill="1" applyBorder="1" applyAlignment="1" applyProtection="1">
      <alignment vertical="center" wrapText="1"/>
      <protection hidden="1"/>
    </xf>
    <xf numFmtId="0" fontId="59" fillId="2" borderId="1" xfId="0" applyFont="1" applyFill="1" applyBorder="1" applyAlignment="1" applyProtection="1">
      <alignment horizontal="center" vertical="center"/>
      <protection hidden="1"/>
    </xf>
    <xf numFmtId="0" fontId="60" fillId="2" borderId="24" xfId="0" applyFont="1" applyFill="1" applyBorder="1" applyAlignment="1" applyProtection="1">
      <alignment horizontal="left" vertical="center"/>
      <protection hidden="1"/>
    </xf>
    <xf numFmtId="0" fontId="59" fillId="2" borderId="0" xfId="0" applyFont="1" applyFill="1" applyAlignment="1" applyProtection="1">
      <alignment vertical="center" wrapText="1"/>
      <protection hidden="1"/>
    </xf>
    <xf numFmtId="0" fontId="59" fillId="2" borderId="40" xfId="0" applyFont="1" applyFill="1" applyBorder="1" applyAlignment="1" applyProtection="1">
      <alignment horizontal="center" vertical="center"/>
      <protection hidden="1"/>
    </xf>
    <xf numFmtId="0" fontId="59" fillId="2" borderId="19" xfId="0" applyFont="1" applyFill="1" applyBorder="1" applyAlignment="1" applyProtection="1">
      <alignment horizontal="center" vertical="center"/>
      <protection hidden="1"/>
    </xf>
    <xf numFmtId="0" fontId="6" fillId="2" borderId="23" xfId="0" applyFont="1" applyFill="1" applyBorder="1" applyAlignment="1" applyProtection="1">
      <alignment vertical="center"/>
      <protection hidden="1"/>
    </xf>
    <xf numFmtId="0" fontId="6" fillId="2" borderId="17" xfId="0" applyFont="1" applyFill="1" applyBorder="1" applyAlignment="1" applyProtection="1">
      <alignment vertical="center"/>
      <protection hidden="1"/>
    </xf>
    <xf numFmtId="0" fontId="52" fillId="2" borderId="0" xfId="0" applyFont="1" applyFill="1" applyAlignment="1" applyProtection="1">
      <alignment horizontal="center" vertical="center"/>
      <protection locked="0" hidden="1"/>
    </xf>
    <xf numFmtId="0" fontId="6" fillId="2" borderId="0" xfId="0" applyFont="1" applyFill="1" applyAlignment="1" applyProtection="1">
      <alignment vertical="center"/>
      <protection hidden="1"/>
    </xf>
    <xf numFmtId="0" fontId="57" fillId="2" borderId="22" xfId="0" applyFont="1" applyFill="1" applyBorder="1" applyAlignment="1" applyProtection="1">
      <alignment vertical="center"/>
      <protection hidden="1"/>
    </xf>
    <xf numFmtId="0" fontId="57" fillId="2" borderId="21" xfId="0" applyFont="1" applyFill="1" applyBorder="1" applyAlignment="1" applyProtection="1">
      <alignment vertical="center"/>
      <protection hidden="1"/>
    </xf>
    <xf numFmtId="0" fontId="47" fillId="2" borderId="0" xfId="0" applyFont="1" applyFill="1" applyAlignment="1" applyProtection="1">
      <alignment horizontal="center" vertical="center"/>
      <protection locked="0" hidden="1"/>
    </xf>
    <xf numFmtId="0" fontId="57" fillId="2" borderId="24" xfId="0" applyFont="1" applyFill="1" applyBorder="1" applyAlignment="1" applyProtection="1">
      <alignment vertical="center"/>
      <protection hidden="1"/>
    </xf>
    <xf numFmtId="0" fontId="57" fillId="2" borderId="23" xfId="0" applyFont="1" applyFill="1" applyBorder="1" applyAlignment="1" applyProtection="1">
      <alignment vertical="center"/>
      <protection hidden="1"/>
    </xf>
    <xf numFmtId="0" fontId="57" fillId="2" borderId="17" xfId="0" applyFont="1" applyFill="1" applyBorder="1" applyAlignment="1" applyProtection="1">
      <alignment vertical="center"/>
      <protection hidden="1"/>
    </xf>
    <xf numFmtId="0" fontId="57" fillId="2" borderId="0" xfId="0" applyFont="1" applyFill="1" applyAlignment="1" applyProtection="1">
      <alignment vertical="center"/>
      <protection hidden="1"/>
    </xf>
  </cellXfs>
  <cellStyles count="257">
    <cellStyle name="20% - Accent1 2" xfId="4" xr:uid="{00000000-0005-0000-0000-000000000000}"/>
    <cellStyle name="20% - Accent1 2 2" xfId="5" xr:uid="{00000000-0005-0000-0000-000001000000}"/>
    <cellStyle name="20% - Accent1 2 3" xfId="6" xr:uid="{00000000-0005-0000-0000-000002000000}"/>
    <cellStyle name="20% - Accent1 2 4" xfId="7" xr:uid="{00000000-0005-0000-0000-000003000000}"/>
    <cellStyle name="20% - Accent1 2 5" xfId="8" xr:uid="{00000000-0005-0000-0000-000004000000}"/>
    <cellStyle name="20% - Accent1 2 6" xfId="247" xr:uid="{00000000-0005-0000-0000-000005000000}"/>
    <cellStyle name="20% - Accent1 2 7" xfId="254" xr:uid="{00000000-0005-0000-0000-000006000000}"/>
    <cellStyle name="20% - Accent1 3" xfId="225" xr:uid="{00000000-0005-0000-0000-000007000000}"/>
    <cellStyle name="20% - Accent1 4" xfId="226" xr:uid="{00000000-0005-0000-0000-000008000000}"/>
    <cellStyle name="20% - Accent2 2" xfId="9" xr:uid="{00000000-0005-0000-0000-000009000000}"/>
    <cellStyle name="20% - Accent2 2 2" xfId="10" xr:uid="{00000000-0005-0000-0000-00000A000000}"/>
    <cellStyle name="20% - Accent2 2 3" xfId="11" xr:uid="{00000000-0005-0000-0000-00000B000000}"/>
    <cellStyle name="20% - Accent2 2 4" xfId="12" xr:uid="{00000000-0005-0000-0000-00000C000000}"/>
    <cellStyle name="20% - Accent2 2 5" xfId="13" xr:uid="{00000000-0005-0000-0000-00000D000000}"/>
    <cellStyle name="20% - Accent3 2" xfId="14" xr:uid="{00000000-0005-0000-0000-00000E000000}"/>
    <cellStyle name="20% - Accent3 2 2" xfId="15" xr:uid="{00000000-0005-0000-0000-00000F000000}"/>
    <cellStyle name="20% - Accent3 2 3" xfId="16" xr:uid="{00000000-0005-0000-0000-000010000000}"/>
    <cellStyle name="20% - Accent3 2 4" xfId="17" xr:uid="{00000000-0005-0000-0000-000011000000}"/>
    <cellStyle name="20% - Accent3 2 5" xfId="18" xr:uid="{00000000-0005-0000-0000-000012000000}"/>
    <cellStyle name="20% - Accent4 2" xfId="19" xr:uid="{00000000-0005-0000-0000-000013000000}"/>
    <cellStyle name="20% - Accent4 2 2" xfId="20" xr:uid="{00000000-0005-0000-0000-000014000000}"/>
    <cellStyle name="20% - Accent4 2 3" xfId="21" xr:uid="{00000000-0005-0000-0000-000015000000}"/>
    <cellStyle name="20% - Accent4 2 4" xfId="22" xr:uid="{00000000-0005-0000-0000-000016000000}"/>
    <cellStyle name="20% - Accent4 2 5" xfId="23" xr:uid="{00000000-0005-0000-0000-000017000000}"/>
    <cellStyle name="20% - Accent5 2" xfId="24" xr:uid="{00000000-0005-0000-0000-000018000000}"/>
    <cellStyle name="20% - Accent5 2 2" xfId="25" xr:uid="{00000000-0005-0000-0000-000019000000}"/>
    <cellStyle name="20% - Accent5 2 3" xfId="26" xr:uid="{00000000-0005-0000-0000-00001A000000}"/>
    <cellStyle name="20% - Accent5 2 4" xfId="27" xr:uid="{00000000-0005-0000-0000-00001B000000}"/>
    <cellStyle name="20% - Accent5 2 5" xfId="28" xr:uid="{00000000-0005-0000-0000-00001C000000}"/>
    <cellStyle name="20% - Accent6 2" xfId="29" xr:uid="{00000000-0005-0000-0000-00001D000000}"/>
    <cellStyle name="20% - Accent6 2 2" xfId="30" xr:uid="{00000000-0005-0000-0000-00001E000000}"/>
    <cellStyle name="20% - Accent6 2 3" xfId="31" xr:uid="{00000000-0005-0000-0000-00001F000000}"/>
    <cellStyle name="20% - Accent6 2 4" xfId="32" xr:uid="{00000000-0005-0000-0000-000020000000}"/>
    <cellStyle name="20% - Accent6 2 5" xfId="33" xr:uid="{00000000-0005-0000-0000-000021000000}"/>
    <cellStyle name="40% - Accent1 2" xfId="34" xr:uid="{00000000-0005-0000-0000-000022000000}"/>
    <cellStyle name="40% - Accent1 2 2" xfId="35" xr:uid="{00000000-0005-0000-0000-000023000000}"/>
    <cellStyle name="40% - Accent1 2 3" xfId="36" xr:uid="{00000000-0005-0000-0000-000024000000}"/>
    <cellStyle name="40% - Accent1 2 4" xfId="37" xr:uid="{00000000-0005-0000-0000-000025000000}"/>
    <cellStyle name="40% - Accent1 2 5" xfId="38" xr:uid="{00000000-0005-0000-0000-000026000000}"/>
    <cellStyle name="40% - Accent2 2" xfId="39" xr:uid="{00000000-0005-0000-0000-000027000000}"/>
    <cellStyle name="40% - Accent2 2 2" xfId="40" xr:uid="{00000000-0005-0000-0000-000028000000}"/>
    <cellStyle name="40% - Accent2 2 3" xfId="41" xr:uid="{00000000-0005-0000-0000-000029000000}"/>
    <cellStyle name="40% - Accent2 2 4" xfId="42" xr:uid="{00000000-0005-0000-0000-00002A000000}"/>
    <cellStyle name="40% - Accent2 2 5" xfId="43" xr:uid="{00000000-0005-0000-0000-00002B000000}"/>
    <cellStyle name="40% - Accent3 2" xfId="44" xr:uid="{00000000-0005-0000-0000-00002C000000}"/>
    <cellStyle name="40% - Accent3 2 2" xfId="45" xr:uid="{00000000-0005-0000-0000-00002D000000}"/>
    <cellStyle name="40% - Accent3 2 3" xfId="46" xr:uid="{00000000-0005-0000-0000-00002E000000}"/>
    <cellStyle name="40% - Accent3 2 4" xfId="47" xr:uid="{00000000-0005-0000-0000-00002F000000}"/>
    <cellStyle name="40% - Accent3 2 5" xfId="48" xr:uid="{00000000-0005-0000-0000-000030000000}"/>
    <cellStyle name="40% - Accent4 2" xfId="49" xr:uid="{00000000-0005-0000-0000-000031000000}"/>
    <cellStyle name="40% - Accent4 2 2" xfId="50" xr:uid="{00000000-0005-0000-0000-000032000000}"/>
    <cellStyle name="40% - Accent4 2 3" xfId="51" xr:uid="{00000000-0005-0000-0000-000033000000}"/>
    <cellStyle name="40% - Accent4 2 4" xfId="52" xr:uid="{00000000-0005-0000-0000-000034000000}"/>
    <cellStyle name="40% - Accent4 2 5" xfId="53" xr:uid="{00000000-0005-0000-0000-000035000000}"/>
    <cellStyle name="40% - Accent5 2" xfId="54" xr:uid="{00000000-0005-0000-0000-000036000000}"/>
    <cellStyle name="40% - Accent5 2 2" xfId="55" xr:uid="{00000000-0005-0000-0000-000037000000}"/>
    <cellStyle name="40% - Accent5 2 3" xfId="56" xr:uid="{00000000-0005-0000-0000-000038000000}"/>
    <cellStyle name="40% - Accent5 2 4" xfId="57" xr:uid="{00000000-0005-0000-0000-000039000000}"/>
    <cellStyle name="40% - Accent5 2 5" xfId="58" xr:uid="{00000000-0005-0000-0000-00003A000000}"/>
    <cellStyle name="40% - Accent6 2" xfId="59" xr:uid="{00000000-0005-0000-0000-00003B000000}"/>
    <cellStyle name="40% - Accent6 2 2" xfId="60" xr:uid="{00000000-0005-0000-0000-00003C000000}"/>
    <cellStyle name="40% - Accent6 2 3" xfId="61" xr:uid="{00000000-0005-0000-0000-00003D000000}"/>
    <cellStyle name="40% - Accent6 2 4" xfId="62" xr:uid="{00000000-0005-0000-0000-00003E000000}"/>
    <cellStyle name="40% - Accent6 2 5" xfId="63" xr:uid="{00000000-0005-0000-0000-00003F000000}"/>
    <cellStyle name="60% - Accent1 2" xfId="64" xr:uid="{00000000-0005-0000-0000-000040000000}"/>
    <cellStyle name="60% - Accent1 2 2" xfId="65" xr:uid="{00000000-0005-0000-0000-000041000000}"/>
    <cellStyle name="60% - Accent1 2 3" xfId="66" xr:uid="{00000000-0005-0000-0000-000042000000}"/>
    <cellStyle name="60% - Accent1 2 4" xfId="67" xr:uid="{00000000-0005-0000-0000-000043000000}"/>
    <cellStyle name="60% - Accent1 2 5" xfId="68" xr:uid="{00000000-0005-0000-0000-000044000000}"/>
    <cellStyle name="60% - Accent2" xfId="224" builtinId="36"/>
    <cellStyle name="60% - Accent2 2" xfId="69" xr:uid="{00000000-0005-0000-0000-000046000000}"/>
    <cellStyle name="60% - Accent2 2 2" xfId="70" xr:uid="{00000000-0005-0000-0000-000047000000}"/>
    <cellStyle name="60% - Accent2 2 3" xfId="71" xr:uid="{00000000-0005-0000-0000-000048000000}"/>
    <cellStyle name="60% - Accent2 2 4" xfId="72" xr:uid="{00000000-0005-0000-0000-000049000000}"/>
    <cellStyle name="60% - Accent2 2 5" xfId="73" xr:uid="{00000000-0005-0000-0000-00004A000000}"/>
    <cellStyle name="60% - Accent2 2 6" xfId="255" xr:uid="{00000000-0005-0000-0000-00004B000000}"/>
    <cellStyle name="60% - Accent3 2" xfId="74" xr:uid="{00000000-0005-0000-0000-00004C000000}"/>
    <cellStyle name="60% - Accent3 2 2" xfId="75" xr:uid="{00000000-0005-0000-0000-00004D000000}"/>
    <cellStyle name="60% - Accent3 2 3" xfId="76" xr:uid="{00000000-0005-0000-0000-00004E000000}"/>
    <cellStyle name="60% - Accent3 2 4" xfId="77" xr:uid="{00000000-0005-0000-0000-00004F000000}"/>
    <cellStyle name="60% - Accent3 2 5" xfId="78" xr:uid="{00000000-0005-0000-0000-000050000000}"/>
    <cellStyle name="60% - Accent4 2" xfId="79" xr:uid="{00000000-0005-0000-0000-000051000000}"/>
    <cellStyle name="60% - Accent4 2 2" xfId="80" xr:uid="{00000000-0005-0000-0000-000052000000}"/>
    <cellStyle name="60% - Accent4 2 3" xfId="81" xr:uid="{00000000-0005-0000-0000-000053000000}"/>
    <cellStyle name="60% - Accent4 2 4" xfId="82" xr:uid="{00000000-0005-0000-0000-000054000000}"/>
    <cellStyle name="60% - Accent4 2 5" xfId="83" xr:uid="{00000000-0005-0000-0000-000055000000}"/>
    <cellStyle name="60% - Accent5 2" xfId="84" xr:uid="{00000000-0005-0000-0000-000056000000}"/>
    <cellStyle name="60% - Accent5 2 2" xfId="85" xr:uid="{00000000-0005-0000-0000-000057000000}"/>
    <cellStyle name="60% - Accent5 2 3" xfId="86" xr:uid="{00000000-0005-0000-0000-000058000000}"/>
    <cellStyle name="60% - Accent5 2 4" xfId="87" xr:uid="{00000000-0005-0000-0000-000059000000}"/>
    <cellStyle name="60% - Accent5 2 5" xfId="88" xr:uid="{00000000-0005-0000-0000-00005A000000}"/>
    <cellStyle name="60% - Accent6 2" xfId="89" xr:uid="{00000000-0005-0000-0000-00005B000000}"/>
    <cellStyle name="60% - Accent6 2 2" xfId="90" xr:uid="{00000000-0005-0000-0000-00005C000000}"/>
    <cellStyle name="60% - Accent6 2 3" xfId="91" xr:uid="{00000000-0005-0000-0000-00005D000000}"/>
    <cellStyle name="60% - Accent6 2 4" xfId="92" xr:uid="{00000000-0005-0000-0000-00005E000000}"/>
    <cellStyle name="60% - Accent6 2 5" xfId="93" xr:uid="{00000000-0005-0000-0000-00005F000000}"/>
    <cellStyle name="Accent1 2" xfId="94" xr:uid="{00000000-0005-0000-0000-000060000000}"/>
    <cellStyle name="Accent1 2 2" xfId="95" xr:uid="{00000000-0005-0000-0000-000061000000}"/>
    <cellStyle name="Accent1 2 3" xfId="96" xr:uid="{00000000-0005-0000-0000-000062000000}"/>
    <cellStyle name="Accent1 2 4" xfId="97" xr:uid="{00000000-0005-0000-0000-000063000000}"/>
    <cellStyle name="Accent1 2 5" xfId="98" xr:uid="{00000000-0005-0000-0000-000064000000}"/>
    <cellStyle name="Accent2 2" xfId="99" xr:uid="{00000000-0005-0000-0000-000065000000}"/>
    <cellStyle name="Accent2 2 2" xfId="100" xr:uid="{00000000-0005-0000-0000-000066000000}"/>
    <cellStyle name="Accent2 2 3" xfId="101" xr:uid="{00000000-0005-0000-0000-000067000000}"/>
    <cellStyle name="Accent2 2 4" xfId="102" xr:uid="{00000000-0005-0000-0000-000068000000}"/>
    <cellStyle name="Accent2 2 5" xfId="103" xr:uid="{00000000-0005-0000-0000-000069000000}"/>
    <cellStyle name="Accent3 2" xfId="104" xr:uid="{00000000-0005-0000-0000-00006A000000}"/>
    <cellStyle name="Accent3 2 2" xfId="105" xr:uid="{00000000-0005-0000-0000-00006B000000}"/>
    <cellStyle name="Accent3 2 3" xfId="106" xr:uid="{00000000-0005-0000-0000-00006C000000}"/>
    <cellStyle name="Accent3 2 4" xfId="107" xr:uid="{00000000-0005-0000-0000-00006D000000}"/>
    <cellStyle name="Accent3 2 5" xfId="108" xr:uid="{00000000-0005-0000-0000-00006E000000}"/>
    <cellStyle name="Accent4 2" xfId="109" xr:uid="{00000000-0005-0000-0000-00006F000000}"/>
    <cellStyle name="Accent4 2 2" xfId="110" xr:uid="{00000000-0005-0000-0000-000070000000}"/>
    <cellStyle name="Accent4 2 3" xfId="111" xr:uid="{00000000-0005-0000-0000-000071000000}"/>
    <cellStyle name="Accent4 2 4" xfId="112" xr:uid="{00000000-0005-0000-0000-000072000000}"/>
    <cellStyle name="Accent4 2 5" xfId="113" xr:uid="{00000000-0005-0000-0000-000073000000}"/>
    <cellStyle name="Accent5 2" xfId="114" xr:uid="{00000000-0005-0000-0000-000074000000}"/>
    <cellStyle name="Accent5 2 2" xfId="115" xr:uid="{00000000-0005-0000-0000-000075000000}"/>
    <cellStyle name="Accent5 2 3" xfId="116" xr:uid="{00000000-0005-0000-0000-000076000000}"/>
    <cellStyle name="Accent5 2 4" xfId="117" xr:uid="{00000000-0005-0000-0000-000077000000}"/>
    <cellStyle name="Accent5 2 5" xfId="118" xr:uid="{00000000-0005-0000-0000-000078000000}"/>
    <cellStyle name="Accent6 2" xfId="119" xr:uid="{00000000-0005-0000-0000-000079000000}"/>
    <cellStyle name="Accent6 2 2" xfId="120" xr:uid="{00000000-0005-0000-0000-00007A000000}"/>
    <cellStyle name="Accent6 2 3" xfId="121" xr:uid="{00000000-0005-0000-0000-00007B000000}"/>
    <cellStyle name="Accent6 2 4" xfId="122" xr:uid="{00000000-0005-0000-0000-00007C000000}"/>
    <cellStyle name="Accent6 2 5" xfId="123" xr:uid="{00000000-0005-0000-0000-00007D000000}"/>
    <cellStyle name="Bad 2" xfId="124" xr:uid="{00000000-0005-0000-0000-00007E000000}"/>
    <cellStyle name="Bad 2 2" xfId="125" xr:uid="{00000000-0005-0000-0000-00007F000000}"/>
    <cellStyle name="Bad 2 3" xfId="126" xr:uid="{00000000-0005-0000-0000-000080000000}"/>
    <cellStyle name="Bad 2 4" xfId="127" xr:uid="{00000000-0005-0000-0000-000081000000}"/>
    <cellStyle name="Bad 2 5" xfId="128" xr:uid="{00000000-0005-0000-0000-000082000000}"/>
    <cellStyle name="Black fill" xfId="223" xr:uid="{00000000-0005-0000-0000-000083000000}"/>
    <cellStyle name="Calculation 2" xfId="129" xr:uid="{00000000-0005-0000-0000-000084000000}"/>
    <cellStyle name="Calculation 2 2" xfId="130" xr:uid="{00000000-0005-0000-0000-000085000000}"/>
    <cellStyle name="Calculation 2 3" xfId="131" xr:uid="{00000000-0005-0000-0000-000086000000}"/>
    <cellStyle name="Calculation 2 4" xfId="132" xr:uid="{00000000-0005-0000-0000-000087000000}"/>
    <cellStyle name="Calculation 2 5" xfId="133" xr:uid="{00000000-0005-0000-0000-000088000000}"/>
    <cellStyle name="cells" xfId="227" xr:uid="{00000000-0005-0000-0000-000089000000}"/>
    <cellStyle name="Check Cell 2" xfId="134" xr:uid="{00000000-0005-0000-0000-00008A000000}"/>
    <cellStyle name="Check Cell 2 2" xfId="135" xr:uid="{00000000-0005-0000-0000-00008B000000}"/>
    <cellStyle name="Check Cell 2 3" xfId="136" xr:uid="{00000000-0005-0000-0000-00008C000000}"/>
    <cellStyle name="Check Cell 2 4" xfId="137" xr:uid="{00000000-0005-0000-0000-00008D000000}"/>
    <cellStyle name="Check Cell 2 5" xfId="138" xr:uid="{00000000-0005-0000-0000-00008E000000}"/>
    <cellStyle name="column field" xfId="228" xr:uid="{00000000-0005-0000-0000-00008F000000}"/>
    <cellStyle name="Explanatory Text 2" xfId="139" xr:uid="{00000000-0005-0000-0000-000090000000}"/>
    <cellStyle name="Explanatory Text 2 2" xfId="140" xr:uid="{00000000-0005-0000-0000-000091000000}"/>
    <cellStyle name="Explanatory Text 2 3" xfId="141" xr:uid="{00000000-0005-0000-0000-000092000000}"/>
    <cellStyle name="Explanatory Text 2 4" xfId="142" xr:uid="{00000000-0005-0000-0000-000093000000}"/>
    <cellStyle name="Explanatory Text 2 5" xfId="143" xr:uid="{00000000-0005-0000-0000-000094000000}"/>
    <cellStyle name="Fade out" xfId="222" xr:uid="{00000000-0005-0000-0000-000095000000}"/>
    <cellStyle name="field" xfId="229" xr:uid="{00000000-0005-0000-0000-000096000000}"/>
    <cellStyle name="field names" xfId="230" xr:uid="{00000000-0005-0000-0000-000097000000}"/>
    <cellStyle name="footer" xfId="231" xr:uid="{00000000-0005-0000-0000-000098000000}"/>
    <cellStyle name="Good 2" xfId="144" xr:uid="{00000000-0005-0000-0000-000099000000}"/>
    <cellStyle name="Good 2 2" xfId="145" xr:uid="{00000000-0005-0000-0000-00009A000000}"/>
    <cellStyle name="Good 2 3" xfId="146" xr:uid="{00000000-0005-0000-0000-00009B000000}"/>
    <cellStyle name="Good 2 4" xfId="147" xr:uid="{00000000-0005-0000-0000-00009C000000}"/>
    <cellStyle name="Good 2 5" xfId="148" xr:uid="{00000000-0005-0000-0000-00009D000000}"/>
    <cellStyle name="heading" xfId="232" xr:uid="{00000000-0005-0000-0000-00009E000000}"/>
    <cellStyle name="Heading 1 2" xfId="149" xr:uid="{00000000-0005-0000-0000-00009F000000}"/>
    <cellStyle name="Heading 1 2 2" xfId="150" xr:uid="{00000000-0005-0000-0000-0000A0000000}"/>
    <cellStyle name="Heading 1 2 3" xfId="151" xr:uid="{00000000-0005-0000-0000-0000A1000000}"/>
    <cellStyle name="Heading 1 2 4" xfId="152" xr:uid="{00000000-0005-0000-0000-0000A2000000}"/>
    <cellStyle name="Heading 1 2 5" xfId="153" xr:uid="{00000000-0005-0000-0000-0000A3000000}"/>
    <cellStyle name="Heading 2 2" xfId="154" xr:uid="{00000000-0005-0000-0000-0000A4000000}"/>
    <cellStyle name="Heading 2 2 2" xfId="155" xr:uid="{00000000-0005-0000-0000-0000A5000000}"/>
    <cellStyle name="Heading 2 2 3" xfId="156" xr:uid="{00000000-0005-0000-0000-0000A6000000}"/>
    <cellStyle name="Heading 2 2 4" xfId="157" xr:uid="{00000000-0005-0000-0000-0000A7000000}"/>
    <cellStyle name="Heading 2 2 5" xfId="158" xr:uid="{00000000-0005-0000-0000-0000A8000000}"/>
    <cellStyle name="Heading 3 2" xfId="159" xr:uid="{00000000-0005-0000-0000-0000A9000000}"/>
    <cellStyle name="Heading 3 2 2" xfId="160" xr:uid="{00000000-0005-0000-0000-0000AA000000}"/>
    <cellStyle name="Heading 3 2 3" xfId="161" xr:uid="{00000000-0005-0000-0000-0000AB000000}"/>
    <cellStyle name="Heading 3 2 4" xfId="162" xr:uid="{00000000-0005-0000-0000-0000AC000000}"/>
    <cellStyle name="Heading 3 2 5" xfId="163" xr:uid="{00000000-0005-0000-0000-0000AD000000}"/>
    <cellStyle name="Heading 4 2" xfId="164" xr:uid="{00000000-0005-0000-0000-0000AE000000}"/>
    <cellStyle name="Heading 4 2 2" xfId="165" xr:uid="{00000000-0005-0000-0000-0000AF000000}"/>
    <cellStyle name="Heading 4 2 3" xfId="166" xr:uid="{00000000-0005-0000-0000-0000B0000000}"/>
    <cellStyle name="Heading 4 2 4" xfId="167" xr:uid="{00000000-0005-0000-0000-0000B1000000}"/>
    <cellStyle name="Heading 4 2 5" xfId="168" xr:uid="{00000000-0005-0000-0000-0000B2000000}"/>
    <cellStyle name="Input 2" xfId="169" xr:uid="{00000000-0005-0000-0000-0000B3000000}"/>
    <cellStyle name="Input 2 2" xfId="170" xr:uid="{00000000-0005-0000-0000-0000B4000000}"/>
    <cellStyle name="Input 2 3" xfId="171" xr:uid="{00000000-0005-0000-0000-0000B5000000}"/>
    <cellStyle name="Input 2 4" xfId="172" xr:uid="{00000000-0005-0000-0000-0000B6000000}"/>
    <cellStyle name="Input 2 5" xfId="173" xr:uid="{00000000-0005-0000-0000-0000B7000000}"/>
    <cellStyle name="Linked Cell 2" xfId="174" xr:uid="{00000000-0005-0000-0000-0000B8000000}"/>
    <cellStyle name="Linked Cell 2 2" xfId="175" xr:uid="{00000000-0005-0000-0000-0000B9000000}"/>
    <cellStyle name="Linked Cell 2 3" xfId="176" xr:uid="{00000000-0005-0000-0000-0000BA000000}"/>
    <cellStyle name="Linked Cell 2 4" xfId="177" xr:uid="{00000000-0005-0000-0000-0000BB000000}"/>
    <cellStyle name="Linked Cell 2 5" xfId="178" xr:uid="{00000000-0005-0000-0000-0000BC000000}"/>
    <cellStyle name="Neutral 2" xfId="179" xr:uid="{00000000-0005-0000-0000-0000BD000000}"/>
    <cellStyle name="Neutral 2 2" xfId="180" xr:uid="{00000000-0005-0000-0000-0000BE000000}"/>
    <cellStyle name="Neutral 2 3" xfId="181" xr:uid="{00000000-0005-0000-0000-0000BF000000}"/>
    <cellStyle name="Neutral 2 4" xfId="182" xr:uid="{00000000-0005-0000-0000-0000C0000000}"/>
    <cellStyle name="Neutral 2 5" xfId="183" xr:uid="{00000000-0005-0000-0000-0000C1000000}"/>
    <cellStyle name="Neutral 3" xfId="256" xr:uid="{00000000-0005-0000-0000-0000C2000000}"/>
    <cellStyle name="Normal" xfId="0" builtinId="0"/>
    <cellStyle name="Normal 2" xfId="184" xr:uid="{00000000-0005-0000-0000-0000C4000000}"/>
    <cellStyle name="Normal 2 2" xfId="185" xr:uid="{00000000-0005-0000-0000-0000C5000000}"/>
    <cellStyle name="Normal 2 2 2" xfId="233" xr:uid="{00000000-0005-0000-0000-0000C6000000}"/>
    <cellStyle name="Normal 2 2 3" xfId="234" xr:uid="{00000000-0005-0000-0000-0000C7000000}"/>
    <cellStyle name="Normal 2 2_Credit Map" xfId="249" xr:uid="{00000000-0005-0000-0000-0000C8000000}"/>
    <cellStyle name="Normal 2 3" xfId="186" xr:uid="{00000000-0005-0000-0000-0000C9000000}"/>
    <cellStyle name="Normal 2 3 2" xfId="187" xr:uid="{00000000-0005-0000-0000-0000CA000000}"/>
    <cellStyle name="Normal 2 4" xfId="188" xr:uid="{00000000-0005-0000-0000-0000CB000000}"/>
    <cellStyle name="Normal 2_Credit Map" xfId="248" xr:uid="{00000000-0005-0000-0000-0000CC000000}"/>
    <cellStyle name="Normal 26 2" xfId="246" xr:uid="{00000000-0005-0000-0000-0000CD000000}"/>
    <cellStyle name="Normal 3" xfId="189" xr:uid="{00000000-0005-0000-0000-0000CE000000}"/>
    <cellStyle name="Normal 3 2" xfId="190" xr:uid="{00000000-0005-0000-0000-0000CF000000}"/>
    <cellStyle name="Normal 3 2 2" xfId="235" xr:uid="{00000000-0005-0000-0000-0000D0000000}"/>
    <cellStyle name="Normal 3 2_Credit Map" xfId="251" xr:uid="{00000000-0005-0000-0000-0000D1000000}"/>
    <cellStyle name="Normal 3 3" xfId="236" xr:uid="{00000000-0005-0000-0000-0000D2000000}"/>
    <cellStyle name="Normal 3 4" xfId="237" xr:uid="{00000000-0005-0000-0000-0000D3000000}"/>
    <cellStyle name="Normal 3_Credit Map" xfId="250" xr:uid="{00000000-0005-0000-0000-0000D4000000}"/>
    <cellStyle name="Normal 4" xfId="191" xr:uid="{00000000-0005-0000-0000-0000D5000000}"/>
    <cellStyle name="Normal 4 2" xfId="238" xr:uid="{00000000-0005-0000-0000-0000D6000000}"/>
    <cellStyle name="Normal 4_Credit Map" xfId="252" xr:uid="{00000000-0005-0000-0000-0000D7000000}"/>
    <cellStyle name="Normal 5" xfId="1" xr:uid="{00000000-0005-0000-0000-0000D8000000}"/>
    <cellStyle name="Normal 6" xfId="192" xr:uid="{00000000-0005-0000-0000-0000D9000000}"/>
    <cellStyle name="Normal 7" xfId="193" xr:uid="{00000000-0005-0000-0000-0000DA000000}"/>
    <cellStyle name="Normal 7 2" xfId="239" xr:uid="{00000000-0005-0000-0000-0000DB000000}"/>
    <cellStyle name="Normal 7_Credit Map" xfId="253" xr:uid="{00000000-0005-0000-0000-0000DC000000}"/>
    <cellStyle name="Normal 8" xfId="194" xr:uid="{00000000-0005-0000-0000-0000DD000000}"/>
    <cellStyle name="Normal_AESY8302E 8 2 Res IS80215 - Water calc with BASIX (reva) 2" xfId="3" xr:uid="{00000000-0005-0000-0000-0000DE000000}"/>
    <cellStyle name="Note 2" xfId="195" xr:uid="{00000000-0005-0000-0000-0000DF000000}"/>
    <cellStyle name="Note 2 2" xfId="196" xr:uid="{00000000-0005-0000-0000-0000E0000000}"/>
    <cellStyle name="Note 2 3" xfId="197" xr:uid="{00000000-0005-0000-0000-0000E1000000}"/>
    <cellStyle name="Note 2 4" xfId="198" xr:uid="{00000000-0005-0000-0000-0000E2000000}"/>
    <cellStyle name="Note 2 5" xfId="199" xr:uid="{00000000-0005-0000-0000-0000E3000000}"/>
    <cellStyle name="Output 2" xfId="200" xr:uid="{00000000-0005-0000-0000-0000E4000000}"/>
    <cellStyle name="Output 2 2" xfId="201" xr:uid="{00000000-0005-0000-0000-0000E5000000}"/>
    <cellStyle name="Output 2 3" xfId="202" xr:uid="{00000000-0005-0000-0000-0000E6000000}"/>
    <cellStyle name="Output 2 4" xfId="203" xr:uid="{00000000-0005-0000-0000-0000E7000000}"/>
    <cellStyle name="Output 2 5" xfId="204" xr:uid="{00000000-0005-0000-0000-0000E8000000}"/>
    <cellStyle name="Per cent" xfId="2" builtinId="5"/>
    <cellStyle name="Percent 2" xfId="205" xr:uid="{00000000-0005-0000-0000-0000EA000000}"/>
    <cellStyle name="Percent 2 2" xfId="240" xr:uid="{00000000-0005-0000-0000-0000EB000000}"/>
    <cellStyle name="Percent 3" xfId="206" xr:uid="{00000000-0005-0000-0000-0000EC000000}"/>
    <cellStyle name="Percent 3 2" xfId="241" xr:uid="{00000000-0005-0000-0000-0000ED000000}"/>
    <cellStyle name="Percent 4" xfId="242" xr:uid="{00000000-0005-0000-0000-0000EE000000}"/>
    <cellStyle name="Percent 5" xfId="243" xr:uid="{00000000-0005-0000-0000-0000EF000000}"/>
    <cellStyle name="rowfield" xfId="244" xr:uid="{00000000-0005-0000-0000-0000F0000000}"/>
    <cellStyle name="Test" xfId="245" xr:uid="{00000000-0005-0000-0000-0000F1000000}"/>
    <cellStyle name="Title 2" xfId="207" xr:uid="{00000000-0005-0000-0000-0000F2000000}"/>
    <cellStyle name="Title 2 2" xfId="208" xr:uid="{00000000-0005-0000-0000-0000F3000000}"/>
    <cellStyle name="Title 2 3" xfId="209" xr:uid="{00000000-0005-0000-0000-0000F4000000}"/>
    <cellStyle name="Title 2 4" xfId="210" xr:uid="{00000000-0005-0000-0000-0000F5000000}"/>
    <cellStyle name="Title 2 5" xfId="211" xr:uid="{00000000-0005-0000-0000-0000F6000000}"/>
    <cellStyle name="Total 2" xfId="212" xr:uid="{00000000-0005-0000-0000-0000F7000000}"/>
    <cellStyle name="Total 2 2" xfId="213" xr:uid="{00000000-0005-0000-0000-0000F8000000}"/>
    <cellStyle name="Total 2 3" xfId="214" xr:uid="{00000000-0005-0000-0000-0000F9000000}"/>
    <cellStyle name="Total 2 4" xfId="215" xr:uid="{00000000-0005-0000-0000-0000FA000000}"/>
    <cellStyle name="Total 2 5" xfId="216" xr:uid="{00000000-0005-0000-0000-0000FB000000}"/>
    <cellStyle name="Warning Text 2" xfId="217" xr:uid="{00000000-0005-0000-0000-0000FC000000}"/>
    <cellStyle name="Warning Text 2 2" xfId="218" xr:uid="{00000000-0005-0000-0000-0000FD000000}"/>
    <cellStyle name="Warning Text 2 3" xfId="219" xr:uid="{00000000-0005-0000-0000-0000FE000000}"/>
    <cellStyle name="Warning Text 2 4" xfId="220" xr:uid="{00000000-0005-0000-0000-0000FF000000}"/>
    <cellStyle name="Warning Text 2 5" xfId="221" xr:uid="{00000000-0005-0000-0000-000000010000}"/>
  </cellStyles>
  <dxfs count="546">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patternType="solid">
          <bgColor theme="0" tint="-4.9989318521683403E-2"/>
        </patternFill>
      </fill>
    </dxf>
    <dxf>
      <font>
        <color theme="1"/>
      </font>
      <fill>
        <patternFill patternType="none">
          <bgColor auto="1"/>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theme="1"/>
      </font>
      <fill>
        <patternFill patternType="none">
          <bgColor auto="1"/>
        </patternFill>
      </fill>
    </dxf>
    <dxf>
      <font>
        <color theme="6" tint="-0.24994659260841701"/>
      </font>
      <fill>
        <patternFill>
          <bgColor theme="6" tint="0.39994506668294322"/>
        </patternFill>
      </fill>
    </dxf>
    <dxf>
      <font>
        <color theme="1"/>
      </font>
      <fill>
        <patternFill>
          <bgColor theme="6"/>
        </patternFill>
      </fill>
    </dxf>
    <dxf>
      <font>
        <color theme="1"/>
      </font>
      <fill>
        <patternFill>
          <bgColor rgb="FFFF0000"/>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fill>
        <patternFill>
          <bgColor theme="0" tint="-0.14996795556505021"/>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theme="0" tint="-0.24994659260841701"/>
      </font>
      <fill>
        <patternFill>
          <bgColor theme="0" tint="-4.9989318521683403E-2"/>
        </patternFill>
      </fill>
    </dxf>
    <dxf>
      <font>
        <color theme="1"/>
      </font>
      <fill>
        <patternFill>
          <bgColor theme="0"/>
        </patternFill>
      </fill>
    </dxf>
    <dxf>
      <font>
        <color theme="0" tint="-4.9989318521683403E-2"/>
      </font>
      <fill>
        <patternFill>
          <bgColor theme="0" tint="-4.9989318521683403E-2"/>
        </patternFill>
      </fill>
    </dxf>
    <dxf>
      <font>
        <color rgb="FFFF0000"/>
      </font>
    </dxf>
    <dxf>
      <font>
        <color theme="0" tint="-4.9989318521683403E-2"/>
      </font>
      <fill>
        <patternFill>
          <bgColor theme="0" tint="-4.9989318521683403E-2"/>
        </patternFill>
      </fill>
    </dxf>
    <dxf>
      <font>
        <color rgb="FFFF0000"/>
      </font>
      <fill>
        <patternFill>
          <bgColor theme="0" tint="-0.14996795556505021"/>
        </patternFill>
      </fill>
    </dxf>
    <dxf>
      <font>
        <color theme="6" tint="-0.24994659260841701"/>
      </font>
      <fill>
        <patternFill>
          <bgColor theme="6" tint="0.39994506668294322"/>
        </patternFill>
      </fill>
    </dxf>
    <dxf>
      <font>
        <color rgb="FFFF0000"/>
      </font>
    </dxf>
    <dxf>
      <font>
        <color theme="6" tint="-0.24994659260841701"/>
      </font>
      <fill>
        <patternFill>
          <bgColor theme="6" tint="0.39994506668294322"/>
        </patternFill>
      </fill>
    </dxf>
    <dxf>
      <font>
        <color theme="1"/>
      </font>
      <fill>
        <patternFill>
          <bgColor theme="6" tint="0.39994506668294322"/>
        </patternFill>
      </fill>
    </dxf>
    <dxf>
      <font>
        <color rgb="FFFF0000"/>
      </font>
      <fill>
        <patternFill>
          <bgColor theme="0" tint="-0.14996795556505021"/>
        </patternFill>
      </fill>
    </dxf>
    <dxf>
      <font>
        <color theme="1"/>
      </font>
      <fill>
        <patternFill patternType="none">
          <bgColor auto="1"/>
        </patternFill>
      </fill>
    </dxf>
    <dxf>
      <font>
        <color theme="0" tint="-0.24994659260841701"/>
      </font>
      <fill>
        <patternFill>
          <bgColor theme="0" tint="-4.9989318521683403E-2"/>
        </patternFill>
      </fill>
    </dxf>
    <dxf>
      <font>
        <color theme="1"/>
      </font>
      <fill>
        <patternFill>
          <bgColor rgb="FFFF0000"/>
        </patternFill>
      </fill>
    </dxf>
    <dxf>
      <font>
        <color theme="1"/>
      </font>
      <fill>
        <patternFill>
          <bgColor theme="6"/>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4.9989318521683403E-2"/>
      </font>
      <fill>
        <patternFill>
          <bgColor theme="0" tint="-4.9989318521683403E-2"/>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rgb="FFFF0000"/>
      </font>
      <fill>
        <patternFill>
          <bgColor rgb="FFCAE8AA"/>
        </patternFill>
      </fill>
    </dxf>
    <dxf>
      <font>
        <color rgb="FFFF0000"/>
      </font>
      <fill>
        <patternFill>
          <bgColor theme="0" tint="-0.1499679555650502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theme="1"/>
      </font>
      <fill>
        <patternFill patternType="none">
          <bgColor auto="1"/>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rgb="FFFF0000"/>
      </font>
      <fill>
        <patternFill>
          <bgColor rgb="FFFFEB9C"/>
        </patternFill>
      </fill>
    </dxf>
    <dxf>
      <font>
        <color rgb="FFFF0000"/>
      </font>
      <fill>
        <patternFill>
          <bgColor theme="0" tint="-0.14996795556505021"/>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rgb="FFFF0000"/>
      </font>
      <fill>
        <patternFill>
          <bgColor theme="4" tint="0.59996337778862885"/>
        </patternFill>
      </fill>
    </dxf>
    <dxf>
      <font>
        <color rgb="FFFF0000"/>
      </font>
      <fill>
        <patternFill>
          <bgColor theme="0" tint="-0.14996795556505021"/>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0.24994659260841701"/>
      </font>
      <fill>
        <patternFill>
          <bgColor rgb="FFEAEAEA"/>
        </patternFill>
      </fill>
    </dxf>
    <dxf>
      <font>
        <color theme="0" tint="-4.9989318521683403E-2"/>
      </font>
      <fill>
        <patternFill>
          <bgColor theme="0" tint="-4.9989318521683403E-2"/>
        </patternFill>
      </fill>
    </dxf>
    <dxf>
      <font>
        <color rgb="FFFF0000"/>
      </font>
      <fill>
        <patternFill>
          <bgColor rgb="FFCAE8AA"/>
        </patternFill>
      </fill>
    </dxf>
    <dxf>
      <font>
        <color rgb="FFFF0000"/>
      </font>
      <fill>
        <patternFill>
          <bgColor theme="0" tint="-0.1499679555650502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rgb="FFFFEB9C"/>
        </patternFill>
      </fill>
    </dxf>
    <dxf>
      <font>
        <color rgb="FFFF0000"/>
      </font>
      <fill>
        <patternFill>
          <bgColor theme="0" tint="-0.14996795556505021"/>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rgb="FFFF0000"/>
      </font>
      <fill>
        <patternFill>
          <bgColor rgb="FFFFEB9C"/>
        </patternFill>
      </fill>
    </dxf>
    <dxf>
      <font>
        <color rgb="FFFF0000"/>
      </font>
      <fill>
        <patternFill>
          <bgColor theme="0" tint="-0.14996795556505021"/>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patternType="solid">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ill>
        <patternFill>
          <bgColor rgb="FFFFEB9C"/>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val="0"/>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font>
    </dxf>
    <dxf>
      <font>
        <color theme="1"/>
      </font>
      <fill>
        <patternFill>
          <bgColor theme="0"/>
        </patternFill>
      </fill>
    </dxf>
    <dxf>
      <font>
        <color theme="1"/>
      </font>
      <fill>
        <patternFill>
          <bgColor theme="0"/>
        </patternFill>
      </fill>
    </dxf>
    <dxf>
      <font>
        <color theme="1"/>
      </font>
      <fill>
        <patternFill>
          <bgColor theme="2"/>
        </patternFill>
      </fill>
    </dxf>
    <dxf>
      <font>
        <strike/>
      </font>
    </dxf>
    <dxf>
      <font>
        <strike/>
      </font>
    </dxf>
    <dxf>
      <font>
        <color theme="8" tint="0.39994506668294322"/>
      </font>
      <fill>
        <patternFill>
          <bgColor theme="2" tint="-4.9989318521683403E-2"/>
        </patternFill>
      </fill>
    </dxf>
    <dxf>
      <font>
        <color theme="8" tint="0.39994506668294322"/>
      </font>
      <fill>
        <patternFill>
          <bgColor theme="2" tint="-4.9989318521683403E-2"/>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rgb="FFFF0000"/>
      </font>
      <fill>
        <patternFill>
          <bgColor rgb="FFFFEB9C"/>
        </patternFill>
      </fill>
    </dxf>
    <dxf>
      <font>
        <color rgb="FFFF0000"/>
      </font>
      <fill>
        <patternFill>
          <bgColor theme="0" tint="-0.14996795556505021"/>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patternType="solid">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ont>
        <color theme="9" tint="-0.24994659260841701"/>
      </font>
      <fill>
        <patternFill>
          <bgColor theme="2" tint="-4.9989318521683403E-2"/>
        </patternFill>
      </fill>
    </dxf>
    <dxf>
      <fill>
        <patternFill>
          <bgColor rgb="FFFFEB9C"/>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val="0"/>
        <color theme="8" tint="0.39994506668294322"/>
      </font>
      <fill>
        <patternFill>
          <bgColor theme="2" tint="-4.9989318521683403E-2"/>
        </patternFill>
      </fill>
    </dxf>
    <dxf>
      <font>
        <color theme="8" tint="0.39994506668294322"/>
      </font>
      <fill>
        <patternFill>
          <bgColor theme="8" tint="0.7999816888943144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color theme="8" tint="0.39994506668294322"/>
      </font>
      <fill>
        <patternFill>
          <bgColor theme="2" tint="-4.9989318521683403E-2"/>
        </patternFill>
      </fill>
    </dxf>
    <dxf>
      <font>
        <strike/>
      </font>
    </dxf>
    <dxf>
      <font>
        <color theme="1"/>
      </font>
      <fill>
        <patternFill>
          <bgColor theme="0"/>
        </patternFill>
      </fill>
    </dxf>
    <dxf>
      <font>
        <color theme="1"/>
      </font>
      <fill>
        <patternFill>
          <bgColor theme="0"/>
        </patternFill>
      </fill>
    </dxf>
    <dxf>
      <font>
        <color theme="1"/>
      </font>
      <fill>
        <patternFill>
          <bgColor theme="2"/>
        </patternFill>
      </fill>
    </dxf>
    <dxf>
      <font>
        <strike/>
      </font>
    </dxf>
    <dxf>
      <font>
        <strike/>
      </font>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4.9989318521683403E-2"/>
      </font>
      <fill>
        <patternFill>
          <bgColor theme="0" tint="-4.9989318521683403E-2"/>
        </patternFill>
      </fill>
    </dxf>
    <dxf>
      <font>
        <color theme="1"/>
      </font>
      <fill>
        <patternFill>
          <bgColor theme="6" tint="0.3999450666829432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0.24994659260841701"/>
      </font>
      <fill>
        <patternFill>
          <bgColor theme="0" tint="-4.9989318521683403E-2"/>
        </patternFill>
      </fill>
    </dxf>
    <dxf>
      <font>
        <color theme="6" tint="-0.24994659260841701"/>
      </font>
      <fill>
        <patternFill>
          <bgColor theme="6" tint="0.3999450666829432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0" tint="-0.24994659260841701"/>
      </font>
      <fill>
        <patternFill>
          <bgColor theme="0" tint="-4.9989318521683403E-2"/>
        </patternFill>
      </fill>
    </dxf>
    <dxf>
      <font>
        <color theme="1"/>
      </font>
      <fill>
        <patternFill>
          <bgColor theme="6" tint="0.39994506668294322"/>
        </patternFill>
      </fill>
    </dxf>
    <dxf>
      <font>
        <color auto="1"/>
      </font>
      <fill>
        <patternFill patternType="none">
          <bgColor auto="1"/>
        </patternFill>
      </fill>
    </dxf>
    <dxf>
      <font>
        <color theme="6" tint="-0.24994659260841701"/>
      </font>
      <fill>
        <patternFill>
          <bgColor theme="6" tint="0.39994506668294322"/>
        </patternFill>
      </fill>
    </dxf>
    <dxf>
      <font>
        <color theme="0" tint="-4.9989318521683403E-2"/>
      </font>
      <fill>
        <patternFill>
          <bgColor theme="0" tint="-4.9989318521683403E-2"/>
        </patternFill>
      </fill>
    </dxf>
    <dxf>
      <font>
        <color rgb="FFFF0000"/>
      </font>
      <fill>
        <patternFill>
          <bgColor theme="0" tint="-0.14996795556505021"/>
        </patternFill>
      </fill>
    </dxf>
    <dxf>
      <font>
        <color theme="0" tint="-4.9989318521683403E-2"/>
      </font>
      <fill>
        <patternFill>
          <bgColor theme="0" tint="-4.9989318521683403E-2"/>
        </patternFill>
      </fill>
    </dxf>
    <dxf>
      <font>
        <color rgb="FFFF0000"/>
      </font>
      <fill>
        <patternFill>
          <bgColor theme="3" tint="0.79998168889431442"/>
        </patternFill>
      </fill>
    </dxf>
    <dxf>
      <font>
        <color theme="0" tint="-0.24994659260841701"/>
      </font>
      <fill>
        <patternFill>
          <bgColor theme="0" tint="-4.9989318521683403E-2"/>
        </patternFill>
      </fill>
    </dxf>
    <dxf>
      <font>
        <color theme="1"/>
      </font>
      <fill>
        <patternFill>
          <bgColor theme="4"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ill>
        <patternFill>
          <bgColor theme="3" tint="0.79998168889431442"/>
        </patternFill>
      </fill>
    </dxf>
    <dxf>
      <font>
        <color theme="1"/>
      </font>
    </dxf>
    <dxf>
      <fill>
        <patternFill>
          <bgColor theme="3" tint="0.79998168889431442"/>
        </patternFill>
      </fill>
    </dxf>
    <dxf>
      <font>
        <color theme="1"/>
      </font>
    </dxf>
    <dxf>
      <font>
        <color auto="1"/>
      </font>
      <fill>
        <patternFill patternType="none">
          <bgColor auto="1"/>
        </patternFill>
      </fill>
    </dxf>
    <dxf>
      <font>
        <color rgb="FFFF0000"/>
      </font>
      <fill>
        <patternFill>
          <bgColor theme="3"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4" tint="0.79998168889431442"/>
        </patternFill>
      </fill>
    </dxf>
    <dxf>
      <font>
        <color theme="1"/>
      </font>
      <fill>
        <patternFill>
          <bgColor theme="4" tint="0.79998168889431442"/>
        </patternFill>
      </fill>
    </dxf>
    <dxf>
      <fill>
        <patternFill>
          <bgColor theme="3" tint="0.79998168889431442"/>
        </patternFill>
      </fill>
    </dxf>
    <dxf>
      <font>
        <color theme="1"/>
      </font>
    </dxf>
    <dxf>
      <font>
        <color theme="8" tint="0.39994506668294322"/>
      </font>
      <fill>
        <patternFill>
          <bgColor theme="8" tint="0.79998168889431442"/>
        </patternFill>
      </fill>
    </dxf>
    <dxf>
      <font>
        <color theme="8" tint="0.39994506668294322"/>
      </font>
      <fill>
        <patternFill patternType="solid">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strike/>
      </font>
    </dxf>
    <dxf>
      <font>
        <strike/>
      </font>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0" tint="-4.9989318521683403E-2"/>
      </font>
      <fill>
        <patternFill>
          <bgColor theme="0" tint="-4.9989318521683403E-2"/>
        </patternFill>
      </fill>
    </dxf>
    <dxf>
      <fill>
        <patternFill>
          <bgColor theme="3" tint="0.79998168889431442"/>
        </patternFill>
      </fill>
    </dxf>
    <dxf>
      <font>
        <color theme="1"/>
      </font>
    </dxf>
    <dxf>
      <fill>
        <patternFill>
          <bgColor theme="3" tint="0.79998168889431442"/>
        </patternFill>
      </fill>
    </dxf>
    <dxf>
      <font>
        <color theme="1"/>
      </font>
    </dxf>
    <dxf>
      <font>
        <color auto="1"/>
      </font>
      <fill>
        <patternFill patternType="none">
          <bgColor auto="1"/>
        </patternFill>
      </fill>
    </dxf>
    <dxf>
      <font>
        <color rgb="FFFF0000"/>
      </font>
      <fill>
        <patternFill>
          <bgColor theme="3"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3" tint="0.79998168889431442"/>
        </patternFill>
      </fill>
    </dxf>
    <dxf>
      <font>
        <color theme="1"/>
      </font>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theme="6" tint="-0.24994659260841701"/>
      </font>
      <fill>
        <patternFill>
          <bgColor theme="6" tint="0.39994506668294322"/>
        </patternFill>
      </fill>
    </dxf>
    <dxf>
      <font>
        <color theme="6" tint="-0.24994659260841701"/>
      </font>
      <fill>
        <patternFill>
          <bgColor theme="6" tint="0.3999450666829432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auto="1"/>
      </font>
      <fill>
        <patternFill patternType="none">
          <bgColor auto="1"/>
        </patternFill>
      </fill>
    </dxf>
    <dxf>
      <font>
        <color auto="1"/>
      </font>
      <fill>
        <patternFill patternType="none">
          <bgColor auto="1"/>
        </patternFill>
      </fill>
    </dxf>
    <dxf>
      <font>
        <color theme="0" tint="-4.9989318521683403E-2"/>
      </font>
      <fill>
        <patternFill>
          <bgColor theme="0" tint="-4.9989318521683403E-2"/>
        </patternFill>
      </fill>
    </dxf>
    <dxf>
      <font>
        <color rgb="FFFF0000"/>
      </font>
      <fill>
        <patternFill>
          <bgColor theme="0" tint="-0.14996795556505021"/>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4" tint="0.79998168889431442"/>
        </patternFill>
      </fill>
    </dxf>
    <dxf>
      <font>
        <color theme="1"/>
      </font>
      <fill>
        <patternFill>
          <bgColor theme="4" tint="0.79998168889431442"/>
        </patternFill>
      </fill>
    </dxf>
    <dxf>
      <fill>
        <patternFill>
          <bgColor theme="3" tint="0.79998168889431442"/>
        </patternFill>
      </fill>
    </dxf>
    <dxf>
      <font>
        <color theme="1"/>
      </font>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patternType="solid">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8" tint="0.39994506668294322"/>
      </font>
      <fill>
        <patternFill>
          <bgColor theme="8" tint="0.79998168889431442"/>
        </patternFill>
      </fill>
    </dxf>
    <dxf>
      <font>
        <color theme="1"/>
      </font>
      <fill>
        <patternFill>
          <bgColor theme="0"/>
        </patternFill>
      </fill>
    </dxf>
    <dxf>
      <font>
        <color theme="1"/>
      </font>
      <fill>
        <patternFill>
          <bgColor theme="0"/>
        </patternFill>
      </fill>
    </dxf>
    <dxf>
      <font>
        <strike/>
      </font>
    </dxf>
    <dxf>
      <font>
        <strike/>
      </font>
    </dxf>
  </dxfs>
  <tableStyles count="0" defaultTableStyle="TableStyleMedium2" defaultPivotStyle="PivotStyleLight16"/>
  <colors>
    <mruColors>
      <color rgb="FFFF9999"/>
      <color rgb="FFFFEB9C"/>
      <color rgb="FFC5D9F1"/>
      <color rgb="FFE3ECD0"/>
      <color rgb="FFA9D08E"/>
      <color rgb="FFA9CC8E"/>
      <color rgb="FF7EBB48"/>
      <color rgb="FFFDC6B5"/>
      <color rgb="FFFF7979"/>
      <color rgb="FF76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CheckBox" fmlaLink="$C$42" lockText="1" noThreeD="1"/>
</file>

<file path=xl/ctrlProps/ctrlProp100.xml><?xml version="1.0" encoding="utf-8"?>
<formControlPr xmlns="http://schemas.microsoft.com/office/spreadsheetml/2009/9/main" objectType="CheckBox" fmlaLink="$B38" lockText="1" noThreeD="1"/>
</file>

<file path=xl/ctrlProps/ctrlProp101.xml><?xml version="1.0" encoding="utf-8"?>
<formControlPr xmlns="http://schemas.microsoft.com/office/spreadsheetml/2009/9/main" objectType="CheckBox" fmlaLink="$B$39" lockText="1" noThreeD="1"/>
</file>

<file path=xl/ctrlProps/ctrlProp102.xml><?xml version="1.0" encoding="utf-8"?>
<formControlPr xmlns="http://schemas.microsoft.com/office/spreadsheetml/2009/9/main" objectType="CheckBox" fmlaLink="$B$44" lockText="1" noThreeD="1"/>
</file>

<file path=xl/ctrlProps/ctrlProp103.xml><?xml version="1.0" encoding="utf-8"?>
<formControlPr xmlns="http://schemas.microsoft.com/office/spreadsheetml/2009/9/main" objectType="CheckBox" fmlaLink="$B$75" lockText="1" noThreeD="1"/>
</file>

<file path=xl/ctrlProps/ctrlProp104.xml><?xml version="1.0" encoding="utf-8"?>
<formControlPr xmlns="http://schemas.microsoft.com/office/spreadsheetml/2009/9/main" objectType="CheckBox" fmlaLink="$B$93" lockText="1" noThreeD="1"/>
</file>

<file path=xl/ctrlProps/ctrlProp105.xml><?xml version="1.0" encoding="utf-8"?>
<formControlPr xmlns="http://schemas.microsoft.com/office/spreadsheetml/2009/9/main" objectType="CheckBox" fmlaLink="$B$92" lockText="1" noThreeD="1"/>
</file>

<file path=xl/ctrlProps/ctrlProp106.xml><?xml version="1.0" encoding="utf-8"?>
<formControlPr xmlns="http://schemas.microsoft.com/office/spreadsheetml/2009/9/main" objectType="CheckBox" fmlaLink="$B$94" lockText="1" noThreeD="1"/>
</file>

<file path=xl/ctrlProps/ctrlProp107.xml><?xml version="1.0" encoding="utf-8"?>
<formControlPr xmlns="http://schemas.microsoft.com/office/spreadsheetml/2009/9/main" objectType="CheckBox" fmlaLink="$B$66" lockText="1" noThreeD="1"/>
</file>

<file path=xl/ctrlProps/ctrlProp108.xml><?xml version="1.0" encoding="utf-8"?>
<formControlPr xmlns="http://schemas.microsoft.com/office/spreadsheetml/2009/9/main" objectType="CheckBox" fmlaLink="$B$67" lockText="1" noThreeD="1"/>
</file>

<file path=xl/ctrlProps/ctrlProp109.xml><?xml version="1.0" encoding="utf-8"?>
<formControlPr xmlns="http://schemas.microsoft.com/office/spreadsheetml/2009/9/main" objectType="CheckBox" fmlaLink="$B$68" lockText="1" noThreeD="1"/>
</file>

<file path=xl/ctrlProps/ctrlProp11.xml><?xml version="1.0" encoding="utf-8"?>
<formControlPr xmlns="http://schemas.microsoft.com/office/spreadsheetml/2009/9/main" objectType="CheckBox" fmlaLink="$C$43" lockText="1" noThreeD="1"/>
</file>

<file path=xl/ctrlProps/ctrlProp110.xml><?xml version="1.0" encoding="utf-8"?>
<formControlPr xmlns="http://schemas.microsoft.com/office/spreadsheetml/2009/9/main" objectType="CheckBox" fmlaLink="$B$76" lockText="1" noThreeD="1"/>
</file>

<file path=xl/ctrlProps/ctrlProp111.xml><?xml version="1.0" encoding="utf-8"?>
<formControlPr xmlns="http://schemas.microsoft.com/office/spreadsheetml/2009/9/main" objectType="CheckBox" fmlaLink="$B$59" lockText="1" noThreeD="1"/>
</file>

<file path=xl/ctrlProps/ctrlProp112.xml><?xml version="1.0" encoding="utf-8"?>
<formControlPr xmlns="http://schemas.microsoft.com/office/spreadsheetml/2009/9/main" objectType="CheckBox" fmlaLink="$B$27" lockText="1" noThreeD="1"/>
</file>

<file path=xl/ctrlProps/ctrlProp113.xml><?xml version="1.0" encoding="utf-8"?>
<formControlPr xmlns="http://schemas.microsoft.com/office/spreadsheetml/2009/9/main" objectType="CheckBox" fmlaLink="$B$28" lockText="1" noThreeD="1"/>
</file>

<file path=xl/ctrlProps/ctrlProp114.xml><?xml version="1.0" encoding="utf-8"?>
<formControlPr xmlns="http://schemas.microsoft.com/office/spreadsheetml/2009/9/main" objectType="CheckBox" fmlaLink="$B$29" lockText="1" noThreeD="1"/>
</file>

<file path=xl/ctrlProps/ctrlProp115.xml><?xml version="1.0" encoding="utf-8"?>
<formControlPr xmlns="http://schemas.microsoft.com/office/spreadsheetml/2009/9/main" objectType="CheckBox" fmlaLink="$B$30" lockText="1" noThreeD="1"/>
</file>

<file path=xl/ctrlProps/ctrlProp116.xml><?xml version="1.0" encoding="utf-8"?>
<formControlPr xmlns="http://schemas.microsoft.com/office/spreadsheetml/2009/9/main" objectType="CheckBox" fmlaLink="$B$31" lockText="1" noThreeD="1"/>
</file>

<file path=xl/ctrlProps/ctrlProp117.xml><?xml version="1.0" encoding="utf-8"?>
<formControlPr xmlns="http://schemas.microsoft.com/office/spreadsheetml/2009/9/main" objectType="CheckBox" fmlaLink="$B$32" lockText="1" noThreeD="1"/>
</file>

<file path=xl/ctrlProps/ctrlProp118.xml><?xml version="1.0" encoding="utf-8"?>
<formControlPr xmlns="http://schemas.microsoft.com/office/spreadsheetml/2009/9/main" objectType="CheckBox" fmlaLink="$B$34" lockText="1" noThreeD="1"/>
</file>

<file path=xl/ctrlProps/ctrlProp119.xml><?xml version="1.0" encoding="utf-8"?>
<formControlPr xmlns="http://schemas.microsoft.com/office/spreadsheetml/2009/9/main" objectType="CheckBox" fmlaLink="$B$35" lockText="1" noThreeD="1"/>
</file>

<file path=xl/ctrlProps/ctrlProp12.xml><?xml version="1.0" encoding="utf-8"?>
<formControlPr xmlns="http://schemas.microsoft.com/office/spreadsheetml/2009/9/main" objectType="CheckBox" fmlaLink="$C$44" lockText="1" noThreeD="1"/>
</file>

<file path=xl/ctrlProps/ctrlProp120.xml><?xml version="1.0" encoding="utf-8"?>
<formControlPr xmlns="http://schemas.microsoft.com/office/spreadsheetml/2009/9/main" objectType="CheckBox" fmlaLink="$B$40" lockText="1" noThreeD="1"/>
</file>

<file path=xl/ctrlProps/ctrlProp121.xml><?xml version="1.0" encoding="utf-8"?>
<formControlPr xmlns="http://schemas.microsoft.com/office/spreadsheetml/2009/9/main" objectType="CheckBox" fmlaLink="$B$41" lockText="1" noThreeD="1"/>
</file>

<file path=xl/ctrlProps/ctrlProp122.xml><?xml version="1.0" encoding="utf-8"?>
<formControlPr xmlns="http://schemas.microsoft.com/office/spreadsheetml/2009/9/main" objectType="CheckBox" fmlaLink="$B$42" lockText="1" noThreeD="1"/>
</file>

<file path=xl/ctrlProps/ctrlProp123.xml><?xml version="1.0" encoding="utf-8"?>
<formControlPr xmlns="http://schemas.microsoft.com/office/spreadsheetml/2009/9/main" objectType="CheckBox" fmlaLink="#REF!" lockText="1" noThreeD="1"/>
</file>

<file path=xl/ctrlProps/ctrlProp124.xml><?xml version="1.0" encoding="utf-8"?>
<formControlPr xmlns="http://schemas.microsoft.com/office/spreadsheetml/2009/9/main" objectType="CheckBox" fmlaLink="#REF!" lockText="1" noThreeD="1"/>
</file>

<file path=xl/ctrlProps/ctrlProp125.xml><?xml version="1.0" encoding="utf-8"?>
<formControlPr xmlns="http://schemas.microsoft.com/office/spreadsheetml/2009/9/main" objectType="CheckBox" fmlaLink="#REF!" lockText="1" noThreeD="1"/>
</file>

<file path=xl/ctrlProps/ctrlProp126.xml><?xml version="1.0" encoding="utf-8"?>
<formControlPr xmlns="http://schemas.microsoft.com/office/spreadsheetml/2009/9/main" objectType="CheckBox" fmlaLink="#REF!" lockText="1" noThreeD="1"/>
</file>

<file path=xl/ctrlProps/ctrlProp127.xml><?xml version="1.0" encoding="utf-8"?>
<formControlPr xmlns="http://schemas.microsoft.com/office/spreadsheetml/2009/9/main" objectType="CheckBox" fmlaLink="#REF!" lockText="1" noThreeD="1"/>
</file>

<file path=xl/ctrlProps/ctrlProp128.xml><?xml version="1.0" encoding="utf-8"?>
<formControlPr xmlns="http://schemas.microsoft.com/office/spreadsheetml/2009/9/main" objectType="CheckBox" fmlaLink="$B$39" lockText="1" noThreeD="1"/>
</file>

<file path=xl/ctrlProps/ctrlProp129.xml><?xml version="1.0" encoding="utf-8"?>
<formControlPr xmlns="http://schemas.microsoft.com/office/spreadsheetml/2009/9/main" objectType="CheckBox" fmlaLink="$B41" lockText="1" noThreeD="1"/>
</file>

<file path=xl/ctrlProps/ctrlProp13.xml><?xml version="1.0" encoding="utf-8"?>
<formControlPr xmlns="http://schemas.microsoft.com/office/spreadsheetml/2009/9/main" objectType="CheckBox" fmlaLink="$C$45" lockText="1" noThreeD="1"/>
</file>

<file path=xl/ctrlProps/ctrlProp130.xml><?xml version="1.0" encoding="utf-8"?>
<formControlPr xmlns="http://schemas.microsoft.com/office/spreadsheetml/2009/9/main" objectType="CheckBox" fmlaLink="$B$42" lockText="1" noThreeD="1"/>
</file>

<file path=xl/ctrlProps/ctrlProp131.xml><?xml version="1.0" encoding="utf-8"?>
<formControlPr xmlns="http://schemas.microsoft.com/office/spreadsheetml/2009/9/main" objectType="CheckBox" fmlaLink="$B$47" lockText="1" noThreeD="1"/>
</file>

<file path=xl/ctrlProps/ctrlProp132.xml><?xml version="1.0" encoding="utf-8"?>
<formControlPr xmlns="http://schemas.microsoft.com/office/spreadsheetml/2009/9/main" objectType="CheckBox" fmlaLink="$B$97" lockText="1" noThreeD="1"/>
</file>

<file path=xl/ctrlProps/ctrlProp133.xml><?xml version="1.0" encoding="utf-8"?>
<formControlPr xmlns="http://schemas.microsoft.com/office/spreadsheetml/2009/9/main" objectType="CheckBox" fmlaLink="$B$114" lockText="1" noThreeD="1"/>
</file>

<file path=xl/ctrlProps/ctrlProp134.xml><?xml version="1.0" encoding="utf-8"?>
<formControlPr xmlns="http://schemas.microsoft.com/office/spreadsheetml/2009/9/main" objectType="CheckBox" fmlaLink="$B$113" lockText="1" noThreeD="1"/>
</file>

<file path=xl/ctrlProps/ctrlProp135.xml><?xml version="1.0" encoding="utf-8"?>
<formControlPr xmlns="http://schemas.microsoft.com/office/spreadsheetml/2009/9/main" objectType="CheckBox" fmlaLink="$B$88" lockText="1" noThreeD="1"/>
</file>

<file path=xl/ctrlProps/ctrlProp136.xml><?xml version="1.0" encoding="utf-8"?>
<formControlPr xmlns="http://schemas.microsoft.com/office/spreadsheetml/2009/9/main" objectType="CheckBox" fmlaLink="$B$89" lockText="1" noThreeD="1"/>
</file>

<file path=xl/ctrlProps/ctrlProp137.xml><?xml version="1.0" encoding="utf-8"?>
<formControlPr xmlns="http://schemas.microsoft.com/office/spreadsheetml/2009/9/main" objectType="CheckBox" fmlaLink="$B$90" lockText="1" noThreeD="1"/>
</file>

<file path=xl/ctrlProps/ctrlProp138.xml><?xml version="1.0" encoding="utf-8"?>
<formControlPr xmlns="http://schemas.microsoft.com/office/spreadsheetml/2009/9/main" objectType="CheckBox" fmlaLink="$B$98" lockText="1" noThreeD="1"/>
</file>

<file path=xl/ctrlProps/ctrlProp139.xml><?xml version="1.0" encoding="utf-8"?>
<formControlPr xmlns="http://schemas.microsoft.com/office/spreadsheetml/2009/9/main" objectType="CheckBox" fmlaLink="$B$81" lockText="1" noThreeD="1"/>
</file>

<file path=xl/ctrlProps/ctrlProp14.xml><?xml version="1.0" encoding="utf-8"?>
<formControlPr xmlns="http://schemas.microsoft.com/office/spreadsheetml/2009/9/main" objectType="CheckBox" fmlaLink="$C$46" lockText="1" noThreeD="1"/>
</file>

<file path=xl/ctrlProps/ctrlProp140.xml><?xml version="1.0" encoding="utf-8"?>
<formControlPr xmlns="http://schemas.microsoft.com/office/spreadsheetml/2009/9/main" objectType="CheckBox" fmlaLink="$B$108" lockText="1" noThreeD="1"/>
</file>

<file path=xl/ctrlProps/ctrlProp141.xml><?xml version="1.0" encoding="utf-8"?>
<formControlPr xmlns="http://schemas.microsoft.com/office/spreadsheetml/2009/9/main" objectType="CheckBox" fmlaLink="$B$115" lockText="1" noThreeD="1"/>
</file>

<file path=xl/ctrlProps/ctrlProp142.xml><?xml version="1.0" encoding="utf-8"?>
<formControlPr xmlns="http://schemas.microsoft.com/office/spreadsheetml/2009/9/main" objectType="CheckBox" fmlaLink="$C$27" lockText="1" noThreeD="1"/>
</file>

<file path=xl/ctrlProps/ctrlProp143.xml><?xml version="1.0" encoding="utf-8"?>
<formControlPr xmlns="http://schemas.microsoft.com/office/spreadsheetml/2009/9/main" objectType="CheckBox" fmlaLink="$C$29" lockText="1" noThreeD="1"/>
</file>

<file path=xl/ctrlProps/ctrlProp144.xml><?xml version="1.0" encoding="utf-8"?>
<formControlPr xmlns="http://schemas.microsoft.com/office/spreadsheetml/2009/9/main" objectType="CheckBox" fmlaLink="$C27" lockText="1" noThreeD="1"/>
</file>

<file path=xl/ctrlProps/ctrlProp145.xml><?xml version="1.0" encoding="utf-8"?>
<formControlPr xmlns="http://schemas.microsoft.com/office/spreadsheetml/2009/9/main" objectType="CheckBox" fmlaLink="$C$30" lockText="1" noThreeD="1"/>
</file>

<file path=xl/ctrlProps/ctrlProp146.xml><?xml version="1.0" encoding="utf-8"?>
<formControlPr xmlns="http://schemas.microsoft.com/office/spreadsheetml/2009/9/main" objectType="CheckBox" fmlaLink="$C$32" lockText="1" noThreeD="1"/>
</file>

<file path=xl/ctrlProps/ctrlProp147.xml><?xml version="1.0" encoding="utf-8"?>
<formControlPr xmlns="http://schemas.microsoft.com/office/spreadsheetml/2009/9/main" objectType="CheckBox" fmlaLink="$C$33" lockText="1" noThreeD="1"/>
</file>

<file path=xl/ctrlProps/ctrlProp148.xml><?xml version="1.0" encoding="utf-8"?>
<formControlPr xmlns="http://schemas.microsoft.com/office/spreadsheetml/2009/9/main" objectType="CheckBox" fmlaLink="$C$35" lockText="1" noThreeD="1"/>
</file>

<file path=xl/ctrlProps/ctrlProp149.xml><?xml version="1.0" encoding="utf-8"?>
<formControlPr xmlns="http://schemas.microsoft.com/office/spreadsheetml/2009/9/main" objectType="CheckBox" fmlaLink="$C$37" lockText="1" noThreeD="1"/>
</file>

<file path=xl/ctrlProps/ctrlProp15.xml><?xml version="1.0" encoding="utf-8"?>
<formControlPr xmlns="http://schemas.microsoft.com/office/spreadsheetml/2009/9/main" objectType="CheckBox" fmlaLink="$C$47" lockText="1" noThreeD="1"/>
</file>

<file path=xl/ctrlProps/ctrlProp150.xml><?xml version="1.0" encoding="utf-8"?>
<formControlPr xmlns="http://schemas.microsoft.com/office/spreadsheetml/2009/9/main" objectType="CheckBox" fmlaLink="$C$39" lockText="1" noThreeD="1"/>
</file>

<file path=xl/ctrlProps/ctrlProp151.xml><?xml version="1.0" encoding="utf-8"?>
<formControlPr xmlns="http://schemas.microsoft.com/office/spreadsheetml/2009/9/main" objectType="CheckBox" fmlaLink="$C$40" lockText="1" noThreeD="1"/>
</file>

<file path=xl/ctrlProps/ctrlProp152.xml><?xml version="1.0" encoding="utf-8"?>
<formControlPr xmlns="http://schemas.microsoft.com/office/spreadsheetml/2009/9/main" objectType="CheckBox" fmlaLink="$C$41" lockText="1" noThreeD="1"/>
</file>

<file path=xl/ctrlProps/ctrlProp153.xml><?xml version="1.0" encoding="utf-8"?>
<formControlPr xmlns="http://schemas.microsoft.com/office/spreadsheetml/2009/9/main" objectType="CheckBox" fmlaLink="$C$42" lockText="1" noThreeD="1"/>
</file>

<file path=xl/ctrlProps/ctrlProp154.xml><?xml version="1.0" encoding="utf-8"?>
<formControlPr xmlns="http://schemas.microsoft.com/office/spreadsheetml/2009/9/main" objectType="CheckBox" fmlaLink="$C$76" lockText="1" noThreeD="1"/>
</file>

<file path=xl/ctrlProps/ctrlProp155.xml><?xml version="1.0" encoding="utf-8"?>
<formControlPr xmlns="http://schemas.microsoft.com/office/spreadsheetml/2009/9/main" objectType="CheckBox" fmlaLink="$C$77" lockText="1" noThreeD="1"/>
</file>

<file path=xl/ctrlProps/ctrlProp156.xml><?xml version="1.0" encoding="utf-8"?>
<formControlPr xmlns="http://schemas.microsoft.com/office/spreadsheetml/2009/9/main" objectType="CheckBox" fmlaLink="$C$32" lockText="1" noThreeD="1"/>
</file>

<file path=xl/ctrlProps/ctrlProp157.xml><?xml version="1.0" encoding="utf-8"?>
<formControlPr xmlns="http://schemas.microsoft.com/office/spreadsheetml/2009/9/main" objectType="CheckBox" fmlaLink="$C$33" lockText="1" noThreeD="1"/>
</file>

<file path=xl/ctrlProps/ctrlProp158.xml><?xml version="1.0" encoding="utf-8"?>
<formControlPr xmlns="http://schemas.microsoft.com/office/spreadsheetml/2009/9/main" objectType="CheckBox" fmlaLink="$C$71" lockText="1" noThreeD="1"/>
</file>

<file path=xl/ctrlProps/ctrlProp159.xml><?xml version="1.0" encoding="utf-8"?>
<formControlPr xmlns="http://schemas.microsoft.com/office/spreadsheetml/2009/9/main" objectType="CheckBox" fmlaLink="$C$82" lockText="1" noThreeD="1"/>
</file>

<file path=xl/ctrlProps/ctrlProp16.xml><?xml version="1.0" encoding="utf-8"?>
<formControlPr xmlns="http://schemas.microsoft.com/office/spreadsheetml/2009/9/main" objectType="CheckBox" fmlaLink="$C$59" lockText="1" noThreeD="1"/>
</file>

<file path=xl/ctrlProps/ctrlProp160.xml><?xml version="1.0" encoding="utf-8"?>
<formControlPr xmlns="http://schemas.microsoft.com/office/spreadsheetml/2009/9/main" objectType="CheckBox" fmlaLink="$C$89" lockText="1" noThreeD="1"/>
</file>

<file path=xl/ctrlProps/ctrlProp161.xml><?xml version="1.0" encoding="utf-8"?>
<formControlPr xmlns="http://schemas.microsoft.com/office/spreadsheetml/2009/9/main" objectType="CheckBox" fmlaLink="$C$97" lockText="1" noThreeD="1"/>
</file>

<file path=xl/ctrlProps/ctrlProp162.xml><?xml version="1.0" encoding="utf-8"?>
<formControlPr xmlns="http://schemas.microsoft.com/office/spreadsheetml/2009/9/main" objectType="CheckBox" fmlaLink="$C$81" lockText="1" noThreeD="1"/>
</file>

<file path=xl/ctrlProps/ctrlProp163.xml><?xml version="1.0" encoding="utf-8"?>
<formControlPr xmlns="http://schemas.microsoft.com/office/spreadsheetml/2009/9/main" objectType="CheckBox" fmlaLink="$N$36" lockText="1" noThreeD="1"/>
</file>

<file path=xl/ctrlProps/ctrlProp164.xml><?xml version="1.0" encoding="utf-8"?>
<formControlPr xmlns="http://schemas.microsoft.com/office/spreadsheetml/2009/9/main" objectType="CheckBox" fmlaLink="$N$39" lockText="1" noThreeD="1"/>
</file>

<file path=xl/ctrlProps/ctrlProp165.xml><?xml version="1.0" encoding="utf-8"?>
<formControlPr xmlns="http://schemas.microsoft.com/office/spreadsheetml/2009/9/main" objectType="CheckBox" fmlaLink="$N$48" lockText="1" noThreeD="1"/>
</file>

<file path=xl/ctrlProps/ctrlProp166.xml><?xml version="1.0" encoding="utf-8"?>
<formControlPr xmlns="http://schemas.microsoft.com/office/spreadsheetml/2009/9/main" objectType="CheckBox" fmlaLink="$N$66" lockText="1" noThreeD="1"/>
</file>

<file path=xl/ctrlProps/ctrlProp167.xml><?xml version="1.0" encoding="utf-8"?>
<formControlPr xmlns="http://schemas.microsoft.com/office/spreadsheetml/2009/9/main" objectType="CheckBox" fmlaLink="$N$75" lockText="1" noThreeD="1"/>
</file>

<file path=xl/ctrlProps/ctrlProp168.xml><?xml version="1.0" encoding="utf-8"?>
<formControlPr xmlns="http://schemas.microsoft.com/office/spreadsheetml/2009/9/main" objectType="CheckBox" fmlaLink="$N$76" lockText="1" noThreeD="1"/>
</file>

<file path=xl/ctrlProps/ctrlProp169.xml><?xml version="1.0" encoding="utf-8"?>
<formControlPr xmlns="http://schemas.microsoft.com/office/spreadsheetml/2009/9/main" objectType="CheckBox" fmlaLink="$N$77" lockText="1" noThreeD="1"/>
</file>

<file path=xl/ctrlProps/ctrlProp17.xml><?xml version="1.0" encoding="utf-8"?>
<formControlPr xmlns="http://schemas.microsoft.com/office/spreadsheetml/2009/9/main" objectType="CheckBox" fmlaLink="$C$60" lockText="1" noThreeD="1"/>
</file>

<file path=xl/ctrlProps/ctrlProp170.xml><?xml version="1.0" encoding="utf-8"?>
<formControlPr xmlns="http://schemas.microsoft.com/office/spreadsheetml/2009/9/main" objectType="CheckBox" fmlaLink="$Q$19" lockText="1" noThreeD="1"/>
</file>

<file path=xl/ctrlProps/ctrlProp171.xml><?xml version="1.0" encoding="utf-8"?>
<formControlPr xmlns="http://schemas.microsoft.com/office/spreadsheetml/2009/9/main" objectType="CheckBox" fmlaLink="$Q$20" lockText="1" noThreeD="1"/>
</file>

<file path=xl/ctrlProps/ctrlProp172.xml><?xml version="1.0" encoding="utf-8"?>
<formControlPr xmlns="http://schemas.microsoft.com/office/spreadsheetml/2009/9/main" objectType="CheckBox" fmlaLink="$Q$30" lockText="1" noThreeD="1"/>
</file>

<file path=xl/ctrlProps/ctrlProp173.xml><?xml version="1.0" encoding="utf-8"?>
<formControlPr xmlns="http://schemas.microsoft.com/office/spreadsheetml/2009/9/main" objectType="CheckBox" fmlaLink="$Q$34" lockText="1" noThreeD="1"/>
</file>

<file path=xl/ctrlProps/ctrlProp174.xml><?xml version="1.0" encoding="utf-8"?>
<formControlPr xmlns="http://schemas.microsoft.com/office/spreadsheetml/2009/9/main" objectType="CheckBox" fmlaLink="$Q$35" lockText="1" noThreeD="1"/>
</file>

<file path=xl/ctrlProps/ctrlProp175.xml><?xml version="1.0" encoding="utf-8"?>
<formControlPr xmlns="http://schemas.microsoft.com/office/spreadsheetml/2009/9/main" objectType="CheckBox" fmlaLink="$Q$36" lockText="1" noThreeD="1"/>
</file>

<file path=xl/ctrlProps/ctrlProp176.xml><?xml version="1.0" encoding="utf-8"?>
<formControlPr xmlns="http://schemas.microsoft.com/office/spreadsheetml/2009/9/main" objectType="CheckBox" fmlaLink="$Q$37" lockText="1" noThreeD="1"/>
</file>

<file path=xl/ctrlProps/ctrlProp177.xml><?xml version="1.0" encoding="utf-8"?>
<formControlPr xmlns="http://schemas.microsoft.com/office/spreadsheetml/2009/9/main" objectType="CheckBox" fmlaLink="$Q$44" lockText="1" noThreeD="1"/>
</file>

<file path=xl/ctrlProps/ctrlProp178.xml><?xml version="1.0" encoding="utf-8"?>
<formControlPr xmlns="http://schemas.microsoft.com/office/spreadsheetml/2009/9/main" objectType="CheckBox" fmlaLink="$Q$55" lockText="1" noThreeD="1"/>
</file>

<file path=xl/ctrlProps/ctrlProp179.xml><?xml version="1.0" encoding="utf-8"?>
<formControlPr xmlns="http://schemas.microsoft.com/office/spreadsheetml/2009/9/main" objectType="CheckBox" fmlaLink="$Q$60" lockText="1" noThreeD="1"/>
</file>

<file path=xl/ctrlProps/ctrlProp18.xml><?xml version="1.0" encoding="utf-8"?>
<formControlPr xmlns="http://schemas.microsoft.com/office/spreadsheetml/2009/9/main" objectType="CheckBox" fmlaLink="$C$70" lockText="1" noThreeD="1"/>
</file>

<file path=xl/ctrlProps/ctrlProp180.xml><?xml version="1.0" encoding="utf-8"?>
<formControlPr xmlns="http://schemas.microsoft.com/office/spreadsheetml/2009/9/main" objectType="CheckBox" fmlaLink="$Q$61" lockText="1" noThreeD="1"/>
</file>

<file path=xl/ctrlProps/ctrlProp181.xml><?xml version="1.0" encoding="utf-8"?>
<formControlPr xmlns="http://schemas.microsoft.com/office/spreadsheetml/2009/9/main" objectType="CheckBox" fmlaLink="$Q$71" lockText="1" noThreeD="1"/>
</file>

<file path=xl/ctrlProps/ctrlProp182.xml><?xml version="1.0" encoding="utf-8"?>
<formControlPr xmlns="http://schemas.microsoft.com/office/spreadsheetml/2009/9/main" objectType="CheckBox" fmlaLink="$Q$73" lockText="1" noThreeD="1"/>
</file>

<file path=xl/ctrlProps/ctrlProp183.xml><?xml version="1.0" encoding="utf-8"?>
<formControlPr xmlns="http://schemas.microsoft.com/office/spreadsheetml/2009/9/main" objectType="CheckBox" fmlaLink="$Q$74" lockText="1" noThreeD="1"/>
</file>

<file path=xl/ctrlProps/ctrlProp184.xml><?xml version="1.0" encoding="utf-8"?>
<formControlPr xmlns="http://schemas.microsoft.com/office/spreadsheetml/2009/9/main" objectType="CheckBox" fmlaLink="$Q$79" lockText="1" noThreeD="1"/>
</file>

<file path=xl/ctrlProps/ctrlProp185.xml><?xml version="1.0" encoding="utf-8"?>
<formControlPr xmlns="http://schemas.microsoft.com/office/spreadsheetml/2009/9/main" objectType="CheckBox" fmlaLink="$Q$80" lockText="1" noThreeD="1"/>
</file>

<file path=xl/ctrlProps/ctrlProp186.xml><?xml version="1.0" encoding="utf-8"?>
<formControlPr xmlns="http://schemas.microsoft.com/office/spreadsheetml/2009/9/main" objectType="CheckBox" fmlaLink="$Q$82" lockText="1" noThreeD="1"/>
</file>

<file path=xl/ctrlProps/ctrlProp187.xml><?xml version="1.0" encoding="utf-8"?>
<formControlPr xmlns="http://schemas.microsoft.com/office/spreadsheetml/2009/9/main" objectType="CheckBox" fmlaLink="$Q$83" lockText="1" noThreeD="1"/>
</file>

<file path=xl/ctrlProps/ctrlProp188.xml><?xml version="1.0" encoding="utf-8"?>
<formControlPr xmlns="http://schemas.microsoft.com/office/spreadsheetml/2009/9/main" objectType="CheckBox" fmlaLink="$Q$84" lockText="1" noThreeD="1"/>
</file>

<file path=xl/ctrlProps/ctrlProp189.xml><?xml version="1.0" encoding="utf-8"?>
<formControlPr xmlns="http://schemas.microsoft.com/office/spreadsheetml/2009/9/main" objectType="CheckBox" fmlaLink="$Q$85" lockText="1" noThreeD="1"/>
</file>

<file path=xl/ctrlProps/ctrlProp19.xml><?xml version="1.0" encoding="utf-8"?>
<formControlPr xmlns="http://schemas.microsoft.com/office/spreadsheetml/2009/9/main" objectType="CheckBox" fmlaLink="$C$71" lockText="1" noThreeD="1"/>
</file>

<file path=xl/ctrlProps/ctrlProp190.xml><?xml version="1.0" encoding="utf-8"?>
<formControlPr xmlns="http://schemas.microsoft.com/office/spreadsheetml/2009/9/main" objectType="CheckBox" fmlaLink="$Q$86" lockText="1" noThreeD="1"/>
</file>

<file path=xl/ctrlProps/ctrlProp191.xml><?xml version="1.0" encoding="utf-8"?>
<formControlPr xmlns="http://schemas.microsoft.com/office/spreadsheetml/2009/9/main" objectType="CheckBox" fmlaLink="$Q$87" lockText="1" noThreeD="1"/>
</file>

<file path=xl/ctrlProps/ctrlProp192.xml><?xml version="1.0" encoding="utf-8"?>
<formControlPr xmlns="http://schemas.microsoft.com/office/spreadsheetml/2009/9/main" objectType="CheckBox" fmlaLink="$Q$88" lockText="1" noThreeD="1"/>
</file>

<file path=xl/ctrlProps/ctrlProp193.xml><?xml version="1.0" encoding="utf-8"?>
<formControlPr xmlns="http://schemas.microsoft.com/office/spreadsheetml/2009/9/main" objectType="CheckBox" fmlaLink="$Q$99" lockText="1" noThreeD="1"/>
</file>

<file path=xl/ctrlProps/ctrlProp194.xml><?xml version="1.0" encoding="utf-8"?>
<formControlPr xmlns="http://schemas.microsoft.com/office/spreadsheetml/2009/9/main" objectType="CheckBox" fmlaLink="$Q$101" lockText="1" noThreeD="1"/>
</file>

<file path=xl/ctrlProps/ctrlProp195.xml><?xml version="1.0" encoding="utf-8"?>
<formControlPr xmlns="http://schemas.microsoft.com/office/spreadsheetml/2009/9/main" objectType="CheckBox" fmlaLink="$Q$108" lockText="1" noThreeD="1"/>
</file>

<file path=xl/ctrlProps/ctrlProp196.xml><?xml version="1.0" encoding="utf-8"?>
<formControlPr xmlns="http://schemas.microsoft.com/office/spreadsheetml/2009/9/main" objectType="CheckBox" fmlaLink="$Q$110" lockText="1" noThreeD="1"/>
</file>

<file path=xl/ctrlProps/ctrlProp197.xml><?xml version="1.0" encoding="utf-8"?>
<formControlPr xmlns="http://schemas.microsoft.com/office/spreadsheetml/2009/9/main" objectType="CheckBox" fmlaLink="$Q$112" lockText="1" noThreeD="1"/>
</file>

<file path=xl/ctrlProps/ctrlProp198.xml><?xml version="1.0" encoding="utf-8"?>
<formControlPr xmlns="http://schemas.microsoft.com/office/spreadsheetml/2009/9/main" objectType="CheckBox" fmlaLink="$S$10" lockText="1" noThreeD="1"/>
</file>

<file path=xl/ctrlProps/ctrlProp199.xml><?xml version="1.0" encoding="utf-8"?>
<formControlPr xmlns="http://schemas.microsoft.com/office/spreadsheetml/2009/9/main" objectType="CheckBox" fmlaLink="$S$11" lockText="1" noThreeD="1"/>
</file>

<file path=xl/ctrlProps/ctrlProp2.xml><?xml version="1.0" encoding="utf-8"?>
<formControlPr xmlns="http://schemas.microsoft.com/office/spreadsheetml/2009/9/main" objectType="CheckBox" fmlaLink="$C$31" lockText="1" noThreeD="1"/>
</file>

<file path=xl/ctrlProps/ctrlProp20.xml><?xml version="1.0" encoding="utf-8"?>
<formControlPr xmlns="http://schemas.microsoft.com/office/spreadsheetml/2009/9/main" objectType="CheckBox" fmlaLink="$C$93" lockText="1" noThreeD="1"/>
</file>

<file path=xl/ctrlProps/ctrlProp200.xml><?xml version="1.0" encoding="utf-8"?>
<formControlPr xmlns="http://schemas.microsoft.com/office/spreadsheetml/2009/9/main" objectType="CheckBox" fmlaLink="$S$31" lockText="1" noThreeD="1"/>
</file>

<file path=xl/ctrlProps/ctrlProp201.xml><?xml version="1.0" encoding="utf-8"?>
<formControlPr xmlns="http://schemas.microsoft.com/office/spreadsheetml/2009/9/main" objectType="CheckBox" fmlaLink="$S$32" lockText="1" noThreeD="1"/>
</file>

<file path=xl/ctrlProps/ctrlProp202.xml><?xml version="1.0" encoding="utf-8"?>
<formControlPr xmlns="http://schemas.microsoft.com/office/spreadsheetml/2009/9/main" objectType="CheckBox" fmlaLink="$S$35" lockText="1" noThreeD="1"/>
</file>

<file path=xl/ctrlProps/ctrlProp203.xml><?xml version="1.0" encoding="utf-8"?>
<formControlPr xmlns="http://schemas.microsoft.com/office/spreadsheetml/2009/9/main" objectType="CheckBox" fmlaLink="$S$42" lockText="1" noThreeD="1"/>
</file>

<file path=xl/ctrlProps/ctrlProp204.xml><?xml version="1.0" encoding="utf-8"?>
<formControlPr xmlns="http://schemas.microsoft.com/office/spreadsheetml/2009/9/main" objectType="CheckBox" fmlaLink="$S$43" lockText="1" noThreeD="1"/>
</file>

<file path=xl/ctrlProps/ctrlProp205.xml><?xml version="1.0" encoding="utf-8"?>
<formControlPr xmlns="http://schemas.microsoft.com/office/spreadsheetml/2009/9/main" objectType="CheckBox" fmlaLink="$S$63" lockText="1" noThreeD="1"/>
</file>

<file path=xl/ctrlProps/ctrlProp206.xml><?xml version="1.0" encoding="utf-8"?>
<formControlPr xmlns="http://schemas.microsoft.com/office/spreadsheetml/2009/9/main" objectType="CheckBox" fmlaLink="$S$64" lockText="1" noThreeD="1"/>
</file>

<file path=xl/ctrlProps/ctrlProp207.xml><?xml version="1.0" encoding="utf-8"?>
<formControlPr xmlns="http://schemas.microsoft.com/office/spreadsheetml/2009/9/main" objectType="CheckBox" fmlaLink="$S$76" lockText="1" noThreeD="1"/>
</file>

<file path=xl/ctrlProps/ctrlProp208.xml><?xml version="1.0" encoding="utf-8"?>
<formControlPr xmlns="http://schemas.microsoft.com/office/spreadsheetml/2009/9/main" objectType="CheckBox" fmlaLink="$S$78" lockText="1" noThreeD="1"/>
</file>

<file path=xl/ctrlProps/ctrlProp209.xml><?xml version="1.0" encoding="utf-8"?>
<formControlPr xmlns="http://schemas.microsoft.com/office/spreadsheetml/2009/9/main" objectType="CheckBox" fmlaLink="$S$83" lockText="1" noThreeD="1"/>
</file>

<file path=xl/ctrlProps/ctrlProp21.xml><?xml version="1.0" encoding="utf-8"?>
<formControlPr xmlns="http://schemas.microsoft.com/office/spreadsheetml/2009/9/main" objectType="CheckBox" fmlaLink="$C$81" lockText="1" noThreeD="1"/>
</file>

<file path=xl/ctrlProps/ctrlProp210.xml><?xml version="1.0" encoding="utf-8"?>
<formControlPr xmlns="http://schemas.microsoft.com/office/spreadsheetml/2009/9/main" objectType="CheckBox" fmlaLink="$S$84" lockText="1" noThreeD="1"/>
</file>

<file path=xl/ctrlProps/ctrlProp211.xml><?xml version="1.0" encoding="utf-8"?>
<formControlPr xmlns="http://schemas.microsoft.com/office/spreadsheetml/2009/9/main" objectType="CheckBox" fmlaLink="$S$87" lockText="1" noThreeD="1"/>
</file>

<file path=xl/ctrlProps/ctrlProp212.xml><?xml version="1.0" encoding="utf-8"?>
<formControlPr xmlns="http://schemas.microsoft.com/office/spreadsheetml/2009/9/main" objectType="CheckBox" fmlaLink="$S$88" lockText="1" noThreeD="1"/>
</file>

<file path=xl/ctrlProps/ctrlProp213.xml><?xml version="1.0" encoding="utf-8"?>
<formControlPr xmlns="http://schemas.microsoft.com/office/spreadsheetml/2009/9/main" objectType="CheckBox" fmlaLink="$S$89" lockText="1" noThreeD="1"/>
</file>

<file path=xl/ctrlProps/ctrlProp214.xml><?xml version="1.0" encoding="utf-8"?>
<formControlPr xmlns="http://schemas.microsoft.com/office/spreadsheetml/2009/9/main" objectType="CheckBox" fmlaLink="$S$91" lockText="1" noThreeD="1"/>
</file>

<file path=xl/ctrlProps/ctrlProp215.xml><?xml version="1.0" encoding="utf-8"?>
<formControlPr xmlns="http://schemas.microsoft.com/office/spreadsheetml/2009/9/main" objectType="CheckBox" fmlaLink="$S$92" lockText="1" noThreeD="1"/>
</file>

<file path=xl/ctrlProps/ctrlProp216.xml><?xml version="1.0" encoding="utf-8"?>
<formControlPr xmlns="http://schemas.microsoft.com/office/spreadsheetml/2009/9/main" objectType="CheckBox" fmlaLink="$S$93" lockText="1" noThreeD="1"/>
</file>

<file path=xl/ctrlProps/ctrlProp217.xml><?xml version="1.0" encoding="utf-8"?>
<formControlPr xmlns="http://schemas.microsoft.com/office/spreadsheetml/2009/9/main" objectType="CheckBox" fmlaLink="$S$95" lockText="1" noThreeD="1"/>
</file>

<file path=xl/ctrlProps/ctrlProp218.xml><?xml version="1.0" encoding="utf-8"?>
<formControlPr xmlns="http://schemas.microsoft.com/office/spreadsheetml/2009/9/main" objectType="CheckBox" fmlaLink="$S$100" lockText="1" noThreeD="1"/>
</file>

<file path=xl/ctrlProps/ctrlProp219.xml><?xml version="1.0" encoding="utf-8"?>
<formControlPr xmlns="http://schemas.microsoft.com/office/spreadsheetml/2009/9/main" objectType="CheckBox" fmlaLink="$S$101" lockText="1" noThreeD="1"/>
</file>

<file path=xl/ctrlProps/ctrlProp22.xml><?xml version="1.0" encoding="utf-8"?>
<formControlPr xmlns="http://schemas.microsoft.com/office/spreadsheetml/2009/9/main" objectType="CheckBox" fmlaLink="$C$82" lockText="1" noThreeD="1"/>
</file>

<file path=xl/ctrlProps/ctrlProp220.xml><?xml version="1.0" encoding="utf-8"?>
<formControlPr xmlns="http://schemas.microsoft.com/office/spreadsheetml/2009/9/main" objectType="CheckBox" fmlaLink="$S$102" lockText="1" noThreeD="1"/>
</file>

<file path=xl/ctrlProps/ctrlProp221.xml><?xml version="1.0" encoding="utf-8"?>
<formControlPr xmlns="http://schemas.microsoft.com/office/spreadsheetml/2009/9/main" objectType="CheckBox" fmlaLink="$S$103" lockText="1" noThreeD="1"/>
</file>

<file path=xl/ctrlProps/ctrlProp222.xml><?xml version="1.0" encoding="utf-8"?>
<formControlPr xmlns="http://schemas.microsoft.com/office/spreadsheetml/2009/9/main" objectType="CheckBox" fmlaLink="$S$110" lockText="1" noThreeD="1"/>
</file>

<file path=xl/ctrlProps/ctrlProp223.xml><?xml version="1.0" encoding="utf-8"?>
<formControlPr xmlns="http://schemas.microsoft.com/office/spreadsheetml/2009/9/main" objectType="CheckBox" fmlaLink="$S$111" lockText="1" noThreeD="1"/>
</file>

<file path=xl/ctrlProps/ctrlProp224.xml><?xml version="1.0" encoding="utf-8"?>
<formControlPr xmlns="http://schemas.microsoft.com/office/spreadsheetml/2009/9/main" objectType="CheckBox" fmlaLink="$S$114" lockText="1" noThreeD="1"/>
</file>

<file path=xl/ctrlProps/ctrlProp225.xml><?xml version="1.0" encoding="utf-8"?>
<formControlPr xmlns="http://schemas.microsoft.com/office/spreadsheetml/2009/9/main" objectType="CheckBox" fmlaLink="$S$51" lockText="1" noThreeD="1"/>
</file>

<file path=xl/ctrlProps/ctrlProp226.xml><?xml version="1.0" encoding="utf-8"?>
<formControlPr xmlns="http://schemas.microsoft.com/office/spreadsheetml/2009/9/main" objectType="CheckBox" fmlaLink="$S$90" lockText="1" noThreeD="1"/>
</file>

<file path=xl/ctrlProps/ctrlProp227.xml><?xml version="1.0" encoding="utf-8"?>
<formControlPr xmlns="http://schemas.microsoft.com/office/spreadsheetml/2009/9/main" objectType="CheckBox" fmlaLink="$S$112" lockText="1" noThreeD="1"/>
</file>

<file path=xl/ctrlProps/ctrlProp228.xml><?xml version="1.0" encoding="utf-8"?>
<formControlPr xmlns="http://schemas.microsoft.com/office/spreadsheetml/2009/9/main" objectType="CheckBox" fmlaLink="$S$12" lockText="1" noThreeD="1"/>
</file>

<file path=xl/ctrlProps/ctrlProp229.xml><?xml version="1.0" encoding="utf-8"?>
<formControlPr xmlns="http://schemas.microsoft.com/office/spreadsheetml/2009/9/main" objectType="CheckBox" fmlaLink="$S$23" lockText="1" noThreeD="1"/>
</file>

<file path=xl/ctrlProps/ctrlProp23.xml><?xml version="1.0" encoding="utf-8"?>
<formControlPr xmlns="http://schemas.microsoft.com/office/spreadsheetml/2009/9/main" objectType="CheckBox" fmlaLink="$C$83" lockText="1" noThreeD="1"/>
</file>

<file path=xl/ctrlProps/ctrlProp230.xml><?xml version="1.0" encoding="utf-8"?>
<formControlPr xmlns="http://schemas.microsoft.com/office/spreadsheetml/2009/9/main" objectType="CheckBox" fmlaLink="$S$33" lockText="1" noThreeD="1"/>
</file>

<file path=xl/ctrlProps/ctrlProp231.xml><?xml version="1.0" encoding="utf-8"?>
<formControlPr xmlns="http://schemas.microsoft.com/office/spreadsheetml/2009/9/main" objectType="CheckBox" fmlaLink="$S$53" lockText="1" noThreeD="1"/>
</file>

<file path=xl/ctrlProps/ctrlProp232.xml><?xml version="1.0" encoding="utf-8"?>
<formControlPr xmlns="http://schemas.microsoft.com/office/spreadsheetml/2009/9/main" objectType="CheckBox" fmlaLink="$S$66" lockText="1" noThreeD="1"/>
</file>

<file path=xl/ctrlProps/ctrlProp233.xml><?xml version="1.0" encoding="utf-8"?>
<formControlPr xmlns="http://schemas.microsoft.com/office/spreadsheetml/2009/9/main" objectType="CheckBox" fmlaLink="$S$72" lockText="1" noThreeD="1"/>
</file>

<file path=xl/ctrlProps/ctrlProp234.xml><?xml version="1.0" encoding="utf-8"?>
<formControlPr xmlns="http://schemas.microsoft.com/office/spreadsheetml/2009/9/main" objectType="CheckBox" fmlaLink="$S$73" lockText="1" noThreeD="1"/>
</file>

<file path=xl/ctrlProps/ctrlProp235.xml><?xml version="1.0" encoding="utf-8"?>
<formControlPr xmlns="http://schemas.microsoft.com/office/spreadsheetml/2009/9/main" objectType="CheckBox" fmlaLink="$S$94" lockText="1" noThreeD="1"/>
</file>

<file path=xl/ctrlProps/ctrlProp236.xml><?xml version="1.0" encoding="utf-8"?>
<formControlPr xmlns="http://schemas.microsoft.com/office/spreadsheetml/2009/9/main" objectType="CheckBox" fmlaLink="$S$108" lockText="1" noThreeD="1"/>
</file>

<file path=xl/ctrlProps/ctrlProp237.xml><?xml version="1.0" encoding="utf-8"?>
<formControlPr xmlns="http://schemas.microsoft.com/office/spreadsheetml/2009/9/main" objectType="CheckBox" fmlaLink="$S$109" lockText="1" noThreeD="1"/>
</file>

<file path=xl/ctrlProps/ctrlProp238.xml><?xml version="1.0" encoding="utf-8"?>
<formControlPr xmlns="http://schemas.microsoft.com/office/spreadsheetml/2009/9/main" objectType="CheckBox" fmlaLink="$S$40" lockText="1" noThreeD="1"/>
</file>

<file path=xl/ctrlProps/ctrlProp239.xml><?xml version="1.0" encoding="utf-8"?>
<formControlPr xmlns="http://schemas.microsoft.com/office/spreadsheetml/2009/9/main" objectType="CheckBox" fmlaLink="$Q$28" lockText="1" noThreeD="1"/>
</file>

<file path=xl/ctrlProps/ctrlProp24.xml><?xml version="1.0" encoding="utf-8"?>
<formControlPr xmlns="http://schemas.microsoft.com/office/spreadsheetml/2009/9/main" objectType="CheckBox" fmlaLink="$C$31" lockText="1" noThreeD="1"/>
</file>

<file path=xl/ctrlProps/ctrlProp240.xml><?xml version="1.0" encoding="utf-8"?>
<formControlPr xmlns="http://schemas.microsoft.com/office/spreadsheetml/2009/9/main" objectType="CheckBox" fmlaLink="$Q$30" lockText="1" noThreeD="1"/>
</file>

<file path=xl/ctrlProps/ctrlProp241.xml><?xml version="1.0" encoding="utf-8"?>
<formControlPr xmlns="http://schemas.microsoft.com/office/spreadsheetml/2009/9/main" objectType="CheckBox" fmlaLink="$Q$35" lockText="1" noThreeD="1"/>
</file>

<file path=xl/ctrlProps/ctrlProp242.xml><?xml version="1.0" encoding="utf-8"?>
<formControlPr xmlns="http://schemas.microsoft.com/office/spreadsheetml/2009/9/main" objectType="CheckBox" fmlaLink="$Q$37" lockText="1" noThreeD="1"/>
</file>

<file path=xl/ctrlProps/ctrlProp243.xml><?xml version="1.0" encoding="utf-8"?>
<formControlPr xmlns="http://schemas.microsoft.com/office/spreadsheetml/2009/9/main" objectType="CheckBox" fmlaLink="$Q$59" lockText="1" noThreeD="1"/>
</file>

<file path=xl/ctrlProps/ctrlProp244.xml><?xml version="1.0" encoding="utf-8"?>
<formControlPr xmlns="http://schemas.microsoft.com/office/spreadsheetml/2009/9/main" objectType="CheckBox" fmlaLink="$Q$77" lockText="1" noThreeD="1"/>
</file>

<file path=xl/ctrlProps/ctrlProp245.xml><?xml version="1.0" encoding="utf-8"?>
<formControlPr xmlns="http://schemas.microsoft.com/office/spreadsheetml/2009/9/main" objectType="CheckBox" fmlaLink="$Q$78" lockText="1" noThreeD="1"/>
</file>

<file path=xl/ctrlProps/ctrlProp246.xml><?xml version="1.0" encoding="utf-8"?>
<formControlPr xmlns="http://schemas.microsoft.com/office/spreadsheetml/2009/9/main" objectType="CheckBox" fmlaLink="$Q$80" lockText="1" noThreeD="1"/>
</file>

<file path=xl/ctrlProps/ctrlProp247.xml><?xml version="1.0" encoding="utf-8"?>
<formControlPr xmlns="http://schemas.microsoft.com/office/spreadsheetml/2009/9/main" objectType="CheckBox" fmlaLink="$Q$81" lockText="1" noThreeD="1"/>
</file>

<file path=xl/ctrlProps/ctrlProp248.xml><?xml version="1.0" encoding="utf-8"?>
<formControlPr xmlns="http://schemas.microsoft.com/office/spreadsheetml/2009/9/main" objectType="CheckBox" fmlaLink="$Q$82" lockText="1" noThreeD="1"/>
</file>

<file path=xl/ctrlProps/ctrlProp249.xml><?xml version="1.0" encoding="utf-8"?>
<formControlPr xmlns="http://schemas.microsoft.com/office/spreadsheetml/2009/9/main" objectType="CheckBox" fmlaLink="$Q$83" lockText="1" noThreeD="1"/>
</file>

<file path=xl/ctrlProps/ctrlProp25.xml><?xml version="1.0" encoding="utf-8"?>
<formControlPr xmlns="http://schemas.microsoft.com/office/spreadsheetml/2009/9/main" objectType="CheckBox" fmlaLink="$C$30" lockText="1" noThreeD="1"/>
</file>

<file path=xl/ctrlProps/ctrlProp250.xml><?xml version="1.0" encoding="utf-8"?>
<formControlPr xmlns="http://schemas.microsoft.com/office/spreadsheetml/2009/9/main" objectType="CheckBox" fmlaLink="$Q$96" lockText="1" noThreeD="1"/>
</file>

<file path=xl/ctrlProps/ctrlProp251.xml><?xml version="1.0" encoding="utf-8"?>
<formControlPr xmlns="http://schemas.microsoft.com/office/spreadsheetml/2009/9/main" objectType="CheckBox" fmlaLink="$Q$98" lockText="1" noThreeD="1"/>
</file>

<file path=xl/ctrlProps/ctrlProp252.xml><?xml version="1.0" encoding="utf-8"?>
<formControlPr xmlns="http://schemas.microsoft.com/office/spreadsheetml/2009/9/main" objectType="CheckBox" fmlaLink="$Q$107" lockText="1" noThreeD="1"/>
</file>

<file path=xl/ctrlProps/ctrlProp253.xml><?xml version="1.0" encoding="utf-8"?>
<formControlPr xmlns="http://schemas.microsoft.com/office/spreadsheetml/2009/9/main" objectType="CheckBox" fmlaLink="$Q$109" lockText="1" noThreeD="1"/>
</file>

<file path=xl/ctrlProps/ctrlProp254.xml><?xml version="1.0" encoding="utf-8"?>
<formControlPr xmlns="http://schemas.microsoft.com/office/spreadsheetml/2009/9/main" objectType="CheckBox" fmlaLink="$Q$85" lockText="1" noThreeD="1"/>
</file>

<file path=xl/ctrlProps/ctrlProp255.xml><?xml version="1.0" encoding="utf-8"?>
<formControlPr xmlns="http://schemas.microsoft.com/office/spreadsheetml/2009/9/main" objectType="CheckBox" fmlaLink="$Q$86" lockText="1" noThreeD="1"/>
</file>

<file path=xl/ctrlProps/ctrlProp256.xml><?xml version="1.0" encoding="utf-8"?>
<formControlPr xmlns="http://schemas.microsoft.com/office/spreadsheetml/2009/9/main" objectType="CheckBox" fmlaLink="$Q$38" lockText="1" noThreeD="1"/>
</file>

<file path=xl/ctrlProps/ctrlProp257.xml><?xml version="1.0" encoding="utf-8"?>
<formControlPr xmlns="http://schemas.microsoft.com/office/spreadsheetml/2009/9/main" objectType="CheckBox" fmlaLink="$Q$52" lockText="1" noThreeD="1"/>
</file>

<file path=xl/ctrlProps/ctrlProp258.xml><?xml version="1.0" encoding="utf-8"?>
<formControlPr xmlns="http://schemas.microsoft.com/office/spreadsheetml/2009/9/main" objectType="CheckBox" fmlaLink="$Q$36" lockText="1" noThreeD="1"/>
</file>

<file path=xl/ctrlProps/ctrlProp259.xml><?xml version="1.0" encoding="utf-8"?>
<formControlPr xmlns="http://schemas.microsoft.com/office/spreadsheetml/2009/9/main" objectType="CheckBox" fmlaLink="$Q$54" lockText="1" noThreeD="1"/>
</file>

<file path=xl/ctrlProps/ctrlProp26.xml><?xml version="1.0" encoding="utf-8"?>
<formControlPr xmlns="http://schemas.microsoft.com/office/spreadsheetml/2009/9/main" objectType="CheckBox" fmlaLink="$C$32" lockText="1" noThreeD="1"/>
</file>

<file path=xl/ctrlProps/ctrlProp260.xml><?xml version="1.0" encoding="utf-8"?>
<formControlPr xmlns="http://schemas.microsoft.com/office/spreadsheetml/2009/9/main" objectType="CheckBox" fmlaLink="$Q$58" lockText="1" noThreeD="1"/>
</file>

<file path=xl/ctrlProps/ctrlProp261.xml><?xml version="1.0" encoding="utf-8"?>
<formControlPr xmlns="http://schemas.microsoft.com/office/spreadsheetml/2009/9/main" objectType="CheckBox" fmlaLink="$Q$69" lockText="1" noThreeD="1"/>
</file>

<file path=xl/ctrlProps/ctrlProp262.xml><?xml version="1.0" encoding="utf-8"?>
<formControlPr xmlns="http://schemas.microsoft.com/office/spreadsheetml/2009/9/main" objectType="CheckBox" fmlaLink="$Q$71" lockText="1" noThreeD="1"/>
</file>

<file path=xl/ctrlProps/ctrlProp263.xml><?xml version="1.0" encoding="utf-8"?>
<formControlPr xmlns="http://schemas.microsoft.com/office/spreadsheetml/2009/9/main" objectType="CheckBox" fmlaLink="$Q$72" lockText="1" noThreeD="1"/>
</file>

<file path=xl/ctrlProps/ctrlProp264.xml><?xml version="1.0" encoding="utf-8"?>
<formControlPr xmlns="http://schemas.microsoft.com/office/spreadsheetml/2009/9/main" objectType="CheckBox" fmlaLink="$Q$22" lockText="1" noThreeD="1"/>
</file>

<file path=xl/ctrlProps/ctrlProp265.xml><?xml version="1.0" encoding="utf-8"?>
<formControlPr xmlns="http://schemas.microsoft.com/office/spreadsheetml/2009/9/main" objectType="CheckBox" fmlaLink="$Q$23" lockText="1" noThreeD="1"/>
</file>

<file path=xl/ctrlProps/ctrlProp266.xml><?xml version="1.0" encoding="utf-8"?>
<formControlPr xmlns="http://schemas.microsoft.com/office/spreadsheetml/2009/9/main" objectType="CheckBox" fmlaLink="$Q$24" lockText="1" noThreeD="1"/>
</file>

<file path=xl/ctrlProps/ctrlProp267.xml><?xml version="1.0" encoding="utf-8"?>
<formControlPr xmlns="http://schemas.microsoft.com/office/spreadsheetml/2009/9/main" objectType="CheckBox" fmlaLink="$Q$26" lockText="1" noThreeD="1"/>
</file>

<file path=xl/ctrlProps/ctrlProp268.xml><?xml version="1.0" encoding="utf-8"?>
<formControlPr xmlns="http://schemas.microsoft.com/office/spreadsheetml/2009/9/main" objectType="CheckBox" fmlaLink="$Q$27" lockText="1" noThreeD="1"/>
</file>

<file path=xl/ctrlProps/ctrlProp269.xml><?xml version="1.0" encoding="utf-8"?>
<formControlPr xmlns="http://schemas.microsoft.com/office/spreadsheetml/2009/9/main" objectType="CheckBox" fmlaLink="$Q$28" lockText="1" noThreeD="1"/>
</file>

<file path=xl/ctrlProps/ctrlProp27.xml><?xml version="1.0" encoding="utf-8"?>
<formControlPr xmlns="http://schemas.microsoft.com/office/spreadsheetml/2009/9/main" objectType="CheckBox" fmlaLink="$C$33" lockText="1" noThreeD="1"/>
</file>

<file path=xl/ctrlProps/ctrlProp270.xml><?xml version="1.0" encoding="utf-8"?>
<formControlPr xmlns="http://schemas.microsoft.com/office/spreadsheetml/2009/9/main" objectType="CheckBox" fmlaLink="$Q$29" lockText="1" noThreeD="1"/>
</file>

<file path=xl/ctrlProps/ctrlProp271.xml><?xml version="1.0" encoding="utf-8"?>
<formControlPr xmlns="http://schemas.microsoft.com/office/spreadsheetml/2009/9/main" objectType="CheckBox" fmlaLink="$Q$30" lockText="1" noThreeD="1"/>
</file>

<file path=xl/ctrlProps/ctrlProp272.xml><?xml version="1.0" encoding="utf-8"?>
<formControlPr xmlns="http://schemas.microsoft.com/office/spreadsheetml/2009/9/main" objectType="CheckBox" fmlaLink="$Q$31" lockText="1" noThreeD="1"/>
</file>

<file path=xl/ctrlProps/ctrlProp273.xml><?xml version="1.0" encoding="utf-8"?>
<formControlPr xmlns="http://schemas.microsoft.com/office/spreadsheetml/2009/9/main" objectType="CheckBox" fmlaLink="$Q$34" lockText="1" noThreeD="1"/>
</file>

<file path=xl/ctrlProps/ctrlProp274.xml><?xml version="1.0" encoding="utf-8"?>
<formControlPr xmlns="http://schemas.microsoft.com/office/spreadsheetml/2009/9/main" objectType="CheckBox" fmlaLink="$Q$35" lockText="1" noThreeD="1"/>
</file>

<file path=xl/ctrlProps/ctrlProp275.xml><?xml version="1.0" encoding="utf-8"?>
<formControlPr xmlns="http://schemas.microsoft.com/office/spreadsheetml/2009/9/main" objectType="CheckBox" fmlaLink="$Q$38" lockText="1" noThreeD="1"/>
</file>

<file path=xl/ctrlProps/ctrlProp276.xml><?xml version="1.0" encoding="utf-8"?>
<formControlPr xmlns="http://schemas.microsoft.com/office/spreadsheetml/2009/9/main" objectType="CheckBox" fmlaLink="$Q$41" lockText="1" noThreeD="1"/>
</file>

<file path=xl/ctrlProps/ctrlProp277.xml><?xml version="1.0" encoding="utf-8"?>
<formControlPr xmlns="http://schemas.microsoft.com/office/spreadsheetml/2009/9/main" objectType="CheckBox" fmlaLink="$Q$51" lockText="1" noThreeD="1"/>
</file>

<file path=xl/ctrlProps/ctrlProp278.xml><?xml version="1.0" encoding="utf-8"?>
<formControlPr xmlns="http://schemas.microsoft.com/office/spreadsheetml/2009/9/main" objectType="CheckBox" fmlaLink="$Q$52" lockText="1" noThreeD="1"/>
</file>

<file path=xl/ctrlProps/ctrlProp279.xml><?xml version="1.0" encoding="utf-8"?>
<formControlPr xmlns="http://schemas.microsoft.com/office/spreadsheetml/2009/9/main" objectType="CheckBox" fmlaLink="$Q$60" lockText="1" noThreeD="1"/>
</file>

<file path=xl/ctrlProps/ctrlProp28.xml><?xml version="1.0" encoding="utf-8"?>
<formControlPr xmlns="http://schemas.microsoft.com/office/spreadsheetml/2009/9/main" objectType="CheckBox" fmlaLink="$C$34" lockText="1" noThreeD="1"/>
</file>

<file path=xl/ctrlProps/ctrlProp280.xml><?xml version="1.0" encoding="utf-8"?>
<formControlPr xmlns="http://schemas.microsoft.com/office/spreadsheetml/2009/9/main" objectType="CheckBox" fmlaLink="$Q$62" lockText="1" noThreeD="1"/>
</file>

<file path=xl/ctrlProps/ctrlProp281.xml><?xml version="1.0" encoding="utf-8"?>
<formControlPr xmlns="http://schemas.microsoft.com/office/spreadsheetml/2009/9/main" objectType="CheckBox" fmlaLink="$Q$67" lockText="1" noThreeD="1"/>
</file>

<file path=xl/ctrlProps/ctrlProp282.xml><?xml version="1.0" encoding="utf-8"?>
<formControlPr xmlns="http://schemas.microsoft.com/office/spreadsheetml/2009/9/main" objectType="CheckBox" fmlaLink="$Q$68" lockText="1" noThreeD="1"/>
</file>

<file path=xl/ctrlProps/ctrlProp283.xml><?xml version="1.0" encoding="utf-8"?>
<formControlPr xmlns="http://schemas.microsoft.com/office/spreadsheetml/2009/9/main" objectType="CheckBox" fmlaLink="$Q$70" lockText="1" noThreeD="1"/>
</file>

<file path=xl/ctrlProps/ctrlProp284.xml><?xml version="1.0" encoding="utf-8"?>
<formControlPr xmlns="http://schemas.microsoft.com/office/spreadsheetml/2009/9/main" objectType="CheckBox" fmlaLink="$Q$71" lockText="1" noThreeD="1"/>
</file>

<file path=xl/ctrlProps/ctrlProp285.xml><?xml version="1.0" encoding="utf-8"?>
<formControlPr xmlns="http://schemas.microsoft.com/office/spreadsheetml/2009/9/main" objectType="CheckBox" fmlaLink="$Q$72" lockText="1" noThreeD="1"/>
</file>

<file path=xl/ctrlProps/ctrlProp286.xml><?xml version="1.0" encoding="utf-8"?>
<formControlPr xmlns="http://schemas.microsoft.com/office/spreadsheetml/2009/9/main" objectType="CheckBox" fmlaLink="$Q$73" lockText="1" noThreeD="1"/>
</file>

<file path=xl/ctrlProps/ctrlProp287.xml><?xml version="1.0" encoding="utf-8"?>
<formControlPr xmlns="http://schemas.microsoft.com/office/spreadsheetml/2009/9/main" objectType="CheckBox" fmlaLink="$Q$74" lockText="1" noThreeD="1"/>
</file>

<file path=xl/ctrlProps/ctrlProp288.xml><?xml version="1.0" encoding="utf-8"?>
<formControlPr xmlns="http://schemas.microsoft.com/office/spreadsheetml/2009/9/main" objectType="CheckBox" fmlaLink="$Q$75" lockText="1" noThreeD="1"/>
</file>

<file path=xl/ctrlProps/ctrlProp289.xml><?xml version="1.0" encoding="utf-8"?>
<formControlPr xmlns="http://schemas.microsoft.com/office/spreadsheetml/2009/9/main" objectType="CheckBox" fmlaLink="$Q$81" lockText="1" noThreeD="1"/>
</file>

<file path=xl/ctrlProps/ctrlProp29.xml><?xml version="1.0" encoding="utf-8"?>
<formControlPr xmlns="http://schemas.microsoft.com/office/spreadsheetml/2009/9/main" objectType="CheckBox" fmlaLink="$C$35" lockText="1" noThreeD="1"/>
</file>

<file path=xl/ctrlProps/ctrlProp290.xml><?xml version="1.0" encoding="utf-8"?>
<formControlPr xmlns="http://schemas.microsoft.com/office/spreadsheetml/2009/9/main" objectType="CheckBox" fmlaLink="$Q$83" lockText="1" noThreeD="1"/>
</file>

<file path=xl/ctrlProps/ctrlProp291.xml><?xml version="1.0" encoding="utf-8"?>
<formControlPr xmlns="http://schemas.microsoft.com/office/spreadsheetml/2009/9/main" objectType="CheckBox" fmlaLink="$Q$90" lockText="1" noThreeD="1"/>
</file>

<file path=xl/ctrlProps/ctrlProp292.xml><?xml version="1.0" encoding="utf-8"?>
<formControlPr xmlns="http://schemas.microsoft.com/office/spreadsheetml/2009/9/main" objectType="CheckBox" fmlaLink="$Q$92" lockText="1" noThreeD="1"/>
</file>

<file path=xl/ctrlProps/ctrlProp293.xml><?xml version="1.0" encoding="utf-8"?>
<formControlPr xmlns="http://schemas.microsoft.com/office/spreadsheetml/2009/9/main" objectType="CheckBox" fmlaLink="$Q$94" lockText="1" noThreeD="1"/>
</file>

<file path=xl/ctrlProps/ctrlProp294.xml><?xml version="1.0" encoding="utf-8"?>
<formControlPr xmlns="http://schemas.microsoft.com/office/spreadsheetml/2009/9/main" objectType="CheckBox" fmlaLink="$Q$26" lockText="1" noThreeD="1"/>
</file>

<file path=xl/ctrlProps/ctrlProp295.xml><?xml version="1.0" encoding="utf-8"?>
<formControlPr xmlns="http://schemas.microsoft.com/office/spreadsheetml/2009/9/main" objectType="CheckBox" fmlaLink="$Q$31" lockText="1" noThreeD="1"/>
</file>

<file path=xl/ctrlProps/ctrlProp296.xml><?xml version="1.0" encoding="utf-8"?>
<formControlPr xmlns="http://schemas.microsoft.com/office/spreadsheetml/2009/9/main" objectType="CheckBox" fmlaLink="$Q$32" lockText="1" noThreeD="1"/>
</file>

<file path=xl/ctrlProps/ctrlProp297.xml><?xml version="1.0" encoding="utf-8"?>
<formControlPr xmlns="http://schemas.microsoft.com/office/spreadsheetml/2009/9/main" objectType="CheckBox" fmlaLink="$Q$38" lockText="1" noThreeD="1"/>
</file>

<file path=xl/ctrlProps/ctrlProp298.xml><?xml version="1.0" encoding="utf-8"?>
<formControlPr xmlns="http://schemas.microsoft.com/office/spreadsheetml/2009/9/main" objectType="CheckBox" fmlaLink="$Q$46" lockText="1" noThreeD="1"/>
</file>

<file path=xl/ctrlProps/ctrlProp299.xml><?xml version="1.0" encoding="utf-8"?>
<formControlPr xmlns="http://schemas.microsoft.com/office/spreadsheetml/2009/9/main" objectType="CheckBox" fmlaLink="$Q$52" lockText="1" noThreeD="1"/>
</file>

<file path=xl/ctrlProps/ctrlProp3.xml><?xml version="1.0" encoding="utf-8"?>
<formControlPr xmlns="http://schemas.microsoft.com/office/spreadsheetml/2009/9/main" objectType="CheckBox" fmlaLink="$C$33" lockText="1" noThreeD="1"/>
</file>

<file path=xl/ctrlProps/ctrlProp30.xml><?xml version="1.0" encoding="utf-8"?>
<formControlPr xmlns="http://schemas.microsoft.com/office/spreadsheetml/2009/9/main" objectType="CheckBox" fmlaLink="$C$37" lockText="1" noThreeD="1"/>
</file>

<file path=xl/ctrlProps/ctrlProp300.xml><?xml version="1.0" encoding="utf-8"?>
<formControlPr xmlns="http://schemas.microsoft.com/office/spreadsheetml/2009/9/main" objectType="CheckBox" fmlaLink="$Q$53" lockText="1" noThreeD="1"/>
</file>

<file path=xl/ctrlProps/ctrlProp301.xml><?xml version="1.0" encoding="utf-8"?>
<formControlPr xmlns="http://schemas.microsoft.com/office/spreadsheetml/2009/9/main" objectType="CheckBox" fmlaLink="$Q$54" lockText="1" noThreeD="1"/>
</file>

<file path=xl/ctrlProps/ctrlProp302.xml><?xml version="1.0" encoding="utf-8"?>
<formControlPr xmlns="http://schemas.microsoft.com/office/spreadsheetml/2009/9/main" objectType="CheckBox" fmlaLink="$Q$63" lockText="1" noThreeD="1"/>
</file>

<file path=xl/ctrlProps/ctrlProp303.xml><?xml version="1.0" encoding="utf-8"?>
<formControlPr xmlns="http://schemas.microsoft.com/office/spreadsheetml/2009/9/main" objectType="CheckBox" fmlaLink="$Q$65" lockText="1" noThreeD="1"/>
</file>

<file path=xl/ctrlProps/ctrlProp304.xml><?xml version="1.0" encoding="utf-8"?>
<formControlPr xmlns="http://schemas.microsoft.com/office/spreadsheetml/2009/9/main" objectType="CheckBox" fmlaLink="$Q$66" lockText="1" noThreeD="1"/>
</file>

<file path=xl/ctrlProps/ctrlProp305.xml><?xml version="1.0" encoding="utf-8"?>
<formControlPr xmlns="http://schemas.microsoft.com/office/spreadsheetml/2009/9/main" objectType="CheckBox" fmlaLink="$Q$67" lockText="1" noThreeD="1"/>
</file>

<file path=xl/ctrlProps/ctrlProp306.xml><?xml version="1.0" encoding="utf-8"?>
<formControlPr xmlns="http://schemas.microsoft.com/office/spreadsheetml/2009/9/main" objectType="CheckBox" fmlaLink="$Q$72" lockText="1" noThreeD="1"/>
</file>

<file path=xl/ctrlProps/ctrlProp307.xml><?xml version="1.0" encoding="utf-8"?>
<formControlPr xmlns="http://schemas.microsoft.com/office/spreadsheetml/2009/9/main" objectType="CheckBox" fmlaLink="$Q$73" lockText="1" noThreeD="1"/>
</file>

<file path=xl/ctrlProps/ctrlProp308.xml><?xml version="1.0" encoding="utf-8"?>
<formControlPr xmlns="http://schemas.microsoft.com/office/spreadsheetml/2009/9/main" objectType="CheckBox" fmlaLink="$Q$75" lockText="1" noThreeD="1"/>
</file>

<file path=xl/ctrlProps/ctrlProp309.xml><?xml version="1.0" encoding="utf-8"?>
<formControlPr xmlns="http://schemas.microsoft.com/office/spreadsheetml/2009/9/main" objectType="CheckBox" fmlaLink="$Q$76" lockText="1" noThreeD="1"/>
</file>

<file path=xl/ctrlProps/ctrlProp31.xml><?xml version="1.0" encoding="utf-8"?>
<formControlPr xmlns="http://schemas.microsoft.com/office/spreadsheetml/2009/9/main" objectType="CheckBox" fmlaLink="$C$38" lockText="1" noThreeD="1"/>
</file>

<file path=xl/ctrlProps/ctrlProp310.xml><?xml version="1.0" encoding="utf-8"?>
<formControlPr xmlns="http://schemas.microsoft.com/office/spreadsheetml/2009/9/main" objectType="CheckBox" fmlaLink="$Q$77" lockText="1" noThreeD="1"/>
</file>

<file path=xl/ctrlProps/ctrlProp311.xml><?xml version="1.0" encoding="utf-8"?>
<formControlPr xmlns="http://schemas.microsoft.com/office/spreadsheetml/2009/9/main" objectType="CheckBox" fmlaLink="$Q$78" lockText="1" noThreeD="1"/>
</file>

<file path=xl/ctrlProps/ctrlProp312.xml><?xml version="1.0" encoding="utf-8"?>
<formControlPr xmlns="http://schemas.microsoft.com/office/spreadsheetml/2009/9/main" objectType="CheckBox" fmlaLink="$Q79" lockText="1" noThreeD="1"/>
</file>

<file path=xl/ctrlProps/ctrlProp313.xml><?xml version="1.0" encoding="utf-8"?>
<formControlPr xmlns="http://schemas.microsoft.com/office/spreadsheetml/2009/9/main" objectType="CheckBox" fmlaLink="$Q$80" lockText="1" noThreeD="1"/>
</file>

<file path=xl/ctrlProps/ctrlProp314.xml><?xml version="1.0" encoding="utf-8"?>
<formControlPr xmlns="http://schemas.microsoft.com/office/spreadsheetml/2009/9/main" objectType="CheckBox" fmlaLink="$Q$81" lockText="1" noThreeD="1"/>
</file>

<file path=xl/ctrlProps/ctrlProp315.xml><?xml version="1.0" encoding="utf-8"?>
<formControlPr xmlns="http://schemas.microsoft.com/office/spreadsheetml/2009/9/main" objectType="CheckBox" fmlaLink="$Q$91" lockText="1" noThreeD="1"/>
</file>

<file path=xl/ctrlProps/ctrlProp316.xml><?xml version="1.0" encoding="utf-8"?>
<formControlPr xmlns="http://schemas.microsoft.com/office/spreadsheetml/2009/9/main" objectType="CheckBox" fmlaLink="$Q$103" lockText="1" noThreeD="1"/>
</file>

<file path=xl/ctrlProps/ctrlProp317.xml><?xml version="1.0" encoding="utf-8"?>
<formControlPr xmlns="http://schemas.microsoft.com/office/spreadsheetml/2009/9/main" objectType="CheckBox" fmlaLink="$Q$105" lockText="1" noThreeD="1"/>
</file>

<file path=xl/ctrlProps/ctrlProp318.xml><?xml version="1.0" encoding="utf-8"?>
<formControlPr xmlns="http://schemas.microsoft.com/office/spreadsheetml/2009/9/main" objectType="CheckBox" fmlaLink="$Q$104" lockText="1" noThreeD="1"/>
</file>

<file path=xl/ctrlProps/ctrlProp319.xml><?xml version="1.0" encoding="utf-8"?>
<formControlPr xmlns="http://schemas.microsoft.com/office/spreadsheetml/2009/9/main" objectType="CheckBox" fmlaLink="$Q$93" lockText="1" noThreeD="1"/>
</file>

<file path=xl/ctrlProps/ctrlProp32.xml><?xml version="1.0" encoding="utf-8"?>
<formControlPr xmlns="http://schemas.microsoft.com/office/spreadsheetml/2009/9/main" objectType="CheckBox" fmlaLink="$C$39" lockText="1" noThreeD="1"/>
</file>

<file path=xl/ctrlProps/ctrlProp320.xml><?xml version="1.0" encoding="utf-8"?>
<formControlPr xmlns="http://schemas.microsoft.com/office/spreadsheetml/2009/9/main" objectType="CheckBox" fmlaLink="$Q$101" lockText="1" noThreeD="1"/>
</file>

<file path=xl/ctrlProps/ctrlProp321.xml><?xml version="1.0" encoding="utf-8"?>
<formControlPr xmlns="http://schemas.microsoft.com/office/spreadsheetml/2009/9/main" objectType="CheckBox" fmlaLink="$P$27" lockText="1" noThreeD="1"/>
</file>

<file path=xl/ctrlProps/ctrlProp322.xml><?xml version="1.0" encoding="utf-8"?>
<formControlPr xmlns="http://schemas.microsoft.com/office/spreadsheetml/2009/9/main" objectType="CheckBox" fmlaLink="$P$32" lockText="1" noThreeD="1"/>
</file>

<file path=xl/ctrlProps/ctrlProp323.xml><?xml version="1.0" encoding="utf-8"?>
<formControlPr xmlns="http://schemas.microsoft.com/office/spreadsheetml/2009/9/main" objectType="CheckBox" fmlaLink="$P$34" lockText="1" noThreeD="1"/>
</file>

<file path=xl/ctrlProps/ctrlProp324.xml><?xml version="1.0" encoding="utf-8"?>
<formControlPr xmlns="http://schemas.microsoft.com/office/spreadsheetml/2009/9/main" objectType="CheckBox" fmlaLink="$P$46" lockText="1" noThreeD="1"/>
</file>

<file path=xl/ctrlProps/ctrlProp325.xml><?xml version="1.0" encoding="utf-8"?>
<formControlPr xmlns="http://schemas.microsoft.com/office/spreadsheetml/2009/9/main" objectType="CheckBox" fmlaLink="$P$54" lockText="1" noThreeD="1"/>
</file>

<file path=xl/ctrlProps/ctrlProp326.xml><?xml version="1.0" encoding="utf-8"?>
<formControlPr xmlns="http://schemas.microsoft.com/office/spreadsheetml/2009/9/main" objectType="CheckBox" fmlaLink="$P$55" lockText="1" noThreeD="1"/>
</file>

<file path=xl/ctrlProps/ctrlProp327.xml><?xml version="1.0" encoding="utf-8"?>
<formControlPr xmlns="http://schemas.microsoft.com/office/spreadsheetml/2009/9/main" objectType="CheckBox" fmlaLink="$P$60" lockText="1" noThreeD="1"/>
</file>

<file path=xl/ctrlProps/ctrlProp328.xml><?xml version="1.0" encoding="utf-8"?>
<formControlPr xmlns="http://schemas.microsoft.com/office/spreadsheetml/2009/9/main" objectType="CheckBox" fmlaLink="$P$62" lockText="1" noThreeD="1"/>
</file>

<file path=xl/ctrlProps/ctrlProp329.xml><?xml version="1.0" encoding="utf-8"?>
<formControlPr xmlns="http://schemas.microsoft.com/office/spreadsheetml/2009/9/main" objectType="CheckBox" fmlaLink="$P$63" lockText="1" noThreeD="1"/>
</file>

<file path=xl/ctrlProps/ctrlProp33.xml><?xml version="1.0" encoding="utf-8"?>
<formControlPr xmlns="http://schemas.microsoft.com/office/spreadsheetml/2009/9/main" objectType="CheckBox" fmlaLink="$C$41" lockText="1" noThreeD="1"/>
</file>

<file path=xl/ctrlProps/ctrlProp330.xml><?xml version="1.0" encoding="utf-8"?>
<formControlPr xmlns="http://schemas.microsoft.com/office/spreadsheetml/2009/9/main" objectType="CheckBox" fmlaLink="$P$64" lockText="1" noThreeD="1"/>
</file>

<file path=xl/ctrlProps/ctrlProp331.xml><?xml version="1.0" encoding="utf-8"?>
<formControlPr xmlns="http://schemas.microsoft.com/office/spreadsheetml/2009/9/main" objectType="CheckBox" fmlaLink="$P$65" lockText="1" noThreeD="1"/>
</file>

<file path=xl/ctrlProps/ctrlProp332.xml><?xml version="1.0" encoding="utf-8"?>
<formControlPr xmlns="http://schemas.microsoft.com/office/spreadsheetml/2009/9/main" objectType="CheckBox" fmlaLink="$P$66" lockText="1" noThreeD="1"/>
</file>

<file path=xl/ctrlProps/ctrlProp333.xml><?xml version="1.0" encoding="utf-8"?>
<formControlPr xmlns="http://schemas.microsoft.com/office/spreadsheetml/2009/9/main" objectType="CheckBox" fmlaLink="$P$75" lockText="1" noThreeD="1"/>
</file>

<file path=xl/ctrlProps/ctrlProp334.xml><?xml version="1.0" encoding="utf-8"?>
<formControlPr xmlns="http://schemas.microsoft.com/office/spreadsheetml/2009/9/main" objectType="CheckBox" fmlaLink="$P$84" lockText="1" noThreeD="1"/>
</file>

<file path=xl/ctrlProps/ctrlProp335.xml><?xml version="1.0" encoding="utf-8"?>
<formControlPr xmlns="http://schemas.microsoft.com/office/spreadsheetml/2009/9/main" objectType="CheckBox" fmlaLink="$Q$29" lockText="1" noThreeD="1"/>
</file>

<file path=xl/ctrlProps/ctrlProp336.xml><?xml version="1.0" encoding="utf-8"?>
<formControlPr xmlns="http://schemas.microsoft.com/office/spreadsheetml/2009/9/main" objectType="CheckBox" fmlaLink="$Q$30" lockText="1" noThreeD="1"/>
</file>

<file path=xl/ctrlProps/ctrlProp337.xml><?xml version="1.0" encoding="utf-8"?>
<formControlPr xmlns="http://schemas.microsoft.com/office/spreadsheetml/2009/9/main" objectType="CheckBox" fmlaLink="$Q$32" lockText="1" noThreeD="1"/>
</file>

<file path=xl/ctrlProps/ctrlProp338.xml><?xml version="1.0" encoding="utf-8"?>
<formControlPr xmlns="http://schemas.microsoft.com/office/spreadsheetml/2009/9/main" objectType="CheckBox" fmlaLink="$Q$33" lockText="1" noThreeD="1"/>
</file>

<file path=xl/ctrlProps/ctrlProp339.xml><?xml version="1.0" encoding="utf-8"?>
<formControlPr xmlns="http://schemas.microsoft.com/office/spreadsheetml/2009/9/main" objectType="CheckBox" fmlaLink="$Q$34" lockText="1" noThreeD="1"/>
</file>

<file path=xl/ctrlProps/ctrlProp34.xml><?xml version="1.0" encoding="utf-8"?>
<formControlPr xmlns="http://schemas.microsoft.com/office/spreadsheetml/2009/9/main" objectType="CheckBox" fmlaLink="$C$42" lockText="1" noThreeD="1"/>
</file>

<file path=xl/ctrlProps/ctrlProp340.xml><?xml version="1.0" encoding="utf-8"?>
<formControlPr xmlns="http://schemas.microsoft.com/office/spreadsheetml/2009/9/main" objectType="CheckBox" fmlaLink="$Q$43" lockText="1" noThreeD="1"/>
</file>

<file path=xl/ctrlProps/ctrlProp341.xml><?xml version="1.0" encoding="utf-8"?>
<formControlPr xmlns="http://schemas.microsoft.com/office/spreadsheetml/2009/9/main" objectType="CheckBox" fmlaLink="$Q$47" lockText="1" noThreeD="1"/>
</file>

<file path=xl/ctrlProps/ctrlProp342.xml><?xml version="1.0" encoding="utf-8"?>
<formControlPr xmlns="http://schemas.microsoft.com/office/spreadsheetml/2009/9/main" objectType="CheckBox" fmlaLink="$Q$48" lockText="1" noThreeD="1"/>
</file>

<file path=xl/ctrlProps/ctrlProp343.xml><?xml version="1.0" encoding="utf-8"?>
<formControlPr xmlns="http://schemas.microsoft.com/office/spreadsheetml/2009/9/main" objectType="CheckBox" fmlaLink="$Q$58" lockText="1" noThreeD="1"/>
</file>

<file path=xl/ctrlProps/ctrlProp344.xml><?xml version="1.0" encoding="utf-8"?>
<formControlPr xmlns="http://schemas.microsoft.com/office/spreadsheetml/2009/9/main" objectType="CheckBox" fmlaLink="$Q$60" lockText="1" noThreeD="1"/>
</file>

<file path=xl/ctrlProps/ctrlProp345.xml><?xml version="1.0" encoding="utf-8"?>
<formControlPr xmlns="http://schemas.microsoft.com/office/spreadsheetml/2009/9/main" objectType="CheckBox" fmlaLink="$Q$65" lockText="1" noThreeD="1"/>
</file>

<file path=xl/ctrlProps/ctrlProp346.xml><?xml version="1.0" encoding="utf-8"?>
<formControlPr xmlns="http://schemas.microsoft.com/office/spreadsheetml/2009/9/main" objectType="CheckBox" fmlaLink="$Q$66" lockText="1" noThreeD="1"/>
</file>

<file path=xl/ctrlProps/ctrlProp347.xml><?xml version="1.0" encoding="utf-8"?>
<formControlPr xmlns="http://schemas.microsoft.com/office/spreadsheetml/2009/9/main" objectType="CheckBox" fmlaLink="$Q$68" lockText="1" noThreeD="1"/>
</file>

<file path=xl/ctrlProps/ctrlProp348.xml><?xml version="1.0" encoding="utf-8"?>
<formControlPr xmlns="http://schemas.microsoft.com/office/spreadsheetml/2009/9/main" objectType="CheckBox" fmlaLink="$Q$69" lockText="1" noThreeD="1"/>
</file>

<file path=xl/ctrlProps/ctrlProp349.xml><?xml version="1.0" encoding="utf-8"?>
<formControlPr xmlns="http://schemas.microsoft.com/office/spreadsheetml/2009/9/main" objectType="CheckBox" fmlaLink="$Q$70" lockText="1" noThreeD="1"/>
</file>

<file path=xl/ctrlProps/ctrlProp35.xml><?xml version="1.0" encoding="utf-8"?>
<formControlPr xmlns="http://schemas.microsoft.com/office/spreadsheetml/2009/9/main" objectType="CheckBox" fmlaLink="$C$43" lockText="1" noThreeD="1"/>
</file>

<file path=xl/ctrlProps/ctrlProp350.xml><?xml version="1.0" encoding="utf-8"?>
<formControlPr xmlns="http://schemas.microsoft.com/office/spreadsheetml/2009/9/main" objectType="CheckBox" fmlaLink="$Q$71" lockText="1" noThreeD="1"/>
</file>

<file path=xl/ctrlProps/ctrlProp351.xml><?xml version="1.0" encoding="utf-8"?>
<formControlPr xmlns="http://schemas.microsoft.com/office/spreadsheetml/2009/9/main" objectType="CheckBox" fmlaLink="$Q$72" lockText="1" noThreeD="1"/>
</file>

<file path=xl/ctrlProps/ctrlProp352.xml><?xml version="1.0" encoding="utf-8"?>
<formControlPr xmlns="http://schemas.microsoft.com/office/spreadsheetml/2009/9/main" objectType="CheckBox" fmlaLink="$Q$73" lockText="1" noThreeD="1"/>
</file>

<file path=xl/ctrlProps/ctrlProp353.xml><?xml version="1.0" encoding="utf-8"?>
<formControlPr xmlns="http://schemas.microsoft.com/office/spreadsheetml/2009/9/main" objectType="CheckBox" fmlaLink="$Q$80" lockText="1" noThreeD="1"/>
</file>

<file path=xl/ctrlProps/ctrlProp354.xml><?xml version="1.0" encoding="utf-8"?>
<formControlPr xmlns="http://schemas.microsoft.com/office/spreadsheetml/2009/9/main" objectType="CheckBox" fmlaLink="$Q$82" lockText="1" noThreeD="1"/>
</file>

<file path=xl/ctrlProps/ctrlProp355.xml><?xml version="1.0" encoding="utf-8"?>
<formControlPr xmlns="http://schemas.microsoft.com/office/spreadsheetml/2009/9/main" objectType="CheckBox" fmlaLink="$Q$89" lockText="1" noThreeD="1"/>
</file>

<file path=xl/ctrlProps/ctrlProp356.xml><?xml version="1.0" encoding="utf-8"?>
<formControlPr xmlns="http://schemas.microsoft.com/office/spreadsheetml/2009/9/main" objectType="CheckBox" fmlaLink="$Q$91" lockText="1" noThreeD="1"/>
</file>

<file path=xl/ctrlProps/ctrlProp357.xml><?xml version="1.0" encoding="utf-8"?>
<formControlPr xmlns="http://schemas.microsoft.com/office/spreadsheetml/2009/9/main" objectType="CheckBox" fmlaLink="$Q$93" lockText="1" noThreeD="1"/>
</file>

<file path=xl/ctrlProps/ctrlProp358.xml><?xml version="1.0" encoding="utf-8"?>
<formControlPr xmlns="http://schemas.microsoft.com/office/spreadsheetml/2009/9/main" objectType="CheckBox" fmlaLink="$Q$74" lockText="1" noThreeD="1"/>
</file>

<file path=xl/ctrlProps/ctrlProp36.xml><?xml version="1.0" encoding="utf-8"?>
<formControlPr xmlns="http://schemas.microsoft.com/office/spreadsheetml/2009/9/main" objectType="CheckBox" fmlaLink="$C$44" lockText="1" noThreeD="1"/>
</file>

<file path=xl/ctrlProps/ctrlProp37.xml><?xml version="1.0" encoding="utf-8"?>
<formControlPr xmlns="http://schemas.microsoft.com/office/spreadsheetml/2009/9/main" objectType="CheckBox" fmlaLink="$C$45" lockText="1" noThreeD="1"/>
</file>

<file path=xl/ctrlProps/ctrlProp38.xml><?xml version="1.0" encoding="utf-8"?>
<formControlPr xmlns="http://schemas.microsoft.com/office/spreadsheetml/2009/9/main" objectType="CheckBox" fmlaLink="$C$46" lockText="1" noThreeD="1"/>
</file>

<file path=xl/ctrlProps/ctrlProp39.xml><?xml version="1.0" encoding="utf-8"?>
<formControlPr xmlns="http://schemas.microsoft.com/office/spreadsheetml/2009/9/main" objectType="CheckBox" fmlaLink="$C$59" lockText="1" noThreeD="1"/>
</file>

<file path=xl/ctrlProps/ctrlProp4.xml><?xml version="1.0" encoding="utf-8"?>
<formControlPr xmlns="http://schemas.microsoft.com/office/spreadsheetml/2009/9/main" objectType="CheckBox" fmlaLink="$C$34" lockText="1" noThreeD="1"/>
</file>

<file path=xl/ctrlProps/ctrlProp40.xml><?xml version="1.0" encoding="utf-8"?>
<formControlPr xmlns="http://schemas.microsoft.com/office/spreadsheetml/2009/9/main" objectType="CheckBox" fmlaLink="$C$70" lockText="1" noThreeD="1"/>
</file>

<file path=xl/ctrlProps/ctrlProp41.xml><?xml version="1.0" encoding="utf-8"?>
<formControlPr xmlns="http://schemas.microsoft.com/office/spreadsheetml/2009/9/main" objectType="CheckBox" fmlaLink="$C$71" lockText="1" noThreeD="1"/>
</file>

<file path=xl/ctrlProps/ctrlProp42.xml><?xml version="1.0" encoding="utf-8"?>
<formControlPr xmlns="http://schemas.microsoft.com/office/spreadsheetml/2009/9/main" objectType="CheckBox" fmlaLink="$C$92" lockText="1" noThreeD="1"/>
</file>

<file path=xl/ctrlProps/ctrlProp43.xml><?xml version="1.0" encoding="utf-8"?>
<formControlPr xmlns="http://schemas.microsoft.com/office/spreadsheetml/2009/9/main" objectType="CheckBox" fmlaLink="$C$79" lockText="1" noThreeD="1"/>
</file>

<file path=xl/ctrlProps/ctrlProp44.xml><?xml version="1.0" encoding="utf-8"?>
<formControlPr xmlns="http://schemas.microsoft.com/office/spreadsheetml/2009/9/main" objectType="CheckBox" fmlaLink="$C$80" lockText="1" noThreeD="1"/>
</file>

<file path=xl/ctrlProps/ctrlProp45.xml><?xml version="1.0" encoding="utf-8"?>
<formControlPr xmlns="http://schemas.microsoft.com/office/spreadsheetml/2009/9/main" objectType="CheckBox" fmlaLink="$C$81" lockText="1" noThreeD="1"/>
</file>

<file path=xl/ctrlProps/ctrlProp46.xml><?xml version="1.0" encoding="utf-8"?>
<formControlPr xmlns="http://schemas.microsoft.com/office/spreadsheetml/2009/9/main" objectType="CheckBox" fmlaLink="$C$60" lockText="1" noThreeD="1"/>
</file>

<file path=xl/ctrlProps/ctrlProp47.xml><?xml version="1.0" encoding="utf-8"?>
<formControlPr xmlns="http://schemas.microsoft.com/office/spreadsheetml/2009/9/main" objectType="CheckBox" fmlaLink="$C$32" lockText="1" noThreeD="1"/>
</file>

<file path=xl/ctrlProps/ctrlProp48.xml><?xml version="1.0" encoding="utf-8"?>
<formControlPr xmlns="http://schemas.microsoft.com/office/spreadsheetml/2009/9/main" objectType="CheckBox" fmlaLink="$C$31" lockText="1" noThreeD="1"/>
</file>

<file path=xl/ctrlProps/ctrlProp49.xml><?xml version="1.0" encoding="utf-8"?>
<formControlPr xmlns="http://schemas.microsoft.com/office/spreadsheetml/2009/9/main" objectType="CheckBox" fmlaLink="$C$33" lockText="1" noThreeD="1"/>
</file>

<file path=xl/ctrlProps/ctrlProp5.xml><?xml version="1.0" encoding="utf-8"?>
<formControlPr xmlns="http://schemas.microsoft.com/office/spreadsheetml/2009/9/main" objectType="CheckBox" fmlaLink="$C$35" lockText="1" noThreeD="1"/>
</file>

<file path=xl/ctrlProps/ctrlProp50.xml><?xml version="1.0" encoding="utf-8"?>
<formControlPr xmlns="http://schemas.microsoft.com/office/spreadsheetml/2009/9/main" objectType="CheckBox" fmlaLink="$C$34" lockText="1" noThreeD="1"/>
</file>

<file path=xl/ctrlProps/ctrlProp51.xml><?xml version="1.0" encoding="utf-8"?>
<formControlPr xmlns="http://schemas.microsoft.com/office/spreadsheetml/2009/9/main" objectType="CheckBox" fmlaLink="$C$35" lockText="1" noThreeD="1"/>
</file>

<file path=xl/ctrlProps/ctrlProp52.xml><?xml version="1.0" encoding="utf-8"?>
<formControlPr xmlns="http://schemas.microsoft.com/office/spreadsheetml/2009/9/main" objectType="CheckBox" fmlaLink="$C$36" lockText="1" noThreeD="1"/>
</file>

<file path=xl/ctrlProps/ctrlProp53.xml><?xml version="1.0" encoding="utf-8"?>
<formControlPr xmlns="http://schemas.microsoft.com/office/spreadsheetml/2009/9/main" objectType="CheckBox" fmlaLink="$C$38" lockText="1" noThreeD="1"/>
</file>

<file path=xl/ctrlProps/ctrlProp54.xml><?xml version="1.0" encoding="utf-8"?>
<formControlPr xmlns="http://schemas.microsoft.com/office/spreadsheetml/2009/9/main" objectType="CheckBox" fmlaLink="$C$39" lockText="1" noThreeD="1"/>
</file>

<file path=xl/ctrlProps/ctrlProp55.xml><?xml version="1.0" encoding="utf-8"?>
<formControlPr xmlns="http://schemas.microsoft.com/office/spreadsheetml/2009/9/main" objectType="CheckBox" fmlaLink="$C$40" lockText="1" noThreeD="1"/>
</file>

<file path=xl/ctrlProps/ctrlProp56.xml><?xml version="1.0" encoding="utf-8"?>
<formControlPr xmlns="http://schemas.microsoft.com/office/spreadsheetml/2009/9/main" objectType="CheckBox" fmlaLink="$C$42" lockText="1" noThreeD="1"/>
</file>

<file path=xl/ctrlProps/ctrlProp57.xml><?xml version="1.0" encoding="utf-8"?>
<formControlPr xmlns="http://schemas.microsoft.com/office/spreadsheetml/2009/9/main" objectType="CheckBox" fmlaLink="$C$43" lockText="1" noThreeD="1"/>
</file>

<file path=xl/ctrlProps/ctrlProp58.xml><?xml version="1.0" encoding="utf-8"?>
<formControlPr xmlns="http://schemas.microsoft.com/office/spreadsheetml/2009/9/main" objectType="CheckBox" fmlaLink="$C$44" lockText="1" noThreeD="1"/>
</file>

<file path=xl/ctrlProps/ctrlProp59.xml><?xml version="1.0" encoding="utf-8"?>
<formControlPr xmlns="http://schemas.microsoft.com/office/spreadsheetml/2009/9/main" objectType="CheckBox" fmlaLink="$C$45" lockText="1" noThreeD="1"/>
</file>

<file path=xl/ctrlProps/ctrlProp6.xml><?xml version="1.0" encoding="utf-8"?>
<formControlPr xmlns="http://schemas.microsoft.com/office/spreadsheetml/2009/9/main" objectType="CheckBox" fmlaLink="$C$36" lockText="1" noThreeD="1"/>
</file>

<file path=xl/ctrlProps/ctrlProp60.xml><?xml version="1.0" encoding="utf-8"?>
<formControlPr xmlns="http://schemas.microsoft.com/office/spreadsheetml/2009/9/main" objectType="CheckBox" fmlaLink="$C$46" lockText="1" noThreeD="1"/>
</file>

<file path=xl/ctrlProps/ctrlProp61.xml><?xml version="1.0" encoding="utf-8"?>
<formControlPr xmlns="http://schemas.microsoft.com/office/spreadsheetml/2009/9/main" objectType="CheckBox" fmlaLink="$C$47" lockText="1" noThreeD="1"/>
</file>

<file path=xl/ctrlProps/ctrlProp62.xml><?xml version="1.0" encoding="utf-8"?>
<formControlPr xmlns="http://schemas.microsoft.com/office/spreadsheetml/2009/9/main" objectType="CheckBox" fmlaLink="$C$58" lockText="1" noThreeD="1"/>
</file>

<file path=xl/ctrlProps/ctrlProp63.xml><?xml version="1.0" encoding="utf-8"?>
<formControlPr xmlns="http://schemas.microsoft.com/office/spreadsheetml/2009/9/main" objectType="CheckBox" fmlaLink="$C$59" lockText="1" noThreeD="1"/>
</file>

<file path=xl/ctrlProps/ctrlProp64.xml><?xml version="1.0" encoding="utf-8"?>
<formControlPr xmlns="http://schemas.microsoft.com/office/spreadsheetml/2009/9/main" objectType="CheckBox" fmlaLink="$C$69" lockText="1" noThreeD="1"/>
</file>

<file path=xl/ctrlProps/ctrlProp65.xml><?xml version="1.0" encoding="utf-8"?>
<formControlPr xmlns="http://schemas.microsoft.com/office/spreadsheetml/2009/9/main" objectType="CheckBox" fmlaLink="$C$70" lockText="1" noThreeD="1"/>
</file>

<file path=xl/ctrlProps/ctrlProp66.xml><?xml version="1.0" encoding="utf-8"?>
<formControlPr xmlns="http://schemas.microsoft.com/office/spreadsheetml/2009/9/main" objectType="CheckBox" fmlaLink="$C$97" lockText="1" noThreeD="1"/>
</file>

<file path=xl/ctrlProps/ctrlProp67.xml><?xml version="1.0" encoding="utf-8"?>
<formControlPr xmlns="http://schemas.microsoft.com/office/spreadsheetml/2009/9/main" objectType="CheckBox" fmlaLink="$C$84" lockText="1" noThreeD="1"/>
</file>

<file path=xl/ctrlProps/ctrlProp68.xml><?xml version="1.0" encoding="utf-8"?>
<formControlPr xmlns="http://schemas.microsoft.com/office/spreadsheetml/2009/9/main" objectType="CheckBox" fmlaLink="$C$85" lockText="1" noThreeD="1"/>
</file>

<file path=xl/ctrlProps/ctrlProp69.xml><?xml version="1.0" encoding="utf-8"?>
<formControlPr xmlns="http://schemas.microsoft.com/office/spreadsheetml/2009/9/main" objectType="CheckBox" fmlaLink="$C$86" lockText="1" noThreeD="1"/>
</file>

<file path=xl/ctrlProps/ctrlProp7.xml><?xml version="1.0" encoding="utf-8"?>
<formControlPr xmlns="http://schemas.microsoft.com/office/spreadsheetml/2009/9/main" objectType="CheckBox" fmlaLink="$C$38" lockText="1" noThreeD="1"/>
</file>

<file path=xl/ctrlProps/ctrlProp70.xml><?xml version="1.0" encoding="utf-8"?>
<formControlPr xmlns="http://schemas.microsoft.com/office/spreadsheetml/2009/9/main" objectType="CheckBox" fmlaLink="$B$38" lockText="1" noThreeD="1"/>
</file>

<file path=xl/ctrlProps/ctrlProp71.xml><?xml version="1.0" encoding="utf-8"?>
<formControlPr xmlns="http://schemas.microsoft.com/office/spreadsheetml/2009/9/main" objectType="CheckBox" fmlaLink="$B40" lockText="1" noThreeD="1"/>
</file>

<file path=xl/ctrlProps/ctrlProp72.xml><?xml version="1.0" encoding="utf-8"?>
<formControlPr xmlns="http://schemas.microsoft.com/office/spreadsheetml/2009/9/main" objectType="CheckBox" fmlaLink="$B$41" lockText="1" noThreeD="1"/>
</file>

<file path=xl/ctrlProps/ctrlProp73.xml><?xml version="1.0" encoding="utf-8"?>
<formControlPr xmlns="http://schemas.microsoft.com/office/spreadsheetml/2009/9/main" objectType="CheckBox" fmlaLink="$B$46" lockText="1" noThreeD="1"/>
</file>

<file path=xl/ctrlProps/ctrlProp74.xml><?xml version="1.0" encoding="utf-8"?>
<formControlPr xmlns="http://schemas.microsoft.com/office/spreadsheetml/2009/9/main" objectType="CheckBox" fmlaLink="$B$83" lockText="1" noThreeD="1"/>
</file>

<file path=xl/ctrlProps/ctrlProp75.xml><?xml version="1.0" encoding="utf-8"?>
<formControlPr xmlns="http://schemas.microsoft.com/office/spreadsheetml/2009/9/main" objectType="CheckBox" fmlaLink="$B$101" lockText="1" noThreeD="1"/>
</file>

<file path=xl/ctrlProps/ctrlProp76.xml><?xml version="1.0" encoding="utf-8"?>
<formControlPr xmlns="http://schemas.microsoft.com/office/spreadsheetml/2009/9/main" objectType="CheckBox" fmlaLink="$B$100" lockText="1" noThreeD="1"/>
</file>

<file path=xl/ctrlProps/ctrlProp77.xml><?xml version="1.0" encoding="utf-8"?>
<formControlPr xmlns="http://schemas.microsoft.com/office/spreadsheetml/2009/9/main" objectType="CheckBox" fmlaLink="$B$102" lockText="1" noThreeD="1"/>
</file>

<file path=xl/ctrlProps/ctrlProp78.xml><?xml version="1.0" encoding="utf-8"?>
<formControlPr xmlns="http://schemas.microsoft.com/office/spreadsheetml/2009/9/main" objectType="CheckBox" fmlaLink="$B$74" lockText="1" noThreeD="1"/>
</file>

<file path=xl/ctrlProps/ctrlProp79.xml><?xml version="1.0" encoding="utf-8"?>
<formControlPr xmlns="http://schemas.microsoft.com/office/spreadsheetml/2009/9/main" objectType="CheckBox" fmlaLink="$B$75" lockText="1" noThreeD="1"/>
</file>

<file path=xl/ctrlProps/ctrlProp8.xml><?xml version="1.0" encoding="utf-8"?>
<formControlPr xmlns="http://schemas.microsoft.com/office/spreadsheetml/2009/9/main" objectType="CheckBox" fmlaLink="$C$39" lockText="1" noThreeD="1"/>
</file>

<file path=xl/ctrlProps/ctrlProp80.xml><?xml version="1.0" encoding="utf-8"?>
<formControlPr xmlns="http://schemas.microsoft.com/office/spreadsheetml/2009/9/main" objectType="CheckBox" fmlaLink="$B$76" lockText="1" noThreeD="1"/>
</file>

<file path=xl/ctrlProps/ctrlProp81.xml><?xml version="1.0" encoding="utf-8"?>
<formControlPr xmlns="http://schemas.microsoft.com/office/spreadsheetml/2009/9/main" objectType="CheckBox" fmlaLink="$B$84" lockText="1" noThreeD="1"/>
</file>

<file path=xl/ctrlProps/ctrlProp82.xml><?xml version="1.0" encoding="utf-8"?>
<formControlPr xmlns="http://schemas.microsoft.com/office/spreadsheetml/2009/9/main" objectType="CheckBox" fmlaLink="$B$67" lockText="1" noThreeD="1"/>
</file>

<file path=xl/ctrlProps/ctrlProp83.xml><?xml version="1.0" encoding="utf-8"?>
<formControlPr xmlns="http://schemas.microsoft.com/office/spreadsheetml/2009/9/main" objectType="CheckBox" fmlaLink="$B$29" lockText="1" noThreeD="1"/>
</file>

<file path=xl/ctrlProps/ctrlProp84.xml><?xml version="1.0" encoding="utf-8"?>
<formControlPr xmlns="http://schemas.microsoft.com/office/spreadsheetml/2009/9/main" objectType="CheckBox" fmlaLink="$B$30" lockText="1" noThreeD="1"/>
</file>

<file path=xl/ctrlProps/ctrlProp85.xml><?xml version="1.0" encoding="utf-8"?>
<formControlPr xmlns="http://schemas.microsoft.com/office/spreadsheetml/2009/9/main" objectType="CheckBox" fmlaLink="$B$31" lockText="1" noThreeD="1"/>
</file>

<file path=xl/ctrlProps/ctrlProp86.xml><?xml version="1.0" encoding="utf-8"?>
<formControlPr xmlns="http://schemas.microsoft.com/office/spreadsheetml/2009/9/main" objectType="CheckBox" fmlaLink="$B$32" lockText="1" noThreeD="1"/>
</file>

<file path=xl/ctrlProps/ctrlProp87.xml><?xml version="1.0" encoding="utf-8"?>
<formControlPr xmlns="http://schemas.microsoft.com/office/spreadsheetml/2009/9/main" objectType="CheckBox" fmlaLink="$B$33" lockText="1" noThreeD="1"/>
</file>

<file path=xl/ctrlProps/ctrlProp88.xml><?xml version="1.0" encoding="utf-8"?>
<formControlPr xmlns="http://schemas.microsoft.com/office/spreadsheetml/2009/9/main" objectType="CheckBox" fmlaLink="$B$34" lockText="1" noThreeD="1"/>
</file>

<file path=xl/ctrlProps/ctrlProp89.xml><?xml version="1.0" encoding="utf-8"?>
<formControlPr xmlns="http://schemas.microsoft.com/office/spreadsheetml/2009/9/main" objectType="CheckBox" fmlaLink="$B$36" lockText="1" noThreeD="1"/>
</file>

<file path=xl/ctrlProps/ctrlProp9.xml><?xml version="1.0" encoding="utf-8"?>
<formControlPr xmlns="http://schemas.microsoft.com/office/spreadsheetml/2009/9/main" objectType="CheckBox" fmlaLink="$C$40" lockText="1" noThreeD="1"/>
</file>

<file path=xl/ctrlProps/ctrlProp90.xml><?xml version="1.0" encoding="utf-8"?>
<formControlPr xmlns="http://schemas.microsoft.com/office/spreadsheetml/2009/9/main" objectType="CheckBox" fmlaLink="$B$37" lockText="1" noThreeD="1"/>
</file>

<file path=xl/ctrlProps/ctrlProp91.xml><?xml version="1.0" encoding="utf-8"?>
<formControlPr xmlns="http://schemas.microsoft.com/office/spreadsheetml/2009/9/main" objectType="CheckBox" fmlaLink="$B$42" lockText="1" noThreeD="1"/>
</file>

<file path=xl/ctrlProps/ctrlProp92.xml><?xml version="1.0" encoding="utf-8"?>
<formControlPr xmlns="http://schemas.microsoft.com/office/spreadsheetml/2009/9/main" objectType="CheckBox" fmlaLink="$B$43" lockText="1" noThreeD="1"/>
</file>

<file path=xl/ctrlProps/ctrlProp93.xml><?xml version="1.0" encoding="utf-8"?>
<formControlPr xmlns="http://schemas.microsoft.com/office/spreadsheetml/2009/9/main" objectType="CheckBox" fmlaLink="$B$44" lockText="1" noThreeD="1"/>
</file>

<file path=xl/ctrlProps/ctrlProp94.xml><?xml version="1.0" encoding="utf-8"?>
<formControlPr xmlns="http://schemas.microsoft.com/office/spreadsheetml/2009/9/main" objectType="CheckBox" fmlaLink="$B$55" lockText="1" noThreeD="1"/>
</file>

<file path=xl/ctrlProps/ctrlProp95.xml><?xml version="1.0" encoding="utf-8"?>
<formControlPr xmlns="http://schemas.microsoft.com/office/spreadsheetml/2009/9/main" objectType="CheckBox" fmlaLink="$B$60" lockText="1" noThreeD="1"/>
</file>

<file path=xl/ctrlProps/ctrlProp96.xml><?xml version="1.0" encoding="utf-8"?>
<formControlPr xmlns="http://schemas.microsoft.com/office/spreadsheetml/2009/9/main" objectType="CheckBox" fmlaLink="$B$57" lockText="1" noThreeD="1"/>
</file>

<file path=xl/ctrlProps/ctrlProp97.xml><?xml version="1.0" encoding="utf-8"?>
<formControlPr xmlns="http://schemas.microsoft.com/office/spreadsheetml/2009/9/main" objectType="CheckBox" fmlaLink="$B$58" lockText="1" noThreeD="1"/>
</file>

<file path=xl/ctrlProps/ctrlProp98.xml><?xml version="1.0" encoding="utf-8"?>
<formControlPr xmlns="http://schemas.microsoft.com/office/spreadsheetml/2009/9/main" objectType="CheckBox" fmlaLink="$B$59" lockText="1" noThreeD="1"/>
</file>

<file path=xl/ctrlProps/ctrlProp99.xml><?xml version="1.0" encoding="utf-8"?>
<formControlPr xmlns="http://schemas.microsoft.com/office/spreadsheetml/2009/9/main" objectType="CheckBox" fmlaLink="$B$3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22774</xdr:rowOff>
    </xdr:from>
    <xdr:to>
      <xdr:col>2</xdr:col>
      <xdr:colOff>6011584</xdr:colOff>
      <xdr:row>39</xdr:row>
      <xdr:rowOff>74084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11667" y="2128857"/>
          <a:ext cx="7398000" cy="5988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50" b="1">
              <a:latin typeface="Arial" panose="020B0604020202020204" pitchFamily="34" charset="0"/>
              <a:cs typeface="Arial" panose="020B0604020202020204" pitchFamily="34" charset="0"/>
            </a:rPr>
            <a:t>The Disclosure Template must be submitted in Excel format with the project’s Green Star </a:t>
          </a:r>
          <a:r>
            <a:rPr lang="en-AU" sz="1050" b="1" u="none">
              <a:latin typeface="Arial" panose="020B0604020202020204" pitchFamily="34" charset="0"/>
              <a:cs typeface="Arial" panose="020B0604020202020204" pitchFamily="34" charset="0"/>
            </a:rPr>
            <a:t>submission, </a:t>
          </a:r>
          <a:r>
            <a:rPr lang="en-AU" sz="1050" b="1" u="sng">
              <a:latin typeface="Arial" panose="020B0604020202020204" pitchFamily="34" charset="0"/>
              <a:cs typeface="Arial" panose="020B0604020202020204" pitchFamily="34" charset="0"/>
            </a:rPr>
            <a:t>not as a PDF</a:t>
          </a:r>
          <a:r>
            <a:rPr lang="en-AU" sz="1050" b="1">
              <a:latin typeface="Arial" panose="020B0604020202020204" pitchFamily="34" charset="0"/>
              <a:cs typeface="Arial" panose="020B0604020202020204" pitchFamily="34" charset="0"/>
            </a:rPr>
            <a:t>. </a:t>
          </a:r>
        </a:p>
        <a:p>
          <a:endParaRPr lang="en-AU" sz="1050">
            <a:latin typeface="Arial" panose="020B0604020202020204" pitchFamily="34" charset="0"/>
            <a:cs typeface="Arial" panose="020B0604020202020204" pitchFamily="34" charset="0"/>
          </a:endParaRPr>
        </a:p>
        <a:p>
          <a:r>
            <a:rPr lang="en-AU" sz="1050">
              <a:latin typeface="Arial" panose="020B0604020202020204" pitchFamily="34" charset="0"/>
              <a:cs typeface="Arial" panose="020B0604020202020204" pitchFamily="34" charset="0"/>
            </a:rPr>
            <a:t>All supporting documentation, including the Submission Template, should be submitted as a PDF. </a:t>
          </a:r>
        </a:p>
        <a:p>
          <a:endParaRPr lang="en-AU" sz="1050">
            <a:latin typeface="Arial" panose="020B0604020202020204" pitchFamily="34" charset="0"/>
            <a:cs typeface="Arial" panose="020B0604020202020204" pitchFamily="34" charset="0"/>
          </a:endParaRPr>
        </a:p>
        <a:p>
          <a:r>
            <a:rPr lang="en-AU" sz="1050">
              <a:latin typeface="Arial" panose="020B0604020202020204" pitchFamily="34" charset="0"/>
              <a:cs typeface="Arial" panose="020B0604020202020204" pitchFamily="34" charset="0"/>
            </a:rPr>
            <a:t>This Disclosure Template is available on the Innovation page on the</a:t>
          </a:r>
          <a:r>
            <a:rPr lang="en-AU" sz="1050" baseline="0">
              <a:latin typeface="Arial" panose="020B0604020202020204" pitchFamily="34" charset="0"/>
              <a:cs typeface="Arial" panose="020B0604020202020204" pitchFamily="34" charset="0"/>
            </a:rPr>
            <a:t> NZGBC</a:t>
          </a:r>
          <a:r>
            <a:rPr lang="en-AU" sz="1050">
              <a:latin typeface="Arial" panose="020B0604020202020204" pitchFamily="34" charset="0"/>
              <a:cs typeface="Arial" panose="020B0604020202020204" pitchFamily="34" charset="0"/>
            </a:rPr>
            <a:t> website. Project teams must use the latest available Disclosure Template.</a:t>
          </a:r>
        </a:p>
        <a:p>
          <a:endParaRPr lang="en-AU" sz="1050">
            <a:latin typeface="Arial" panose="020B0604020202020204" pitchFamily="34" charset="0"/>
            <a:cs typeface="Arial" panose="020B0604020202020204" pitchFamily="34" charset="0"/>
          </a:endParaRPr>
        </a:p>
        <a:p>
          <a:r>
            <a:rPr lang="en-AU" sz="1050" b="1">
              <a:latin typeface="Arial" panose="020B0604020202020204" pitchFamily="34" charset="0"/>
              <a:cs typeface="Arial" panose="020B0604020202020204" pitchFamily="34" charset="0"/>
            </a:rPr>
            <a:t>G</a:t>
          </a:r>
          <a:r>
            <a:rPr lang="en-AU" sz="1050" b="1" baseline="0">
              <a:latin typeface="Arial" panose="020B0604020202020204" pitchFamily="34" charset="0"/>
              <a:cs typeface="Arial" panose="020B0604020202020204" pitchFamily="34" charset="0"/>
            </a:rPr>
            <a:t>eneral guidance on how to use the Financial Disclosure Template:</a:t>
          </a:r>
        </a:p>
        <a:p>
          <a:endParaRPr lang="en-AU" sz="1050" b="0">
            <a:latin typeface="Arial" panose="020B0604020202020204" pitchFamily="34" charset="0"/>
            <a:cs typeface="Arial" panose="020B0604020202020204" pitchFamily="34" charset="0"/>
          </a:endParaRPr>
        </a:p>
        <a:p>
          <a:r>
            <a:rPr lang="en-AU" sz="1050" b="0">
              <a:latin typeface="Arial" panose="020B0604020202020204" pitchFamily="34" charset="0"/>
              <a:cs typeface="Arial" panose="020B0604020202020204" pitchFamily="34" charset="0"/>
            </a:rPr>
            <a:t>Use</a:t>
          </a:r>
          <a:r>
            <a:rPr lang="en-AU" sz="1050" b="0" baseline="0">
              <a:latin typeface="Arial" panose="020B0604020202020204" pitchFamily="34" charset="0"/>
              <a:cs typeface="Arial" panose="020B0604020202020204" pitchFamily="34" charset="0"/>
            </a:rPr>
            <a:t> the sheet for the rating tool used for the project.</a:t>
          </a:r>
        </a:p>
        <a:p>
          <a:br>
            <a:rPr lang="en-AU" sz="1050" b="0" baseline="0">
              <a:latin typeface="Arial" panose="020B0604020202020204" pitchFamily="34" charset="0"/>
              <a:cs typeface="Arial" panose="020B0604020202020204" pitchFamily="34" charset="0"/>
            </a:rPr>
          </a:br>
          <a:r>
            <a:rPr lang="en-AU" sz="1050" b="0" baseline="0">
              <a:latin typeface="Arial" panose="020B0604020202020204" pitchFamily="34" charset="0"/>
              <a:cs typeface="Arial" panose="020B0604020202020204" pitchFamily="34" charset="0"/>
            </a:rPr>
            <a:t>Enter the following information of the project: </a:t>
          </a:r>
        </a:p>
        <a:p>
          <a:r>
            <a:rPr lang="en-AU" sz="1050" b="0" i="1" baseline="0">
              <a:latin typeface="Arial" panose="020B0604020202020204" pitchFamily="34" charset="0"/>
              <a:cs typeface="Arial" panose="020B0604020202020204" pitchFamily="34" charset="0"/>
            </a:rPr>
            <a:t>  - Green Star Number</a:t>
          </a:r>
        </a:p>
        <a:p>
          <a:r>
            <a:rPr lang="en-AU" sz="1050" b="0" i="1" baseline="0">
              <a:latin typeface="Arial" panose="020B0604020202020204" pitchFamily="34" charset="0"/>
              <a:cs typeface="Arial" panose="020B0604020202020204" pitchFamily="34" charset="0"/>
            </a:rPr>
            <a:t>  - Project Name</a:t>
          </a:r>
        </a:p>
        <a:p>
          <a:r>
            <a:rPr lang="en-AU" sz="1050" b="0" i="1" baseline="0">
              <a:solidFill>
                <a:schemeClr val="dk1"/>
              </a:solidFill>
              <a:effectLst/>
              <a:latin typeface="Arial" panose="020B0604020202020204" pitchFamily="34" charset="0"/>
              <a:ea typeface="+mn-ea"/>
              <a:cs typeface="Arial" panose="020B0604020202020204" pitchFamily="34" charset="0"/>
            </a:rPr>
            <a:t>  - Performance Period </a:t>
          </a:r>
          <a:r>
            <a:rPr lang="en-AU" sz="1050" b="0" i="0" baseline="0">
              <a:solidFill>
                <a:schemeClr val="dk1"/>
              </a:solidFill>
              <a:effectLst/>
              <a:latin typeface="Arial" panose="020B0604020202020204" pitchFamily="34" charset="0"/>
              <a:ea typeface="+mn-ea"/>
              <a:cs typeface="Arial" panose="020B0604020202020204" pitchFamily="34" charset="0"/>
            </a:rPr>
            <a:t>(for Performance projects)</a:t>
          </a:r>
        </a:p>
        <a:p>
          <a:r>
            <a:rPr lang="en-AU" sz="1050" b="0" i="0" baseline="0">
              <a:latin typeface="Arial" panose="020B0604020202020204" pitchFamily="34" charset="0"/>
              <a:cs typeface="Arial" panose="020B0604020202020204" pitchFamily="34" charset="0"/>
            </a:rPr>
            <a:t>Select the following information from the drop-down lists</a:t>
          </a:r>
        </a:p>
        <a:p>
          <a:r>
            <a:rPr lang="en-AU" sz="1050" b="0" i="0" baseline="0">
              <a:latin typeface="Arial" panose="020B0604020202020204" pitchFamily="34" charset="0"/>
              <a:cs typeface="Arial" panose="020B0604020202020204" pitchFamily="34" charset="0"/>
            </a:rPr>
            <a:t>  - </a:t>
          </a:r>
          <a:r>
            <a:rPr lang="en-AU" sz="1050" b="0" i="1" baseline="0">
              <a:latin typeface="Arial" panose="020B0604020202020204" pitchFamily="34" charset="0"/>
              <a:cs typeface="Arial" panose="020B0604020202020204" pitchFamily="34" charset="0"/>
            </a:rPr>
            <a:t>Targeted Rating</a:t>
          </a:r>
        </a:p>
        <a:p>
          <a:r>
            <a:rPr lang="en-AU" sz="1050" b="0" i="1" baseline="0">
              <a:latin typeface="Arial" panose="020B0604020202020204" pitchFamily="34" charset="0"/>
              <a:cs typeface="Arial" panose="020B0604020202020204" pitchFamily="34" charset="0"/>
            </a:rPr>
            <a:t>  - Rating Tool Version</a:t>
          </a:r>
        </a:p>
        <a:p>
          <a:r>
            <a:rPr lang="en-AU" sz="1050" b="0" i="1" baseline="0">
              <a:latin typeface="Arial" panose="020B0604020202020204" pitchFamily="34" charset="0"/>
              <a:cs typeface="Arial" panose="020B0604020202020204" pitchFamily="34" charset="0"/>
            </a:rPr>
            <a:t>  - Submission Type</a:t>
          </a:r>
        </a:p>
        <a:p>
          <a:r>
            <a:rPr lang="en-AU" sz="1050" b="0" i="1" baseline="0">
              <a:latin typeface="Arial" panose="020B0604020202020204" pitchFamily="34" charset="0"/>
              <a:cs typeface="Arial" panose="020B0604020202020204" pitchFamily="34" charset="0"/>
            </a:rPr>
            <a:t>  - Round of Submission</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Enter the points or NAs which have been targeted for each credit. Once a credit has been targeted or claimed NA, the </a:t>
          </a:r>
          <a:r>
            <a:rPr lang="en-AU" sz="1050" b="0" i="1" baseline="0">
              <a:latin typeface="Arial" panose="020B0604020202020204" pitchFamily="34" charset="0"/>
              <a:cs typeface="Arial" panose="020B0604020202020204" pitchFamily="34" charset="0"/>
            </a:rPr>
            <a:t>Documentation Cost</a:t>
          </a:r>
          <a:r>
            <a:rPr lang="en-AU" sz="1050" b="0" i="0" baseline="0">
              <a:latin typeface="Arial" panose="020B0604020202020204" pitchFamily="34" charset="0"/>
              <a:cs typeface="Arial" panose="020B0604020202020204" pitchFamily="34" charset="0"/>
            </a:rPr>
            <a:t>, </a:t>
          </a:r>
          <a:r>
            <a:rPr lang="en-AU" sz="1050" b="0" i="1" baseline="0">
              <a:latin typeface="Arial" panose="020B0604020202020204" pitchFamily="34" charset="0"/>
              <a:cs typeface="Arial" panose="020B0604020202020204" pitchFamily="34" charset="0"/>
            </a:rPr>
            <a:t>Implementation Cost</a:t>
          </a:r>
          <a:r>
            <a:rPr lang="en-AU" sz="1050" b="0" i="0" baseline="0">
              <a:latin typeface="Arial" panose="020B0604020202020204" pitchFamily="34" charset="0"/>
              <a:cs typeface="Arial" panose="020B0604020202020204" pitchFamily="34" charset="0"/>
            </a:rPr>
            <a:t>, &amp; </a:t>
          </a:r>
          <a:r>
            <a:rPr lang="en-AU" sz="1050" b="0" i="1" baseline="0">
              <a:latin typeface="Arial" panose="020B0604020202020204" pitchFamily="34" charset="0"/>
              <a:cs typeface="Arial" panose="020B0604020202020204" pitchFamily="34" charset="0"/>
            </a:rPr>
            <a:t>Comments </a:t>
          </a:r>
          <a:r>
            <a:rPr lang="en-AU" sz="1050" b="0" i="0" baseline="0">
              <a:latin typeface="Arial" panose="020B0604020202020204" pitchFamily="34" charset="0"/>
              <a:cs typeface="Arial" panose="020B0604020202020204" pitchFamily="34" charset="0"/>
            </a:rPr>
            <a:t>fields will become available to enter the appropriate costs and information. </a:t>
          </a:r>
          <a:r>
            <a:rPr lang="en-AU" sz="1050" b="1" i="0" baseline="0">
              <a:latin typeface="Arial" panose="020B0604020202020204" pitchFamily="34" charset="0"/>
              <a:cs typeface="Arial" panose="020B0604020202020204" pitchFamily="34" charset="0"/>
            </a:rPr>
            <a:t>Note:</a:t>
          </a:r>
          <a:r>
            <a:rPr lang="en-AU" sz="1050" b="0" i="0" baseline="0">
              <a:latin typeface="Arial" panose="020B0604020202020204" pitchFamily="34" charset="0"/>
              <a:cs typeface="Arial" panose="020B0604020202020204" pitchFamily="34" charset="0"/>
            </a:rPr>
            <a:t> For NA credits, only a </a:t>
          </a:r>
          <a:r>
            <a:rPr lang="en-AU" sz="1050" b="0" i="1" baseline="0">
              <a:latin typeface="Arial" panose="020B0604020202020204" pitchFamily="34" charset="0"/>
              <a:cs typeface="Arial" panose="020B0604020202020204" pitchFamily="34" charset="0"/>
            </a:rPr>
            <a:t>Documentation Cost</a:t>
          </a:r>
          <a:r>
            <a:rPr lang="en-AU" sz="1050" b="0" i="0" baseline="0">
              <a:latin typeface="Arial" panose="020B0604020202020204" pitchFamily="34" charset="0"/>
              <a:cs typeface="Arial" panose="020B0604020202020204" pitchFamily="34" charset="0"/>
            </a:rPr>
            <a:t> is required. </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Ensure that the credits targeted and claimed match the information entered in the project's Scorecard and ALL required costs are provided.</a:t>
          </a:r>
        </a:p>
        <a:p>
          <a:endParaRPr lang="en-AU" sz="1050" b="0" i="0" baseline="0">
            <a:latin typeface="Arial" panose="020B0604020202020204" pitchFamily="34" charset="0"/>
            <a:cs typeface="Arial" panose="020B0604020202020204" pitchFamily="34" charset="0"/>
          </a:endParaRPr>
        </a:p>
        <a:p>
          <a:r>
            <a:rPr lang="en-AU" sz="1050" b="0" i="0" baseline="0">
              <a:latin typeface="Arial" panose="020B0604020202020204" pitchFamily="34" charset="0"/>
              <a:cs typeface="Arial" panose="020B0604020202020204" pitchFamily="34" charset="0"/>
            </a:rPr>
            <a:t>Enter the </a:t>
          </a:r>
          <a:r>
            <a:rPr lang="en-AU" sz="1050" b="0" i="1" baseline="0">
              <a:latin typeface="Arial" panose="020B0604020202020204" pitchFamily="34" charset="0"/>
              <a:cs typeface="Arial" panose="020B0604020202020204" pitchFamily="34" charset="0"/>
            </a:rPr>
            <a:t>Additional Costs</a:t>
          </a:r>
          <a:r>
            <a:rPr lang="en-AU" sz="1050" b="0" i="0" baseline="0">
              <a:latin typeface="Arial" panose="020B0604020202020204" pitchFamily="34" charset="0"/>
              <a:cs typeface="Arial" panose="020B0604020202020204" pitchFamily="34" charset="0"/>
            </a:rPr>
            <a:t>, after the relevant Documentation and Implementation Costs have been provided:</a:t>
          </a:r>
        </a:p>
        <a:p>
          <a:r>
            <a:rPr lang="en-AU" sz="1050" b="0" i="0" baseline="0">
              <a:latin typeface="Arial" panose="020B0604020202020204" pitchFamily="34" charset="0"/>
              <a:cs typeface="Arial" panose="020B0604020202020204" pitchFamily="34" charset="0"/>
            </a:rPr>
            <a:t>  - </a:t>
          </a:r>
          <a:r>
            <a:rPr lang="en-AU" sz="1050" b="0" i="1" baseline="0">
              <a:latin typeface="Arial" panose="020B0604020202020204" pitchFamily="34" charset="0"/>
              <a:cs typeface="Arial" panose="020B0604020202020204" pitchFamily="34" charset="0"/>
            </a:rPr>
            <a:t>Total Design Cost</a:t>
          </a:r>
        </a:p>
        <a:p>
          <a:r>
            <a:rPr lang="en-AU" sz="1050" b="0" i="1" baseline="0">
              <a:latin typeface="Arial" panose="020B0604020202020204" pitchFamily="34" charset="0"/>
              <a:cs typeface="Arial" panose="020B0604020202020204" pitchFamily="34" charset="0"/>
            </a:rPr>
            <a:t>  - Total Construction Cost</a:t>
          </a:r>
        </a:p>
        <a:p>
          <a:r>
            <a:rPr lang="en-AU" sz="1050" b="0" i="1" baseline="0">
              <a:latin typeface="Arial" panose="020B0604020202020204" pitchFamily="34" charset="0"/>
              <a:cs typeface="Arial" panose="020B0604020202020204" pitchFamily="34" charset="0"/>
            </a:rPr>
            <a:t>  - Green Star Certification Fees</a:t>
          </a:r>
        </a:p>
        <a:p>
          <a:r>
            <a:rPr lang="en-AU" sz="1050" b="0" i="1" baseline="0">
              <a:latin typeface="Arial" panose="020B0604020202020204" pitchFamily="34" charset="0"/>
              <a:cs typeface="Arial" panose="020B0604020202020204" pitchFamily="34" charset="0"/>
            </a:rPr>
            <a:t>  - Yearly Operational Budget </a:t>
          </a:r>
          <a:r>
            <a:rPr lang="en-AU" sz="1050" b="0" i="0" baseline="0">
              <a:latin typeface="Arial" panose="020B0604020202020204" pitchFamily="34" charset="0"/>
              <a:cs typeface="Arial" panose="020B0604020202020204" pitchFamily="34" charset="0"/>
            </a:rPr>
            <a:t>(for Performance projects).</a:t>
          </a:r>
          <a:endParaRPr lang="en-AU" sz="1050" b="0" i="1">
            <a:latin typeface="Arial" panose="020B0604020202020204" pitchFamily="34" charset="0"/>
            <a:cs typeface="Arial" panose="020B0604020202020204" pitchFamily="34" charset="0"/>
          </a:endParaRPr>
        </a:p>
        <a:p>
          <a:endParaRPr lang="en-AU" sz="1050">
            <a:latin typeface="Arial" panose="020B0604020202020204" pitchFamily="34" charset="0"/>
            <a:cs typeface="Arial" panose="020B0604020202020204" pitchFamily="34" charset="0"/>
          </a:endParaRPr>
        </a:p>
        <a:p>
          <a:r>
            <a:rPr lang="en-AU" sz="1050" i="0">
              <a:latin typeface="Arial" panose="020B0604020202020204" pitchFamily="34" charset="0"/>
              <a:cs typeface="Arial" panose="020B0604020202020204" pitchFamily="34" charset="0"/>
            </a:rPr>
            <a:t>A table </a:t>
          </a:r>
          <a:r>
            <a:rPr lang="en-AU" sz="1050" i="1">
              <a:latin typeface="Arial" panose="020B0604020202020204" pitchFamily="34" charset="0"/>
              <a:cs typeface="Arial" panose="020B0604020202020204" pitchFamily="34" charset="0"/>
            </a:rPr>
            <a:t>'Financial</a:t>
          </a:r>
          <a:r>
            <a:rPr lang="en-AU" sz="1050" i="1" baseline="0">
              <a:latin typeface="Arial" panose="020B0604020202020204" pitchFamily="34" charset="0"/>
              <a:cs typeface="Arial" panose="020B0604020202020204" pitchFamily="34" charset="0"/>
            </a:rPr>
            <a:t> Transparency Innovation Point'</a:t>
          </a:r>
          <a:r>
            <a:rPr lang="en-AU" sz="1050" i="0" baseline="0">
              <a:latin typeface="Arial" panose="020B0604020202020204" pitchFamily="34" charset="0"/>
              <a:cs typeface="Arial" panose="020B0604020202020204" pitchFamily="34" charset="0"/>
            </a:rPr>
            <a:t> at the end of the spreadsheet will notify of any issues or missing information in the spreadsheet. Ensure that all issues are addressed before submitting the spreadsheet for assessment.</a:t>
          </a:r>
          <a:endParaRPr lang="en-AU" sz="1050" i="1">
            <a:latin typeface="Arial" panose="020B0604020202020204" pitchFamily="34" charset="0"/>
            <a:cs typeface="Arial" panose="020B0604020202020204" pitchFamily="34" charset="0"/>
          </a:endParaRPr>
        </a:p>
      </xdr:txBody>
    </xdr:sp>
    <xdr:clientData/>
  </xdr:twoCellAnchor>
  <xdr:twoCellAnchor>
    <xdr:from>
      <xdr:col>4</xdr:col>
      <xdr:colOff>613832</xdr:colOff>
      <xdr:row>5</xdr:row>
      <xdr:rowOff>179915</xdr:rowOff>
    </xdr:from>
    <xdr:to>
      <xdr:col>6</xdr:col>
      <xdr:colOff>10583</xdr:colOff>
      <xdr:row>39</xdr:row>
      <xdr:rowOff>53149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04249" y="2106082"/>
          <a:ext cx="7397751" cy="599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latin typeface="Arial" panose="020B0604020202020204" pitchFamily="34" charset="0"/>
              <a:cs typeface="Arial" panose="020B0604020202020204" pitchFamily="34" charset="0"/>
            </a:rPr>
            <a:t>The following is guidance surrounding the costs that need to be provided in the Disclosure Template:</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Documentation Cost </a:t>
          </a:r>
          <a:r>
            <a:rPr lang="en-AU" sz="1000">
              <a:latin typeface="Arial" panose="020B0604020202020204" pitchFamily="34" charset="0"/>
              <a:cs typeface="Arial" panose="020B0604020202020204" pitchFamily="34" charset="0"/>
            </a:rPr>
            <a:t>– the cost being charged to the Applicant for of documenting the specific credit. This only includes work that had to be undertaken in addition to what would have been done for the project as a base requirement, had it not been seeking a Green Star rating.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As an example, in the Materials category there may be an additional cost for documenting the type of timber used</a:t>
          </a:r>
          <a:r>
            <a:rPr lang="en-AU" sz="1000" baseline="0">
              <a:latin typeface="Arial" panose="020B0604020202020204" pitchFamily="34" charset="0"/>
              <a:cs typeface="Arial" panose="020B0604020202020204" pitchFamily="34" charset="0"/>
            </a:rPr>
            <a:t> in order to meet the Green Star requirements</a:t>
          </a:r>
          <a:r>
            <a:rPr lang="en-AU" sz="1000">
              <a:latin typeface="Arial" panose="020B0604020202020204" pitchFamily="34" charset="0"/>
              <a:cs typeface="Arial" panose="020B0604020202020204" pitchFamily="34" charset="0"/>
            </a:rPr>
            <a:t>.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Implementation Cost </a:t>
          </a:r>
          <a:r>
            <a:rPr lang="en-AU" sz="1000">
              <a:latin typeface="Arial" panose="020B0604020202020204" pitchFamily="34" charset="0"/>
              <a:cs typeface="Arial" panose="020B0604020202020204" pitchFamily="34" charset="0"/>
            </a:rPr>
            <a:t>– the cost of being charged to the Applicant for implementing the specific credit. This only includes the additional cost of materials and installation (implementation) that had to be undertaken to comply with the credit beyond what would have been done for the project as a base requirement, had it not been seeking a Green Star rating.</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As an example, in the Materials category there may be an additional cost for the timber used in order to meet the Green Star requirements. If the timber used costs $25 per metre and the timber that would otherwise have been used costs $20, the cost recorded would be $5 x the total number of metres of timber on the project.</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Design Cost </a:t>
          </a:r>
          <a:r>
            <a:rPr lang="en-AU" sz="1000">
              <a:latin typeface="Arial" panose="020B0604020202020204" pitchFamily="34" charset="0"/>
              <a:cs typeface="Arial" panose="020B0604020202020204" pitchFamily="34" charset="0"/>
            </a:rPr>
            <a:t>– this is the total cost of designing the project.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Construction Cost </a:t>
          </a:r>
          <a:r>
            <a:rPr lang="en-AU" sz="1000">
              <a:latin typeface="Arial" panose="020B0604020202020204" pitchFamily="34" charset="0"/>
              <a:cs typeface="Arial" panose="020B0604020202020204" pitchFamily="34" charset="0"/>
            </a:rPr>
            <a:t>– this is the total cost of constructing the project (including any Green Star implementation costs).</a:t>
          </a:r>
        </a:p>
        <a:p>
          <a:endParaRPr lang="en-AU" sz="1000">
            <a:latin typeface="Arial" panose="020B0604020202020204" pitchFamily="34" charset="0"/>
            <a:cs typeface="Arial" panose="020B0604020202020204" pitchFamily="34" charset="0"/>
          </a:endParaRPr>
        </a:p>
        <a:p>
          <a:r>
            <a:rPr lang="en-AU" sz="1000" b="1">
              <a:solidFill>
                <a:schemeClr val="dk1"/>
              </a:solidFill>
              <a:effectLst/>
              <a:latin typeface="Arial" panose="020B0604020202020204" pitchFamily="34" charset="0"/>
              <a:ea typeface="+mn-ea"/>
              <a:cs typeface="Arial" panose="020B0604020202020204" pitchFamily="34" charset="0"/>
            </a:rPr>
            <a:t>Yearly</a:t>
          </a:r>
          <a:r>
            <a:rPr lang="en-AU" sz="1000" b="1" baseline="0">
              <a:solidFill>
                <a:schemeClr val="dk1"/>
              </a:solidFill>
              <a:effectLst/>
              <a:latin typeface="Arial" panose="020B0604020202020204" pitchFamily="34" charset="0"/>
              <a:ea typeface="+mn-ea"/>
              <a:cs typeface="Arial" panose="020B0604020202020204" pitchFamily="34" charset="0"/>
            </a:rPr>
            <a:t> Operational Budget </a:t>
          </a:r>
          <a:r>
            <a:rPr lang="en-AU" sz="1000">
              <a:solidFill>
                <a:schemeClr val="dk1"/>
              </a:solidFill>
              <a:effectLst/>
              <a:latin typeface="Arial" panose="020B0604020202020204" pitchFamily="34" charset="0"/>
              <a:ea typeface="+mn-ea"/>
              <a:cs typeface="Arial" panose="020B0604020202020204" pitchFamily="34" charset="0"/>
            </a:rPr>
            <a:t>– this is for the building's most recent operational budget</a:t>
          </a:r>
          <a:r>
            <a:rPr lang="en-AU" sz="1000" baseline="0">
              <a:solidFill>
                <a:schemeClr val="dk1"/>
              </a:solidFill>
              <a:effectLst/>
              <a:latin typeface="Arial" panose="020B0604020202020204" pitchFamily="34" charset="0"/>
              <a:ea typeface="+mn-ea"/>
              <a:cs typeface="Arial" panose="020B0604020202020204" pitchFamily="34" charset="0"/>
            </a:rPr>
            <a:t> and must </a:t>
          </a:r>
          <a:r>
            <a:rPr lang="en-AU" sz="1000">
              <a:solidFill>
                <a:schemeClr val="dk1"/>
              </a:solidFill>
              <a:effectLst/>
              <a:latin typeface="Arial" panose="020B0604020202020204" pitchFamily="34" charset="0"/>
              <a:ea typeface="+mn-ea"/>
              <a:cs typeface="Arial" panose="020B0604020202020204" pitchFamily="34" charset="0"/>
            </a:rPr>
            <a:t>cover at least three months of the project's performance period. This is applicable to Green Star – Performance only. </a:t>
          </a:r>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AU" sz="1000" b="1">
              <a:latin typeface="Arial" panose="020B0604020202020204" pitchFamily="34" charset="0"/>
              <a:cs typeface="Arial" panose="020B0604020202020204" pitchFamily="34" charset="0"/>
            </a:rPr>
            <a:t>Total Project Cost </a:t>
          </a:r>
          <a:r>
            <a:rPr lang="en-AU" sz="1000">
              <a:solidFill>
                <a:schemeClr val="dk1"/>
              </a:solidFill>
              <a:effectLst/>
              <a:latin typeface="Arial" panose="020B0604020202020204" pitchFamily="34" charset="0"/>
              <a:ea typeface="+mn-ea"/>
              <a:cs typeface="Arial" panose="020B0604020202020204" pitchFamily="34" charset="0"/>
            </a:rPr>
            <a:t>– this is a calculation in the Disclosure Template:</a:t>
          </a:r>
          <a:endParaRPr lang="en-AU" sz="1000">
            <a:effectLst/>
            <a:latin typeface="Arial" panose="020B0604020202020204" pitchFamily="34" charset="0"/>
            <a:cs typeface="Arial" panose="020B0604020202020204" pitchFamily="34" charset="0"/>
          </a:endParaRPr>
        </a:p>
        <a:p>
          <a:r>
            <a:rPr lang="en-AU" sz="1000" i="1">
              <a:latin typeface="Arial" panose="020B0604020202020204" pitchFamily="34" charset="0"/>
              <a:cs typeface="Arial" panose="020B0604020202020204" pitchFamily="34" charset="0"/>
            </a:rPr>
            <a:t>Total Design Cost + Construction Cost</a:t>
          </a:r>
          <a:endParaRPr lang="en-AU" sz="1000" i="1" baseline="0">
            <a:latin typeface="Arial" panose="020B0604020202020204" pitchFamily="34" charset="0"/>
            <a:cs typeface="Arial" panose="020B0604020202020204" pitchFamily="34" charset="0"/>
          </a:endParaRPr>
        </a:p>
        <a:p>
          <a:r>
            <a:rPr lang="en-AU" sz="1000" baseline="0">
              <a:latin typeface="Arial" panose="020B0604020202020204" pitchFamily="34" charset="0"/>
              <a:cs typeface="Arial" panose="020B0604020202020204" pitchFamily="34" charset="0"/>
            </a:rPr>
            <a:t>For Green Star </a:t>
          </a:r>
          <a:r>
            <a:rPr lang="en-AU" sz="1000">
              <a:solidFill>
                <a:schemeClr val="dk1"/>
              </a:solidFill>
              <a:effectLst/>
              <a:latin typeface="Arial" panose="020B0604020202020204" pitchFamily="34" charset="0"/>
              <a:ea typeface="+mn-ea"/>
              <a:cs typeface="Arial" panose="020B0604020202020204" pitchFamily="34" charset="0"/>
            </a:rPr>
            <a:t>–</a:t>
          </a:r>
          <a:r>
            <a:rPr lang="en-AU" sz="1000" baseline="0">
              <a:latin typeface="Arial" panose="020B0604020202020204" pitchFamily="34" charset="0"/>
              <a:cs typeface="Arial" panose="020B0604020202020204" pitchFamily="34" charset="0"/>
            </a:rPr>
            <a:t> Performance only this is the Yearly Operational Budget</a:t>
          </a:r>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Green Star Certification Fees</a:t>
          </a:r>
          <a:r>
            <a:rPr lang="en-AU" sz="1000">
              <a:latin typeface="Arial" panose="020B0604020202020204" pitchFamily="34" charset="0"/>
              <a:cs typeface="Arial" panose="020B0604020202020204" pitchFamily="34" charset="0"/>
            </a:rPr>
            <a:t> – the cost to certify the project. If TQs are included, please specify.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Total Green Star Fees and Costs </a:t>
          </a:r>
          <a:r>
            <a:rPr lang="en-AU" sz="1000">
              <a:latin typeface="Arial" panose="020B0604020202020204" pitchFamily="34" charset="0"/>
              <a:cs typeface="Arial" panose="020B0604020202020204" pitchFamily="34" charset="0"/>
            </a:rPr>
            <a:t>– this is a calculation in the Disclosure Template:</a:t>
          </a:r>
        </a:p>
        <a:p>
          <a:r>
            <a:rPr lang="en-AU" sz="1000" i="1">
              <a:latin typeface="Arial" panose="020B0604020202020204" pitchFamily="34" charset="0"/>
              <a:cs typeface="Arial" panose="020B0604020202020204" pitchFamily="34" charset="0"/>
            </a:rPr>
            <a:t>Documentation + Implementation + Certification + Green Star Collation fees </a:t>
          </a:r>
        </a:p>
        <a:p>
          <a:endParaRPr lang="en-AU" sz="1000">
            <a:latin typeface="Arial" panose="020B0604020202020204" pitchFamily="34" charset="0"/>
            <a:cs typeface="Arial" panose="020B0604020202020204" pitchFamily="34" charset="0"/>
          </a:endParaRPr>
        </a:p>
        <a:p>
          <a:r>
            <a:rPr lang="en-AU" sz="1000" b="1">
              <a:latin typeface="Arial" panose="020B0604020202020204" pitchFamily="34" charset="0"/>
              <a:cs typeface="Arial" panose="020B0604020202020204" pitchFamily="34" charset="0"/>
            </a:rPr>
            <a:t>Percentage of overall project costs </a:t>
          </a:r>
          <a:r>
            <a:rPr lang="en-AU" sz="1000">
              <a:latin typeface="Arial" panose="020B0604020202020204" pitchFamily="34" charset="0"/>
              <a:cs typeface="Arial" panose="020B0604020202020204" pitchFamily="34" charset="0"/>
            </a:rPr>
            <a:t>– this is a calculation in the Disclosure Template:</a:t>
          </a:r>
        </a:p>
        <a:p>
          <a:r>
            <a:rPr lang="en-AU" sz="1000" i="1">
              <a:latin typeface="Arial" panose="020B0604020202020204" pitchFamily="34" charset="0"/>
              <a:cs typeface="Arial" panose="020B0604020202020204" pitchFamily="34" charset="0"/>
            </a:rPr>
            <a:t>Total Green Star Fees and Costs / Total Project Cost</a:t>
          </a:r>
        </a:p>
      </xdr:txBody>
    </xdr:sp>
    <xdr:clientData/>
  </xdr:twoCellAnchor>
  <xdr:twoCellAnchor editAs="oneCell">
    <xdr:from>
      <xdr:col>0</xdr:col>
      <xdr:colOff>105833</xdr:colOff>
      <xdr:row>0</xdr:row>
      <xdr:rowOff>21167</xdr:rowOff>
    </xdr:from>
    <xdr:to>
      <xdr:col>2</xdr:col>
      <xdr:colOff>3192991</xdr:colOff>
      <xdr:row>1</xdr:row>
      <xdr:rowOff>704850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33" y="21167"/>
          <a:ext cx="4759325" cy="863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31</xdr:row>
          <xdr:rowOff>165100</xdr:rowOff>
        </xdr:from>
        <xdr:to>
          <xdr:col>5</xdr:col>
          <xdr:colOff>590550</xdr:colOff>
          <xdr:row>31</xdr:row>
          <xdr:rowOff>374650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165100</xdr:rowOff>
        </xdr:from>
        <xdr:to>
          <xdr:col>5</xdr:col>
          <xdr:colOff>590550</xdr:colOff>
          <xdr:row>32</xdr:row>
          <xdr:rowOff>374650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70</xdr:row>
          <xdr:rowOff>469900</xdr:rowOff>
        </xdr:from>
        <xdr:to>
          <xdr:col>5</xdr:col>
          <xdr:colOff>590550</xdr:colOff>
          <xdr:row>71</xdr:row>
          <xdr:rowOff>107950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81</xdr:row>
          <xdr:rowOff>165100</xdr:rowOff>
        </xdr:from>
        <xdr:to>
          <xdr:col>5</xdr:col>
          <xdr:colOff>590550</xdr:colOff>
          <xdr:row>81</xdr:row>
          <xdr:rowOff>374650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88</xdr:row>
          <xdr:rowOff>165100</xdr:rowOff>
        </xdr:from>
        <xdr:to>
          <xdr:col>5</xdr:col>
          <xdr:colOff>590550</xdr:colOff>
          <xdr:row>88</xdr:row>
          <xdr:rowOff>374650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165100</xdr:rowOff>
        </xdr:from>
        <xdr:to>
          <xdr:col>5</xdr:col>
          <xdr:colOff>590550</xdr:colOff>
          <xdr:row>96</xdr:row>
          <xdr:rowOff>374650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165100</xdr:rowOff>
        </xdr:from>
        <xdr:to>
          <xdr:col>5</xdr:col>
          <xdr:colOff>590550</xdr:colOff>
          <xdr:row>80</xdr:row>
          <xdr:rowOff>374650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50800</xdr:colOff>
          <xdr:row>34</xdr:row>
          <xdr:rowOff>171450</xdr:rowOff>
        </xdr:from>
        <xdr:to>
          <xdr:col>1</xdr:col>
          <xdr:colOff>107950</xdr:colOff>
          <xdr:row>34</xdr:row>
          <xdr:rowOff>393700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A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37</xdr:row>
          <xdr:rowOff>171450</xdr:rowOff>
        </xdr:from>
        <xdr:to>
          <xdr:col>1</xdr:col>
          <xdr:colOff>107950</xdr:colOff>
          <xdr:row>37</xdr:row>
          <xdr:rowOff>393700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A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46</xdr:row>
          <xdr:rowOff>171450</xdr:rowOff>
        </xdr:from>
        <xdr:to>
          <xdr:col>1</xdr:col>
          <xdr:colOff>107950</xdr:colOff>
          <xdr:row>46</xdr:row>
          <xdr:rowOff>393700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A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64</xdr:row>
          <xdr:rowOff>171450</xdr:rowOff>
        </xdr:from>
        <xdr:to>
          <xdr:col>1</xdr:col>
          <xdr:colOff>107950</xdr:colOff>
          <xdr:row>64</xdr:row>
          <xdr:rowOff>393700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A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73</xdr:row>
          <xdr:rowOff>171450</xdr:rowOff>
        </xdr:from>
        <xdr:to>
          <xdr:col>1</xdr:col>
          <xdr:colOff>107950</xdr:colOff>
          <xdr:row>73</xdr:row>
          <xdr:rowOff>393700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A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74</xdr:row>
          <xdr:rowOff>171450</xdr:rowOff>
        </xdr:from>
        <xdr:to>
          <xdr:col>1</xdr:col>
          <xdr:colOff>107950</xdr:colOff>
          <xdr:row>74</xdr:row>
          <xdr:rowOff>393700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A00-00000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75</xdr:row>
          <xdr:rowOff>171450</xdr:rowOff>
        </xdr:from>
        <xdr:to>
          <xdr:col>1</xdr:col>
          <xdr:colOff>107950</xdr:colOff>
          <xdr:row>75</xdr:row>
          <xdr:rowOff>393700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A00-00000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18</xdr:row>
          <xdr:rowOff>228600</xdr:rowOff>
        </xdr:from>
        <xdr:to>
          <xdr:col>1</xdr:col>
          <xdr:colOff>609600</xdr:colOff>
          <xdr:row>18</xdr:row>
          <xdr:rowOff>438150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C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19</xdr:row>
          <xdr:rowOff>228600</xdr:rowOff>
        </xdr:from>
        <xdr:to>
          <xdr:col>1</xdr:col>
          <xdr:colOff>609600</xdr:colOff>
          <xdr:row>19</xdr:row>
          <xdr:rowOff>438150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C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C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C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C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35</xdr:row>
          <xdr:rowOff>228600</xdr:rowOff>
        </xdr:from>
        <xdr:to>
          <xdr:col>1</xdr:col>
          <xdr:colOff>609600</xdr:colOff>
          <xdr:row>35</xdr:row>
          <xdr:rowOff>438150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C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36</xdr:row>
          <xdr:rowOff>228600</xdr:rowOff>
        </xdr:from>
        <xdr:to>
          <xdr:col>1</xdr:col>
          <xdr:colOff>609600</xdr:colOff>
          <xdr:row>36</xdr:row>
          <xdr:rowOff>438150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C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43</xdr:row>
          <xdr:rowOff>228600</xdr:rowOff>
        </xdr:from>
        <xdr:to>
          <xdr:col>1</xdr:col>
          <xdr:colOff>609600</xdr:colOff>
          <xdr:row>43</xdr:row>
          <xdr:rowOff>438150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C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54</xdr:row>
          <xdr:rowOff>228600</xdr:rowOff>
        </xdr:from>
        <xdr:to>
          <xdr:col>1</xdr:col>
          <xdr:colOff>609600</xdr:colOff>
          <xdr:row>54</xdr:row>
          <xdr:rowOff>438150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C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C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60</xdr:row>
          <xdr:rowOff>228600</xdr:rowOff>
        </xdr:from>
        <xdr:to>
          <xdr:col>1</xdr:col>
          <xdr:colOff>609600</xdr:colOff>
          <xdr:row>60</xdr:row>
          <xdr:rowOff>438150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C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C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C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C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78</xdr:row>
          <xdr:rowOff>228600</xdr:rowOff>
        </xdr:from>
        <xdr:to>
          <xdr:col>1</xdr:col>
          <xdr:colOff>609600</xdr:colOff>
          <xdr:row>78</xdr:row>
          <xdr:rowOff>438150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C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C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C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C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83</xdr:row>
          <xdr:rowOff>228600</xdr:rowOff>
        </xdr:from>
        <xdr:to>
          <xdr:col>1</xdr:col>
          <xdr:colOff>609600</xdr:colOff>
          <xdr:row>83</xdr:row>
          <xdr:rowOff>438150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C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84</xdr:row>
          <xdr:rowOff>228600</xdr:rowOff>
        </xdr:from>
        <xdr:to>
          <xdr:col>1</xdr:col>
          <xdr:colOff>609600</xdr:colOff>
          <xdr:row>84</xdr:row>
          <xdr:rowOff>438150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C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85</xdr:row>
          <xdr:rowOff>228600</xdr:rowOff>
        </xdr:from>
        <xdr:to>
          <xdr:col>1</xdr:col>
          <xdr:colOff>609600</xdr:colOff>
          <xdr:row>85</xdr:row>
          <xdr:rowOff>438150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C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86</xdr:row>
          <xdr:rowOff>228600</xdr:rowOff>
        </xdr:from>
        <xdr:to>
          <xdr:col>1</xdr:col>
          <xdr:colOff>609600</xdr:colOff>
          <xdr:row>86</xdr:row>
          <xdr:rowOff>438150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C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87</xdr:row>
          <xdr:rowOff>228600</xdr:rowOff>
        </xdr:from>
        <xdr:to>
          <xdr:col>1</xdr:col>
          <xdr:colOff>609600</xdr:colOff>
          <xdr:row>87</xdr:row>
          <xdr:rowOff>438150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C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98</xdr:row>
          <xdr:rowOff>228600</xdr:rowOff>
        </xdr:from>
        <xdr:to>
          <xdr:col>1</xdr:col>
          <xdr:colOff>609600</xdr:colOff>
          <xdr:row>98</xdr:row>
          <xdr:rowOff>438150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C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100</xdr:row>
          <xdr:rowOff>228600</xdr:rowOff>
        </xdr:from>
        <xdr:to>
          <xdr:col>1</xdr:col>
          <xdr:colOff>609600</xdr:colOff>
          <xdr:row>100</xdr:row>
          <xdr:rowOff>438150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C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107</xdr:row>
          <xdr:rowOff>228600</xdr:rowOff>
        </xdr:from>
        <xdr:to>
          <xdr:col>1</xdr:col>
          <xdr:colOff>609600</xdr:colOff>
          <xdr:row>107</xdr:row>
          <xdr:rowOff>438150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C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109</xdr:row>
          <xdr:rowOff>228600</xdr:rowOff>
        </xdr:from>
        <xdr:to>
          <xdr:col>1</xdr:col>
          <xdr:colOff>609600</xdr:colOff>
          <xdr:row>109</xdr:row>
          <xdr:rowOff>438150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C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111</xdr:row>
          <xdr:rowOff>228600</xdr:rowOff>
        </xdr:from>
        <xdr:to>
          <xdr:col>1</xdr:col>
          <xdr:colOff>609600</xdr:colOff>
          <xdr:row>111</xdr:row>
          <xdr:rowOff>438150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C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9</xdr:row>
          <xdr:rowOff>152400</xdr:rowOff>
        </xdr:from>
        <xdr:to>
          <xdr:col>1</xdr:col>
          <xdr:colOff>603250</xdr:colOff>
          <xdr:row>9</xdr:row>
          <xdr:rowOff>361950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D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152400</xdr:rowOff>
        </xdr:from>
        <xdr:to>
          <xdr:col>1</xdr:col>
          <xdr:colOff>603250</xdr:colOff>
          <xdr:row>10</xdr:row>
          <xdr:rowOff>361950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D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152400</xdr:rowOff>
        </xdr:from>
        <xdr:to>
          <xdr:col>1</xdr:col>
          <xdr:colOff>603250</xdr:colOff>
          <xdr:row>30</xdr:row>
          <xdr:rowOff>361950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D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152400</xdr:rowOff>
        </xdr:from>
        <xdr:to>
          <xdr:col>1</xdr:col>
          <xdr:colOff>603250</xdr:colOff>
          <xdr:row>31</xdr:row>
          <xdr:rowOff>361950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D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152400</xdr:rowOff>
        </xdr:from>
        <xdr:to>
          <xdr:col>1</xdr:col>
          <xdr:colOff>603250</xdr:colOff>
          <xdr:row>34</xdr:row>
          <xdr:rowOff>361950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D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152400</xdr:rowOff>
        </xdr:from>
        <xdr:to>
          <xdr:col>1</xdr:col>
          <xdr:colOff>603250</xdr:colOff>
          <xdr:row>41</xdr:row>
          <xdr:rowOff>361950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D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152400</xdr:rowOff>
        </xdr:from>
        <xdr:to>
          <xdr:col>1</xdr:col>
          <xdr:colOff>603250</xdr:colOff>
          <xdr:row>42</xdr:row>
          <xdr:rowOff>361950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D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152400</xdr:rowOff>
        </xdr:from>
        <xdr:to>
          <xdr:col>1</xdr:col>
          <xdr:colOff>603250</xdr:colOff>
          <xdr:row>62</xdr:row>
          <xdr:rowOff>361950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D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152400</xdr:rowOff>
        </xdr:from>
        <xdr:to>
          <xdr:col>1</xdr:col>
          <xdr:colOff>603250</xdr:colOff>
          <xdr:row>63</xdr:row>
          <xdr:rowOff>361950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D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152400</xdr:rowOff>
        </xdr:from>
        <xdr:to>
          <xdr:col>1</xdr:col>
          <xdr:colOff>603250</xdr:colOff>
          <xdr:row>75</xdr:row>
          <xdr:rowOff>361950</xdr:rowOff>
        </xdr:to>
        <xdr:sp macro="" textlink="">
          <xdr:nvSpPr>
            <xdr:cNvPr id="62488" name="Check Box 24" hidden="1">
              <a:extLst>
                <a:ext uri="{63B3BB69-23CF-44E3-9099-C40C66FF867C}">
                  <a14:compatExt spid="_x0000_s62488"/>
                </a:ext>
                <a:ext uri="{FF2B5EF4-FFF2-40B4-BE49-F238E27FC236}">
                  <a16:creationId xmlns:a16="http://schemas.microsoft.com/office/drawing/2014/main" id="{00000000-0008-0000-0D00-00001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152400</xdr:rowOff>
        </xdr:from>
        <xdr:to>
          <xdr:col>1</xdr:col>
          <xdr:colOff>603250</xdr:colOff>
          <xdr:row>77</xdr:row>
          <xdr:rowOff>361950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D00-00001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152400</xdr:rowOff>
        </xdr:from>
        <xdr:to>
          <xdr:col>1</xdr:col>
          <xdr:colOff>603250</xdr:colOff>
          <xdr:row>82</xdr:row>
          <xdr:rowOff>361950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D00-00001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152400</xdr:rowOff>
        </xdr:from>
        <xdr:to>
          <xdr:col>1</xdr:col>
          <xdr:colOff>603250</xdr:colOff>
          <xdr:row>83</xdr:row>
          <xdr:rowOff>361950</xdr:rowOff>
        </xdr:to>
        <xdr:sp macro="" textlink="">
          <xdr:nvSpPr>
            <xdr:cNvPr id="62491" name="Check Box 27" hidden="1">
              <a:extLst>
                <a:ext uri="{63B3BB69-23CF-44E3-9099-C40C66FF867C}">
                  <a14:compatExt spid="_x0000_s62491"/>
                </a:ext>
                <a:ext uri="{FF2B5EF4-FFF2-40B4-BE49-F238E27FC236}">
                  <a16:creationId xmlns:a16="http://schemas.microsoft.com/office/drawing/2014/main" id="{00000000-0008-0000-0D00-00001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152400</xdr:rowOff>
        </xdr:from>
        <xdr:to>
          <xdr:col>1</xdr:col>
          <xdr:colOff>603250</xdr:colOff>
          <xdr:row>86</xdr:row>
          <xdr:rowOff>361950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D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152400</xdr:rowOff>
        </xdr:from>
        <xdr:to>
          <xdr:col>1</xdr:col>
          <xdr:colOff>603250</xdr:colOff>
          <xdr:row>87</xdr:row>
          <xdr:rowOff>361950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D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152400</xdr:rowOff>
        </xdr:from>
        <xdr:to>
          <xdr:col>1</xdr:col>
          <xdr:colOff>603250</xdr:colOff>
          <xdr:row>88</xdr:row>
          <xdr:rowOff>361950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D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152400</xdr:rowOff>
        </xdr:from>
        <xdr:to>
          <xdr:col>1</xdr:col>
          <xdr:colOff>603250</xdr:colOff>
          <xdr:row>90</xdr:row>
          <xdr:rowOff>361950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D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152400</xdr:rowOff>
        </xdr:from>
        <xdr:to>
          <xdr:col>1</xdr:col>
          <xdr:colOff>603250</xdr:colOff>
          <xdr:row>91</xdr:row>
          <xdr:rowOff>361950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D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152400</xdr:rowOff>
        </xdr:from>
        <xdr:to>
          <xdr:col>1</xdr:col>
          <xdr:colOff>603250</xdr:colOff>
          <xdr:row>92</xdr:row>
          <xdr:rowOff>361950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D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152400</xdr:rowOff>
        </xdr:from>
        <xdr:to>
          <xdr:col>1</xdr:col>
          <xdr:colOff>603250</xdr:colOff>
          <xdr:row>94</xdr:row>
          <xdr:rowOff>361950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D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152400</xdr:rowOff>
        </xdr:from>
        <xdr:to>
          <xdr:col>1</xdr:col>
          <xdr:colOff>603250</xdr:colOff>
          <xdr:row>99</xdr:row>
          <xdr:rowOff>361950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D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152400</xdr:rowOff>
        </xdr:from>
        <xdr:to>
          <xdr:col>1</xdr:col>
          <xdr:colOff>603250</xdr:colOff>
          <xdr:row>100</xdr:row>
          <xdr:rowOff>361950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D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152400</xdr:rowOff>
        </xdr:from>
        <xdr:to>
          <xdr:col>1</xdr:col>
          <xdr:colOff>603250</xdr:colOff>
          <xdr:row>101</xdr:row>
          <xdr:rowOff>361950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D00-00002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102</xdr:row>
          <xdr:rowOff>152400</xdr:rowOff>
        </xdr:from>
        <xdr:to>
          <xdr:col>1</xdr:col>
          <xdr:colOff>603250</xdr:colOff>
          <xdr:row>102</xdr:row>
          <xdr:rowOff>361950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D00-00002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152400</xdr:rowOff>
        </xdr:from>
        <xdr:to>
          <xdr:col>1</xdr:col>
          <xdr:colOff>603250</xdr:colOff>
          <xdr:row>109</xdr:row>
          <xdr:rowOff>361950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D00-00002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152400</xdr:rowOff>
        </xdr:from>
        <xdr:to>
          <xdr:col>1</xdr:col>
          <xdr:colOff>603250</xdr:colOff>
          <xdr:row>110</xdr:row>
          <xdr:rowOff>361950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D00-00002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113</xdr:row>
          <xdr:rowOff>152400</xdr:rowOff>
        </xdr:from>
        <xdr:to>
          <xdr:col>1</xdr:col>
          <xdr:colOff>603250</xdr:colOff>
          <xdr:row>113</xdr:row>
          <xdr:rowOff>361950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D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152400</xdr:rowOff>
        </xdr:from>
        <xdr:to>
          <xdr:col>1</xdr:col>
          <xdr:colOff>603250</xdr:colOff>
          <xdr:row>50</xdr:row>
          <xdr:rowOff>361950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D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152400</xdr:rowOff>
        </xdr:from>
        <xdr:to>
          <xdr:col>1</xdr:col>
          <xdr:colOff>603250</xdr:colOff>
          <xdr:row>89</xdr:row>
          <xdr:rowOff>361950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D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111</xdr:row>
          <xdr:rowOff>152400</xdr:rowOff>
        </xdr:from>
        <xdr:to>
          <xdr:col>1</xdr:col>
          <xdr:colOff>603250</xdr:colOff>
          <xdr:row>111</xdr:row>
          <xdr:rowOff>361950</xdr:rowOff>
        </xdr:to>
        <xdr:sp macro="" textlink="">
          <xdr:nvSpPr>
            <xdr:cNvPr id="62515" name="Check Box 51" hidden="1">
              <a:extLst>
                <a:ext uri="{63B3BB69-23CF-44E3-9099-C40C66FF867C}">
                  <a14:compatExt spid="_x0000_s62515"/>
                </a:ext>
                <a:ext uri="{FF2B5EF4-FFF2-40B4-BE49-F238E27FC236}">
                  <a16:creationId xmlns:a16="http://schemas.microsoft.com/office/drawing/2014/main" id="{00000000-0008-0000-0D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152400</xdr:rowOff>
        </xdr:from>
        <xdr:to>
          <xdr:col>1</xdr:col>
          <xdr:colOff>603250</xdr:colOff>
          <xdr:row>11</xdr:row>
          <xdr:rowOff>361950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D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152400</xdr:rowOff>
        </xdr:from>
        <xdr:to>
          <xdr:col>1</xdr:col>
          <xdr:colOff>603250</xdr:colOff>
          <xdr:row>22</xdr:row>
          <xdr:rowOff>361950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D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152400</xdr:rowOff>
        </xdr:from>
        <xdr:to>
          <xdr:col>1</xdr:col>
          <xdr:colOff>603250</xdr:colOff>
          <xdr:row>32</xdr:row>
          <xdr:rowOff>361950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D00-00003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152400</xdr:rowOff>
        </xdr:from>
        <xdr:to>
          <xdr:col>1</xdr:col>
          <xdr:colOff>603250</xdr:colOff>
          <xdr:row>52</xdr:row>
          <xdr:rowOff>361950</xdr:rowOff>
        </xdr:to>
        <xdr:sp macro="" textlink="">
          <xdr:nvSpPr>
            <xdr:cNvPr id="62522" name="Check Box 58" hidden="1">
              <a:extLst>
                <a:ext uri="{63B3BB69-23CF-44E3-9099-C40C66FF867C}">
                  <a14:compatExt spid="_x0000_s62522"/>
                </a:ext>
                <a:ext uri="{FF2B5EF4-FFF2-40B4-BE49-F238E27FC236}">
                  <a16:creationId xmlns:a16="http://schemas.microsoft.com/office/drawing/2014/main" id="{00000000-0008-0000-0D00-00003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152400</xdr:rowOff>
        </xdr:from>
        <xdr:to>
          <xdr:col>1</xdr:col>
          <xdr:colOff>603250</xdr:colOff>
          <xdr:row>65</xdr:row>
          <xdr:rowOff>361950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D00-00003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152400</xdr:rowOff>
        </xdr:from>
        <xdr:to>
          <xdr:col>1</xdr:col>
          <xdr:colOff>603250</xdr:colOff>
          <xdr:row>71</xdr:row>
          <xdr:rowOff>361950</xdr:rowOff>
        </xdr:to>
        <xdr:sp macro="" textlink="">
          <xdr:nvSpPr>
            <xdr:cNvPr id="62525" name="Check Box 61" hidden="1">
              <a:extLst>
                <a:ext uri="{63B3BB69-23CF-44E3-9099-C40C66FF867C}">
                  <a14:compatExt spid="_x0000_s62525"/>
                </a:ext>
                <a:ext uri="{FF2B5EF4-FFF2-40B4-BE49-F238E27FC236}">
                  <a16:creationId xmlns:a16="http://schemas.microsoft.com/office/drawing/2014/main" id="{00000000-0008-0000-0D00-00003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152400</xdr:rowOff>
        </xdr:from>
        <xdr:to>
          <xdr:col>1</xdr:col>
          <xdr:colOff>603250</xdr:colOff>
          <xdr:row>72</xdr:row>
          <xdr:rowOff>361950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D00-00003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152400</xdr:rowOff>
        </xdr:from>
        <xdr:to>
          <xdr:col>1</xdr:col>
          <xdr:colOff>603250</xdr:colOff>
          <xdr:row>93</xdr:row>
          <xdr:rowOff>361950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D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152400</xdr:rowOff>
        </xdr:from>
        <xdr:to>
          <xdr:col>1</xdr:col>
          <xdr:colOff>603250</xdr:colOff>
          <xdr:row>107</xdr:row>
          <xdr:rowOff>361950</xdr:rowOff>
        </xdr:to>
        <xdr:sp macro="" textlink="">
          <xdr:nvSpPr>
            <xdr:cNvPr id="62528" name="Check Box 64" hidden="1">
              <a:extLst>
                <a:ext uri="{63B3BB69-23CF-44E3-9099-C40C66FF867C}">
                  <a14:compatExt spid="_x0000_s62528"/>
                </a:ext>
                <a:ext uri="{FF2B5EF4-FFF2-40B4-BE49-F238E27FC236}">
                  <a16:creationId xmlns:a16="http://schemas.microsoft.com/office/drawing/2014/main" id="{00000000-0008-0000-0D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152400</xdr:rowOff>
        </xdr:from>
        <xdr:to>
          <xdr:col>1</xdr:col>
          <xdr:colOff>603250</xdr:colOff>
          <xdr:row>108</xdr:row>
          <xdr:rowOff>361950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D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152400</xdr:rowOff>
        </xdr:from>
        <xdr:to>
          <xdr:col>1</xdr:col>
          <xdr:colOff>603250</xdr:colOff>
          <xdr:row>39</xdr:row>
          <xdr:rowOff>361950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D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27</xdr:row>
          <xdr:rowOff>228600</xdr:rowOff>
        </xdr:from>
        <xdr:to>
          <xdr:col>1</xdr:col>
          <xdr:colOff>609600</xdr:colOff>
          <xdr:row>27</xdr:row>
          <xdr:rowOff>438150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E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E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E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36</xdr:row>
          <xdr:rowOff>228600</xdr:rowOff>
        </xdr:from>
        <xdr:to>
          <xdr:col>1</xdr:col>
          <xdr:colOff>609600</xdr:colOff>
          <xdr:row>36</xdr:row>
          <xdr:rowOff>438150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E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58</xdr:row>
          <xdr:rowOff>228600</xdr:rowOff>
        </xdr:from>
        <xdr:to>
          <xdr:col>1</xdr:col>
          <xdr:colOff>609600</xdr:colOff>
          <xdr:row>58</xdr:row>
          <xdr:rowOff>438150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E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76</xdr:row>
          <xdr:rowOff>228600</xdr:rowOff>
        </xdr:from>
        <xdr:to>
          <xdr:col>1</xdr:col>
          <xdr:colOff>609600</xdr:colOff>
          <xdr:row>76</xdr:row>
          <xdr:rowOff>438150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E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77</xdr:row>
          <xdr:rowOff>228600</xdr:rowOff>
        </xdr:from>
        <xdr:to>
          <xdr:col>1</xdr:col>
          <xdr:colOff>609600</xdr:colOff>
          <xdr:row>77</xdr:row>
          <xdr:rowOff>438150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E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E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E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E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E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95</xdr:row>
          <xdr:rowOff>228600</xdr:rowOff>
        </xdr:from>
        <xdr:to>
          <xdr:col>1</xdr:col>
          <xdr:colOff>609600</xdr:colOff>
          <xdr:row>95</xdr:row>
          <xdr:rowOff>438150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E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97</xdr:row>
          <xdr:rowOff>228600</xdr:rowOff>
        </xdr:from>
        <xdr:to>
          <xdr:col>1</xdr:col>
          <xdr:colOff>609600</xdr:colOff>
          <xdr:row>97</xdr:row>
          <xdr:rowOff>438150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E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106</xdr:row>
          <xdr:rowOff>228600</xdr:rowOff>
        </xdr:from>
        <xdr:to>
          <xdr:col>1</xdr:col>
          <xdr:colOff>609600</xdr:colOff>
          <xdr:row>106</xdr:row>
          <xdr:rowOff>438150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E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108</xdr:row>
          <xdr:rowOff>228600</xdr:rowOff>
        </xdr:from>
        <xdr:to>
          <xdr:col>1</xdr:col>
          <xdr:colOff>609600</xdr:colOff>
          <xdr:row>108</xdr:row>
          <xdr:rowOff>438150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E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190500</xdr:rowOff>
        </xdr:from>
        <xdr:to>
          <xdr:col>1</xdr:col>
          <xdr:colOff>603250</xdr:colOff>
          <xdr:row>84</xdr:row>
          <xdr:rowOff>412750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E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190500</xdr:rowOff>
        </xdr:from>
        <xdr:to>
          <xdr:col>1</xdr:col>
          <xdr:colOff>603250</xdr:colOff>
          <xdr:row>85</xdr:row>
          <xdr:rowOff>412750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E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0E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0E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35</xdr:row>
          <xdr:rowOff>228600</xdr:rowOff>
        </xdr:from>
        <xdr:to>
          <xdr:col>1</xdr:col>
          <xdr:colOff>609600</xdr:colOff>
          <xdr:row>35</xdr:row>
          <xdr:rowOff>438150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0E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0E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57</xdr:row>
          <xdr:rowOff>228600</xdr:rowOff>
        </xdr:from>
        <xdr:to>
          <xdr:col>1</xdr:col>
          <xdr:colOff>609600</xdr:colOff>
          <xdr:row>57</xdr:row>
          <xdr:rowOff>438150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0E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68</xdr:row>
          <xdr:rowOff>228600</xdr:rowOff>
        </xdr:from>
        <xdr:to>
          <xdr:col>1</xdr:col>
          <xdr:colOff>609600</xdr:colOff>
          <xdr:row>68</xdr:row>
          <xdr:rowOff>438150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0E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0E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0E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21</xdr:row>
          <xdr:rowOff>228600</xdr:rowOff>
        </xdr:from>
        <xdr:to>
          <xdr:col>1</xdr:col>
          <xdr:colOff>609600</xdr:colOff>
          <xdr:row>21</xdr:row>
          <xdr:rowOff>438150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0F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22</xdr:row>
          <xdr:rowOff>228600</xdr:rowOff>
        </xdr:from>
        <xdr:to>
          <xdr:col>1</xdr:col>
          <xdr:colOff>609600</xdr:colOff>
          <xdr:row>22</xdr:row>
          <xdr:rowOff>438150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0F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23</xdr:row>
          <xdr:rowOff>228600</xdr:rowOff>
        </xdr:from>
        <xdr:to>
          <xdr:col>1</xdr:col>
          <xdr:colOff>609600</xdr:colOff>
          <xdr:row>23</xdr:row>
          <xdr:rowOff>438150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0F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25</xdr:row>
          <xdr:rowOff>228600</xdr:rowOff>
        </xdr:from>
        <xdr:to>
          <xdr:col>1</xdr:col>
          <xdr:colOff>609600</xdr:colOff>
          <xdr:row>25</xdr:row>
          <xdr:rowOff>438150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F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26</xdr:row>
          <xdr:rowOff>228600</xdr:rowOff>
        </xdr:from>
        <xdr:to>
          <xdr:col>1</xdr:col>
          <xdr:colOff>609600</xdr:colOff>
          <xdr:row>26</xdr:row>
          <xdr:rowOff>438150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F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27</xdr:row>
          <xdr:rowOff>228600</xdr:rowOff>
        </xdr:from>
        <xdr:to>
          <xdr:col>1</xdr:col>
          <xdr:colOff>609600</xdr:colOff>
          <xdr:row>27</xdr:row>
          <xdr:rowOff>438150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0F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28</xdr:row>
          <xdr:rowOff>228600</xdr:rowOff>
        </xdr:from>
        <xdr:to>
          <xdr:col>1</xdr:col>
          <xdr:colOff>609600</xdr:colOff>
          <xdr:row>28</xdr:row>
          <xdr:rowOff>438150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0F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0F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30</xdr:row>
          <xdr:rowOff>228600</xdr:rowOff>
        </xdr:from>
        <xdr:to>
          <xdr:col>1</xdr:col>
          <xdr:colOff>609600</xdr:colOff>
          <xdr:row>30</xdr:row>
          <xdr:rowOff>438150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0F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0F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34</xdr:row>
          <xdr:rowOff>228600</xdr:rowOff>
        </xdr:from>
        <xdr:to>
          <xdr:col>1</xdr:col>
          <xdr:colOff>609600</xdr:colOff>
          <xdr:row>34</xdr:row>
          <xdr:rowOff>438150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0F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0F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40</xdr:row>
          <xdr:rowOff>228600</xdr:rowOff>
        </xdr:from>
        <xdr:to>
          <xdr:col>1</xdr:col>
          <xdr:colOff>609600</xdr:colOff>
          <xdr:row>40</xdr:row>
          <xdr:rowOff>438150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0F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50</xdr:row>
          <xdr:rowOff>228600</xdr:rowOff>
        </xdr:from>
        <xdr:to>
          <xdr:col>1</xdr:col>
          <xdr:colOff>609600</xdr:colOff>
          <xdr:row>50</xdr:row>
          <xdr:rowOff>438150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0F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0F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0F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61</xdr:row>
          <xdr:rowOff>228600</xdr:rowOff>
        </xdr:from>
        <xdr:to>
          <xdr:col>1</xdr:col>
          <xdr:colOff>609600</xdr:colOff>
          <xdr:row>61</xdr:row>
          <xdr:rowOff>438150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0F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66</xdr:row>
          <xdr:rowOff>228600</xdr:rowOff>
        </xdr:from>
        <xdr:to>
          <xdr:col>1</xdr:col>
          <xdr:colOff>609600</xdr:colOff>
          <xdr:row>66</xdr:row>
          <xdr:rowOff>438150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0F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67</xdr:row>
          <xdr:rowOff>228600</xdr:rowOff>
        </xdr:from>
        <xdr:to>
          <xdr:col>1</xdr:col>
          <xdr:colOff>609600</xdr:colOff>
          <xdr:row>67</xdr:row>
          <xdr:rowOff>438150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0F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69</xdr:row>
          <xdr:rowOff>228600</xdr:rowOff>
        </xdr:from>
        <xdr:to>
          <xdr:col>1</xdr:col>
          <xdr:colOff>609600</xdr:colOff>
          <xdr:row>69</xdr:row>
          <xdr:rowOff>438150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0F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0F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0F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0F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0F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70681" name="Check Box 25" hidden="1">
              <a:extLst>
                <a:ext uri="{63B3BB69-23CF-44E3-9099-C40C66FF867C}">
                  <a14:compatExt spid="_x0000_s70681"/>
                </a:ext>
                <a:ext uri="{FF2B5EF4-FFF2-40B4-BE49-F238E27FC236}">
                  <a16:creationId xmlns:a16="http://schemas.microsoft.com/office/drawing/2014/main" id="{00000000-0008-0000-0F00-00001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70682" name="Check Box 26" hidden="1">
              <a:extLst>
                <a:ext uri="{63B3BB69-23CF-44E3-9099-C40C66FF867C}">
                  <a14:compatExt spid="_x0000_s70682"/>
                </a:ext>
                <a:ext uri="{FF2B5EF4-FFF2-40B4-BE49-F238E27FC236}">
                  <a16:creationId xmlns:a16="http://schemas.microsoft.com/office/drawing/2014/main" id="{00000000-0008-0000-0F00-00001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82</xdr:row>
          <xdr:rowOff>228600</xdr:rowOff>
        </xdr:from>
        <xdr:to>
          <xdr:col>1</xdr:col>
          <xdr:colOff>609600</xdr:colOff>
          <xdr:row>82</xdr:row>
          <xdr:rowOff>438150</xdr:rowOff>
        </xdr:to>
        <xdr:sp macro="" textlink="">
          <xdr:nvSpPr>
            <xdr:cNvPr id="70683" name="Check Box 27" hidden="1">
              <a:extLst>
                <a:ext uri="{63B3BB69-23CF-44E3-9099-C40C66FF867C}">
                  <a14:compatExt spid="_x0000_s70683"/>
                </a:ext>
                <a:ext uri="{FF2B5EF4-FFF2-40B4-BE49-F238E27FC236}">
                  <a16:creationId xmlns:a16="http://schemas.microsoft.com/office/drawing/2014/main" id="{00000000-0008-0000-0F00-00001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89</xdr:row>
          <xdr:rowOff>228600</xdr:rowOff>
        </xdr:from>
        <xdr:to>
          <xdr:col>1</xdr:col>
          <xdr:colOff>609600</xdr:colOff>
          <xdr:row>89</xdr:row>
          <xdr:rowOff>438150</xdr:rowOff>
        </xdr:to>
        <xdr:sp macro="" textlink="">
          <xdr:nvSpPr>
            <xdr:cNvPr id="70684" name="Check Box 28" hidden="1">
              <a:extLst>
                <a:ext uri="{63B3BB69-23CF-44E3-9099-C40C66FF867C}">
                  <a14:compatExt spid="_x0000_s70684"/>
                </a:ext>
                <a:ext uri="{FF2B5EF4-FFF2-40B4-BE49-F238E27FC236}">
                  <a16:creationId xmlns:a16="http://schemas.microsoft.com/office/drawing/2014/main" id="{00000000-0008-0000-0F00-00001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91</xdr:row>
          <xdr:rowOff>228600</xdr:rowOff>
        </xdr:from>
        <xdr:to>
          <xdr:col>1</xdr:col>
          <xdr:colOff>609600</xdr:colOff>
          <xdr:row>91</xdr:row>
          <xdr:rowOff>438150</xdr:rowOff>
        </xdr:to>
        <xdr:sp macro="" textlink="">
          <xdr:nvSpPr>
            <xdr:cNvPr id="70685" name="Check Box 29" hidden="1">
              <a:extLst>
                <a:ext uri="{63B3BB69-23CF-44E3-9099-C40C66FF867C}">
                  <a14:compatExt spid="_x0000_s70685"/>
                </a:ext>
                <a:ext uri="{FF2B5EF4-FFF2-40B4-BE49-F238E27FC236}">
                  <a16:creationId xmlns:a16="http://schemas.microsoft.com/office/drawing/2014/main" id="{00000000-0008-0000-0F00-00001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93</xdr:row>
          <xdr:rowOff>228600</xdr:rowOff>
        </xdr:from>
        <xdr:to>
          <xdr:col>1</xdr:col>
          <xdr:colOff>609600</xdr:colOff>
          <xdr:row>93</xdr:row>
          <xdr:rowOff>438150</xdr:rowOff>
        </xdr:to>
        <xdr:sp macro="" textlink="">
          <xdr:nvSpPr>
            <xdr:cNvPr id="70686" name="Check Box 30" hidden="1">
              <a:extLst>
                <a:ext uri="{63B3BB69-23CF-44E3-9099-C40C66FF867C}">
                  <a14:compatExt spid="_x0000_s70686"/>
                </a:ext>
                <a:ext uri="{FF2B5EF4-FFF2-40B4-BE49-F238E27FC236}">
                  <a16:creationId xmlns:a16="http://schemas.microsoft.com/office/drawing/2014/main" id="{00000000-0008-0000-0F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25</xdr:row>
          <xdr:rowOff>228600</xdr:rowOff>
        </xdr:from>
        <xdr:to>
          <xdr:col>1</xdr:col>
          <xdr:colOff>609600</xdr:colOff>
          <xdr:row>25</xdr:row>
          <xdr:rowOff>438150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10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30</xdr:row>
          <xdr:rowOff>228600</xdr:rowOff>
        </xdr:from>
        <xdr:to>
          <xdr:col>1</xdr:col>
          <xdr:colOff>609600</xdr:colOff>
          <xdr:row>30</xdr:row>
          <xdr:rowOff>438150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10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0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37</xdr:row>
          <xdr:rowOff>228600</xdr:rowOff>
        </xdr:from>
        <xdr:to>
          <xdr:col>1</xdr:col>
          <xdr:colOff>609600</xdr:colOff>
          <xdr:row>37</xdr:row>
          <xdr:rowOff>438150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0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45</xdr:row>
          <xdr:rowOff>228600</xdr:rowOff>
        </xdr:from>
        <xdr:to>
          <xdr:col>1</xdr:col>
          <xdr:colOff>609600</xdr:colOff>
          <xdr:row>45</xdr:row>
          <xdr:rowOff>438150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10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51</xdr:row>
          <xdr:rowOff>228600</xdr:rowOff>
        </xdr:from>
        <xdr:to>
          <xdr:col>1</xdr:col>
          <xdr:colOff>609600</xdr:colOff>
          <xdr:row>51</xdr:row>
          <xdr:rowOff>438150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10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52</xdr:row>
          <xdr:rowOff>228600</xdr:rowOff>
        </xdr:from>
        <xdr:to>
          <xdr:col>1</xdr:col>
          <xdr:colOff>609600</xdr:colOff>
          <xdr:row>52</xdr:row>
          <xdr:rowOff>438150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10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1000-00000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62</xdr:row>
          <xdr:rowOff>228600</xdr:rowOff>
        </xdr:from>
        <xdr:to>
          <xdr:col>1</xdr:col>
          <xdr:colOff>609600</xdr:colOff>
          <xdr:row>62</xdr:row>
          <xdr:rowOff>438150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10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10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1000-00000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66</xdr:row>
          <xdr:rowOff>228600</xdr:rowOff>
        </xdr:from>
        <xdr:to>
          <xdr:col>1</xdr:col>
          <xdr:colOff>609600</xdr:colOff>
          <xdr:row>66</xdr:row>
          <xdr:rowOff>438150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1000-00000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10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10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1000-00001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75</xdr:row>
          <xdr:rowOff>228600</xdr:rowOff>
        </xdr:from>
        <xdr:to>
          <xdr:col>1</xdr:col>
          <xdr:colOff>609600</xdr:colOff>
          <xdr:row>75</xdr:row>
          <xdr:rowOff>438150</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1000-00001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76</xdr:row>
          <xdr:rowOff>228600</xdr:rowOff>
        </xdr:from>
        <xdr:to>
          <xdr:col>1</xdr:col>
          <xdr:colOff>609600</xdr:colOff>
          <xdr:row>76</xdr:row>
          <xdr:rowOff>438150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10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77</xdr:row>
          <xdr:rowOff>228600</xdr:rowOff>
        </xdr:from>
        <xdr:to>
          <xdr:col>1</xdr:col>
          <xdr:colOff>609600</xdr:colOff>
          <xdr:row>77</xdr:row>
          <xdr:rowOff>438150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10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78</xdr:row>
          <xdr:rowOff>228600</xdr:rowOff>
        </xdr:from>
        <xdr:to>
          <xdr:col>1</xdr:col>
          <xdr:colOff>609600</xdr:colOff>
          <xdr:row>78</xdr:row>
          <xdr:rowOff>438150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10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10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80</xdr:row>
          <xdr:rowOff>228600</xdr:rowOff>
        </xdr:from>
        <xdr:to>
          <xdr:col>1</xdr:col>
          <xdr:colOff>609600</xdr:colOff>
          <xdr:row>80</xdr:row>
          <xdr:rowOff>438150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10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90</xdr:row>
          <xdr:rowOff>241300</xdr:rowOff>
        </xdr:from>
        <xdr:to>
          <xdr:col>1</xdr:col>
          <xdr:colOff>609600</xdr:colOff>
          <xdr:row>90</xdr:row>
          <xdr:rowOff>450850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10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102</xdr:row>
          <xdr:rowOff>228600</xdr:rowOff>
        </xdr:from>
        <xdr:to>
          <xdr:col>1</xdr:col>
          <xdr:colOff>609600</xdr:colOff>
          <xdr:row>102</xdr:row>
          <xdr:rowOff>438150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1000-00001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104</xdr:row>
          <xdr:rowOff>228600</xdr:rowOff>
        </xdr:from>
        <xdr:to>
          <xdr:col>1</xdr:col>
          <xdr:colOff>609600</xdr:colOff>
          <xdr:row>104</xdr:row>
          <xdr:rowOff>438150</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1000-00001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103</xdr:row>
          <xdr:rowOff>228600</xdr:rowOff>
        </xdr:from>
        <xdr:to>
          <xdr:col>1</xdr:col>
          <xdr:colOff>609600</xdr:colOff>
          <xdr:row>103</xdr:row>
          <xdr:rowOff>438150</xdr:rowOff>
        </xdr:to>
        <xdr:sp macro="" textlink="">
          <xdr:nvSpPr>
            <xdr:cNvPr id="67612" name="Check Box 28" hidden="1">
              <a:extLst>
                <a:ext uri="{63B3BB69-23CF-44E3-9099-C40C66FF867C}">
                  <a14:compatExt spid="_x0000_s67612"/>
                </a:ext>
                <a:ext uri="{FF2B5EF4-FFF2-40B4-BE49-F238E27FC236}">
                  <a16:creationId xmlns:a16="http://schemas.microsoft.com/office/drawing/2014/main" id="{00000000-0008-0000-1000-00001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92</xdr:row>
          <xdr:rowOff>241300</xdr:rowOff>
        </xdr:from>
        <xdr:to>
          <xdr:col>1</xdr:col>
          <xdr:colOff>609600</xdr:colOff>
          <xdr:row>92</xdr:row>
          <xdr:rowOff>450850</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10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100</xdr:row>
          <xdr:rowOff>241300</xdr:rowOff>
        </xdr:from>
        <xdr:to>
          <xdr:col>1</xdr:col>
          <xdr:colOff>609600</xdr:colOff>
          <xdr:row>100</xdr:row>
          <xdr:rowOff>450850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10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26</xdr:row>
          <xdr:rowOff>228600</xdr:rowOff>
        </xdr:from>
        <xdr:to>
          <xdr:col>1</xdr:col>
          <xdr:colOff>609600</xdr:colOff>
          <xdr:row>26</xdr:row>
          <xdr:rowOff>438150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1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1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1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45</xdr:row>
          <xdr:rowOff>228600</xdr:rowOff>
        </xdr:from>
        <xdr:to>
          <xdr:col>1</xdr:col>
          <xdr:colOff>609600</xdr:colOff>
          <xdr:row>45</xdr:row>
          <xdr:rowOff>438150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1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53</xdr:row>
          <xdr:rowOff>228600</xdr:rowOff>
        </xdr:from>
        <xdr:to>
          <xdr:col>1</xdr:col>
          <xdr:colOff>609600</xdr:colOff>
          <xdr:row>53</xdr:row>
          <xdr:rowOff>438150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1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54</xdr:row>
          <xdr:rowOff>228600</xdr:rowOff>
        </xdr:from>
        <xdr:to>
          <xdr:col>1</xdr:col>
          <xdr:colOff>609600</xdr:colOff>
          <xdr:row>54</xdr:row>
          <xdr:rowOff>438150</xdr:rowOff>
        </xdr:to>
        <xdr:sp macro="" textlink="">
          <xdr:nvSpPr>
            <xdr:cNvPr id="68615" name="Check Box 7" hidden="1">
              <a:extLst>
                <a:ext uri="{63B3BB69-23CF-44E3-9099-C40C66FF867C}">
                  <a14:compatExt spid="_x0000_s68615"/>
                </a:ext>
                <a:ext uri="{FF2B5EF4-FFF2-40B4-BE49-F238E27FC236}">
                  <a16:creationId xmlns:a16="http://schemas.microsoft.com/office/drawing/2014/main" id="{00000000-0008-0000-1100-00000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8616" name="Check Box 8" hidden="1">
              <a:extLst>
                <a:ext uri="{63B3BB69-23CF-44E3-9099-C40C66FF867C}">
                  <a14:compatExt spid="_x0000_s68616"/>
                </a:ext>
                <a:ext uri="{FF2B5EF4-FFF2-40B4-BE49-F238E27FC236}">
                  <a16:creationId xmlns:a16="http://schemas.microsoft.com/office/drawing/2014/main" id="{00000000-0008-0000-11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61</xdr:row>
          <xdr:rowOff>228600</xdr:rowOff>
        </xdr:from>
        <xdr:to>
          <xdr:col>1</xdr:col>
          <xdr:colOff>609600</xdr:colOff>
          <xdr:row>61</xdr:row>
          <xdr:rowOff>438150</xdr:rowOff>
        </xdr:to>
        <xdr:sp macro="" textlink="">
          <xdr:nvSpPr>
            <xdr:cNvPr id="68617" name="Check Box 9" hidden="1">
              <a:extLst>
                <a:ext uri="{63B3BB69-23CF-44E3-9099-C40C66FF867C}">
                  <a14:compatExt spid="_x0000_s68617"/>
                </a:ext>
                <a:ext uri="{FF2B5EF4-FFF2-40B4-BE49-F238E27FC236}">
                  <a16:creationId xmlns:a16="http://schemas.microsoft.com/office/drawing/2014/main" id="{00000000-0008-0000-11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62</xdr:row>
          <xdr:rowOff>228600</xdr:rowOff>
        </xdr:from>
        <xdr:to>
          <xdr:col>1</xdr:col>
          <xdr:colOff>609600</xdr:colOff>
          <xdr:row>62</xdr:row>
          <xdr:rowOff>438150</xdr:rowOff>
        </xdr:to>
        <xdr:sp macro="" textlink="">
          <xdr:nvSpPr>
            <xdr:cNvPr id="68618" name="Check Box 10" hidden="1">
              <a:extLst>
                <a:ext uri="{63B3BB69-23CF-44E3-9099-C40C66FF867C}">
                  <a14:compatExt spid="_x0000_s68618"/>
                </a:ext>
                <a:ext uri="{FF2B5EF4-FFF2-40B4-BE49-F238E27FC236}">
                  <a16:creationId xmlns:a16="http://schemas.microsoft.com/office/drawing/2014/main" id="{00000000-0008-0000-11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63</xdr:row>
          <xdr:rowOff>228600</xdr:rowOff>
        </xdr:from>
        <xdr:to>
          <xdr:col>1</xdr:col>
          <xdr:colOff>609600</xdr:colOff>
          <xdr:row>63</xdr:row>
          <xdr:rowOff>438150</xdr:rowOff>
        </xdr:to>
        <xdr:sp macro="" textlink="">
          <xdr:nvSpPr>
            <xdr:cNvPr id="68619" name="Check Box 11" hidden="1">
              <a:extLst>
                <a:ext uri="{63B3BB69-23CF-44E3-9099-C40C66FF867C}">
                  <a14:compatExt spid="_x0000_s68619"/>
                </a:ext>
                <a:ext uri="{FF2B5EF4-FFF2-40B4-BE49-F238E27FC236}">
                  <a16:creationId xmlns:a16="http://schemas.microsoft.com/office/drawing/2014/main" id="{00000000-0008-0000-11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8620" name="Check Box 12" hidden="1">
              <a:extLst>
                <a:ext uri="{63B3BB69-23CF-44E3-9099-C40C66FF867C}">
                  <a14:compatExt spid="_x0000_s68620"/>
                </a:ext>
                <a:ext uri="{FF2B5EF4-FFF2-40B4-BE49-F238E27FC236}">
                  <a16:creationId xmlns:a16="http://schemas.microsoft.com/office/drawing/2014/main" id="{00000000-0008-0000-11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11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74</xdr:row>
          <xdr:rowOff>228600</xdr:rowOff>
        </xdr:from>
        <xdr:to>
          <xdr:col>1</xdr:col>
          <xdr:colOff>609600</xdr:colOff>
          <xdr:row>74</xdr:row>
          <xdr:rowOff>438150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11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83</xdr:row>
          <xdr:rowOff>228600</xdr:rowOff>
        </xdr:from>
        <xdr:to>
          <xdr:col>1</xdr:col>
          <xdr:colOff>609600</xdr:colOff>
          <xdr:row>83</xdr:row>
          <xdr:rowOff>438150</xdr:rowOff>
        </xdr:to>
        <xdr:sp macro="" textlink="">
          <xdr:nvSpPr>
            <xdr:cNvPr id="68624" name="Check Box 16" hidden="1">
              <a:extLst>
                <a:ext uri="{63B3BB69-23CF-44E3-9099-C40C66FF867C}">
                  <a14:compatExt spid="_x0000_s68624"/>
                </a:ext>
                <a:ext uri="{FF2B5EF4-FFF2-40B4-BE49-F238E27FC236}">
                  <a16:creationId xmlns:a16="http://schemas.microsoft.com/office/drawing/2014/main" id="{00000000-0008-0000-11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28</xdr:row>
          <xdr:rowOff>228600</xdr:rowOff>
        </xdr:from>
        <xdr:to>
          <xdr:col>1</xdr:col>
          <xdr:colOff>609600</xdr:colOff>
          <xdr:row>28</xdr:row>
          <xdr:rowOff>438150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2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29</xdr:row>
          <xdr:rowOff>228600</xdr:rowOff>
        </xdr:from>
        <xdr:to>
          <xdr:col>1</xdr:col>
          <xdr:colOff>609600</xdr:colOff>
          <xdr:row>29</xdr:row>
          <xdr:rowOff>438150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2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31</xdr:row>
          <xdr:rowOff>228600</xdr:rowOff>
        </xdr:from>
        <xdr:to>
          <xdr:col>1</xdr:col>
          <xdr:colOff>609600</xdr:colOff>
          <xdr:row>31</xdr:row>
          <xdr:rowOff>438150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2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32</xdr:row>
          <xdr:rowOff>228600</xdr:rowOff>
        </xdr:from>
        <xdr:to>
          <xdr:col>1</xdr:col>
          <xdr:colOff>609600</xdr:colOff>
          <xdr:row>32</xdr:row>
          <xdr:rowOff>438150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2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33</xdr:row>
          <xdr:rowOff>228600</xdr:rowOff>
        </xdr:from>
        <xdr:to>
          <xdr:col>1</xdr:col>
          <xdr:colOff>609600</xdr:colOff>
          <xdr:row>33</xdr:row>
          <xdr:rowOff>438150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2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42</xdr:row>
          <xdr:rowOff>228600</xdr:rowOff>
        </xdr:from>
        <xdr:to>
          <xdr:col>1</xdr:col>
          <xdr:colOff>609600</xdr:colOff>
          <xdr:row>42</xdr:row>
          <xdr:rowOff>438150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2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46</xdr:row>
          <xdr:rowOff>228600</xdr:rowOff>
        </xdr:from>
        <xdr:to>
          <xdr:col>1</xdr:col>
          <xdr:colOff>609600</xdr:colOff>
          <xdr:row>46</xdr:row>
          <xdr:rowOff>438150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2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47</xdr:row>
          <xdr:rowOff>228600</xdr:rowOff>
        </xdr:from>
        <xdr:to>
          <xdr:col>1</xdr:col>
          <xdr:colOff>609600</xdr:colOff>
          <xdr:row>47</xdr:row>
          <xdr:rowOff>438150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2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57</xdr:row>
          <xdr:rowOff>228600</xdr:rowOff>
        </xdr:from>
        <xdr:to>
          <xdr:col>1</xdr:col>
          <xdr:colOff>609600</xdr:colOff>
          <xdr:row>57</xdr:row>
          <xdr:rowOff>438150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2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59</xdr:row>
          <xdr:rowOff>228600</xdr:rowOff>
        </xdr:from>
        <xdr:to>
          <xdr:col>1</xdr:col>
          <xdr:colOff>609600</xdr:colOff>
          <xdr:row>59</xdr:row>
          <xdr:rowOff>438150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2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64</xdr:row>
          <xdr:rowOff>228600</xdr:rowOff>
        </xdr:from>
        <xdr:to>
          <xdr:col>1</xdr:col>
          <xdr:colOff>609600</xdr:colOff>
          <xdr:row>64</xdr:row>
          <xdr:rowOff>438150</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12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65</xdr:row>
          <xdr:rowOff>228600</xdr:rowOff>
        </xdr:from>
        <xdr:to>
          <xdr:col>1</xdr:col>
          <xdr:colOff>609600</xdr:colOff>
          <xdr:row>65</xdr:row>
          <xdr:rowOff>438150</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1200-00000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67</xdr:row>
          <xdr:rowOff>228600</xdr:rowOff>
        </xdr:from>
        <xdr:to>
          <xdr:col>1</xdr:col>
          <xdr:colOff>609600</xdr:colOff>
          <xdr:row>67</xdr:row>
          <xdr:rowOff>438150</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1200-00000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68</xdr:row>
          <xdr:rowOff>228600</xdr:rowOff>
        </xdr:from>
        <xdr:to>
          <xdr:col>1</xdr:col>
          <xdr:colOff>609600</xdr:colOff>
          <xdr:row>68</xdr:row>
          <xdr:rowOff>438150</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12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69</xdr:row>
          <xdr:rowOff>228600</xdr:rowOff>
        </xdr:from>
        <xdr:to>
          <xdr:col>1</xdr:col>
          <xdr:colOff>609600</xdr:colOff>
          <xdr:row>69</xdr:row>
          <xdr:rowOff>438150</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12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70</xdr:row>
          <xdr:rowOff>228600</xdr:rowOff>
        </xdr:from>
        <xdr:to>
          <xdr:col>1</xdr:col>
          <xdr:colOff>609600</xdr:colOff>
          <xdr:row>70</xdr:row>
          <xdr:rowOff>438150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1200-00001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228600</xdr:rowOff>
        </xdr:from>
        <xdr:to>
          <xdr:col>1</xdr:col>
          <xdr:colOff>609600</xdr:colOff>
          <xdr:row>71</xdr:row>
          <xdr:rowOff>438150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1200-00001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72</xdr:row>
          <xdr:rowOff>228600</xdr:rowOff>
        </xdr:from>
        <xdr:to>
          <xdr:col>1</xdr:col>
          <xdr:colOff>609600</xdr:colOff>
          <xdr:row>72</xdr:row>
          <xdr:rowOff>438150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1200-00001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79</xdr:row>
          <xdr:rowOff>228600</xdr:rowOff>
        </xdr:from>
        <xdr:to>
          <xdr:col>1</xdr:col>
          <xdr:colOff>609600</xdr:colOff>
          <xdr:row>79</xdr:row>
          <xdr:rowOff>438150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1200-00001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81</xdr:row>
          <xdr:rowOff>228600</xdr:rowOff>
        </xdr:from>
        <xdr:to>
          <xdr:col>1</xdr:col>
          <xdr:colOff>609600</xdr:colOff>
          <xdr:row>81</xdr:row>
          <xdr:rowOff>438150</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1200-00001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88</xdr:row>
          <xdr:rowOff>228600</xdr:rowOff>
        </xdr:from>
        <xdr:to>
          <xdr:col>1</xdr:col>
          <xdr:colOff>609600</xdr:colOff>
          <xdr:row>88</xdr:row>
          <xdr:rowOff>438150</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12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90</xdr:row>
          <xdr:rowOff>228600</xdr:rowOff>
        </xdr:from>
        <xdr:to>
          <xdr:col>1</xdr:col>
          <xdr:colOff>609600</xdr:colOff>
          <xdr:row>90</xdr:row>
          <xdr:rowOff>438150</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12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92</xdr:row>
          <xdr:rowOff>228600</xdr:rowOff>
        </xdr:from>
        <xdr:to>
          <xdr:col>1</xdr:col>
          <xdr:colOff>609600</xdr:colOff>
          <xdr:row>92</xdr:row>
          <xdr:rowOff>438150</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12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73</xdr:row>
          <xdr:rowOff>228600</xdr:rowOff>
        </xdr:from>
        <xdr:to>
          <xdr:col>1</xdr:col>
          <xdr:colOff>609600</xdr:colOff>
          <xdr:row>73</xdr:row>
          <xdr:rowOff>438150</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1200-00001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201084</xdr:colOff>
      <xdr:row>0</xdr:row>
      <xdr:rowOff>87842</xdr:rowOff>
    </xdr:from>
    <xdr:to>
      <xdr:col>6</xdr:col>
      <xdr:colOff>487892</xdr:colOff>
      <xdr:row>2</xdr:row>
      <xdr:rowOff>582084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084" y="87842"/>
          <a:ext cx="4756150" cy="857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184150</xdr:rowOff>
        </xdr:from>
        <xdr:to>
          <xdr:col>5</xdr:col>
          <xdr:colOff>565150</xdr:colOff>
          <xdr:row>31</xdr:row>
          <xdr:rowOff>381000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02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565150</xdr:colOff>
          <xdr:row>30</xdr:row>
          <xdr:rowOff>393700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02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184150</xdr:rowOff>
        </xdr:from>
        <xdr:to>
          <xdr:col>5</xdr:col>
          <xdr:colOff>565150</xdr:colOff>
          <xdr:row>32</xdr:row>
          <xdr:rowOff>381000</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02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184150</xdr:rowOff>
        </xdr:from>
        <xdr:to>
          <xdr:col>5</xdr:col>
          <xdr:colOff>565150</xdr:colOff>
          <xdr:row>33</xdr:row>
          <xdr:rowOff>381000</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02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184150</xdr:rowOff>
        </xdr:from>
        <xdr:to>
          <xdr:col>5</xdr:col>
          <xdr:colOff>565150</xdr:colOff>
          <xdr:row>34</xdr:row>
          <xdr:rowOff>381000</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02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184150</xdr:rowOff>
        </xdr:from>
        <xdr:to>
          <xdr:col>5</xdr:col>
          <xdr:colOff>565150</xdr:colOff>
          <xdr:row>35</xdr:row>
          <xdr:rowOff>381000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02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184150</xdr:rowOff>
        </xdr:from>
        <xdr:to>
          <xdr:col>5</xdr:col>
          <xdr:colOff>565150</xdr:colOff>
          <xdr:row>37</xdr:row>
          <xdr:rowOff>381000</xdr:rowOff>
        </xdr:to>
        <xdr:sp macro="" textlink="">
          <xdr:nvSpPr>
            <xdr:cNvPr id="81927" name="Check Box 7" hidden="1">
              <a:extLst>
                <a:ext uri="{63B3BB69-23CF-44E3-9099-C40C66FF867C}">
                  <a14:compatExt spid="_x0000_s81927"/>
                </a:ext>
                <a:ext uri="{FF2B5EF4-FFF2-40B4-BE49-F238E27FC236}">
                  <a16:creationId xmlns:a16="http://schemas.microsoft.com/office/drawing/2014/main" id="{00000000-0008-0000-0200-00000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184150</xdr:rowOff>
        </xdr:from>
        <xdr:to>
          <xdr:col>5</xdr:col>
          <xdr:colOff>565150</xdr:colOff>
          <xdr:row>38</xdr:row>
          <xdr:rowOff>381000</xdr:rowOff>
        </xdr:to>
        <xdr:sp macro="" textlink="">
          <xdr:nvSpPr>
            <xdr:cNvPr id="81928" name="Check Box 8" hidden="1">
              <a:extLst>
                <a:ext uri="{63B3BB69-23CF-44E3-9099-C40C66FF867C}">
                  <a14:compatExt spid="_x0000_s81928"/>
                </a:ext>
                <a:ext uri="{FF2B5EF4-FFF2-40B4-BE49-F238E27FC236}">
                  <a16:creationId xmlns:a16="http://schemas.microsoft.com/office/drawing/2014/main" id="{00000000-0008-0000-0200-00000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184150</xdr:rowOff>
        </xdr:from>
        <xdr:to>
          <xdr:col>5</xdr:col>
          <xdr:colOff>565150</xdr:colOff>
          <xdr:row>39</xdr:row>
          <xdr:rowOff>381000</xdr:rowOff>
        </xdr:to>
        <xdr:sp macro="" textlink="">
          <xdr:nvSpPr>
            <xdr:cNvPr id="81929" name="Check Box 9" hidden="1">
              <a:extLst>
                <a:ext uri="{63B3BB69-23CF-44E3-9099-C40C66FF867C}">
                  <a14:compatExt spid="_x0000_s81929"/>
                </a:ext>
                <a:ext uri="{FF2B5EF4-FFF2-40B4-BE49-F238E27FC236}">
                  <a16:creationId xmlns:a16="http://schemas.microsoft.com/office/drawing/2014/main" id="{00000000-0008-0000-02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184150</xdr:rowOff>
        </xdr:from>
        <xdr:to>
          <xdr:col>5</xdr:col>
          <xdr:colOff>565150</xdr:colOff>
          <xdr:row>41</xdr:row>
          <xdr:rowOff>381000</xdr:rowOff>
        </xdr:to>
        <xdr:sp macro="" textlink="">
          <xdr:nvSpPr>
            <xdr:cNvPr id="81930" name="Check Box 10" hidden="1">
              <a:extLst>
                <a:ext uri="{63B3BB69-23CF-44E3-9099-C40C66FF867C}">
                  <a14:compatExt spid="_x0000_s81930"/>
                </a:ext>
                <a:ext uri="{FF2B5EF4-FFF2-40B4-BE49-F238E27FC236}">
                  <a16:creationId xmlns:a16="http://schemas.microsoft.com/office/drawing/2014/main" id="{00000000-0008-0000-02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184150</xdr:rowOff>
        </xdr:from>
        <xdr:to>
          <xdr:col>5</xdr:col>
          <xdr:colOff>565150</xdr:colOff>
          <xdr:row>42</xdr:row>
          <xdr:rowOff>381000</xdr:rowOff>
        </xdr:to>
        <xdr:sp macro="" textlink="">
          <xdr:nvSpPr>
            <xdr:cNvPr id="81931" name="Check Box 11" hidden="1">
              <a:extLst>
                <a:ext uri="{63B3BB69-23CF-44E3-9099-C40C66FF867C}">
                  <a14:compatExt spid="_x0000_s81931"/>
                </a:ext>
                <a:ext uri="{FF2B5EF4-FFF2-40B4-BE49-F238E27FC236}">
                  <a16:creationId xmlns:a16="http://schemas.microsoft.com/office/drawing/2014/main" id="{00000000-0008-0000-0200-00000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184150</xdr:rowOff>
        </xdr:from>
        <xdr:to>
          <xdr:col>5</xdr:col>
          <xdr:colOff>565150</xdr:colOff>
          <xdr:row>43</xdr:row>
          <xdr:rowOff>381000</xdr:rowOff>
        </xdr:to>
        <xdr:sp macro="" textlink="">
          <xdr:nvSpPr>
            <xdr:cNvPr id="81932" name="Check Box 12" hidden="1">
              <a:extLst>
                <a:ext uri="{63B3BB69-23CF-44E3-9099-C40C66FF867C}">
                  <a14:compatExt spid="_x0000_s81932"/>
                </a:ext>
                <a:ext uri="{FF2B5EF4-FFF2-40B4-BE49-F238E27FC236}">
                  <a16:creationId xmlns:a16="http://schemas.microsoft.com/office/drawing/2014/main" id="{00000000-0008-0000-0200-00000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184150</xdr:rowOff>
        </xdr:from>
        <xdr:to>
          <xdr:col>5</xdr:col>
          <xdr:colOff>565150</xdr:colOff>
          <xdr:row>44</xdr:row>
          <xdr:rowOff>381000</xdr:rowOff>
        </xdr:to>
        <xdr:sp macro="" textlink="">
          <xdr:nvSpPr>
            <xdr:cNvPr id="81933" name="Check Box 13" hidden="1">
              <a:extLst>
                <a:ext uri="{63B3BB69-23CF-44E3-9099-C40C66FF867C}">
                  <a14:compatExt spid="_x0000_s81933"/>
                </a:ext>
                <a:ext uri="{FF2B5EF4-FFF2-40B4-BE49-F238E27FC236}">
                  <a16:creationId xmlns:a16="http://schemas.microsoft.com/office/drawing/2014/main" id="{00000000-0008-0000-0200-00000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184150</xdr:rowOff>
        </xdr:from>
        <xdr:to>
          <xdr:col>5</xdr:col>
          <xdr:colOff>565150</xdr:colOff>
          <xdr:row>45</xdr:row>
          <xdr:rowOff>381000</xdr:rowOff>
        </xdr:to>
        <xdr:sp macro="" textlink="">
          <xdr:nvSpPr>
            <xdr:cNvPr id="81934" name="Check Box 14" hidden="1">
              <a:extLst>
                <a:ext uri="{63B3BB69-23CF-44E3-9099-C40C66FF867C}">
                  <a14:compatExt spid="_x0000_s81934"/>
                </a:ext>
                <a:ext uri="{FF2B5EF4-FFF2-40B4-BE49-F238E27FC236}">
                  <a16:creationId xmlns:a16="http://schemas.microsoft.com/office/drawing/2014/main" id="{00000000-0008-0000-02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184150</xdr:rowOff>
        </xdr:from>
        <xdr:to>
          <xdr:col>5</xdr:col>
          <xdr:colOff>565150</xdr:colOff>
          <xdr:row>46</xdr:row>
          <xdr:rowOff>381000</xdr:rowOff>
        </xdr:to>
        <xdr:sp macro="" textlink="">
          <xdr:nvSpPr>
            <xdr:cNvPr id="81935" name="Check Box 15" hidden="1">
              <a:extLst>
                <a:ext uri="{63B3BB69-23CF-44E3-9099-C40C66FF867C}">
                  <a14:compatExt spid="_x0000_s81935"/>
                </a:ext>
                <a:ext uri="{FF2B5EF4-FFF2-40B4-BE49-F238E27FC236}">
                  <a16:creationId xmlns:a16="http://schemas.microsoft.com/office/drawing/2014/main" id="{00000000-0008-0000-02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184150</xdr:rowOff>
        </xdr:from>
        <xdr:to>
          <xdr:col>5</xdr:col>
          <xdr:colOff>565150</xdr:colOff>
          <xdr:row>58</xdr:row>
          <xdr:rowOff>381000</xdr:rowOff>
        </xdr:to>
        <xdr:sp macro="" textlink="">
          <xdr:nvSpPr>
            <xdr:cNvPr id="81936" name="Check Box 16" hidden="1">
              <a:extLst>
                <a:ext uri="{63B3BB69-23CF-44E3-9099-C40C66FF867C}">
                  <a14:compatExt spid="_x0000_s81936"/>
                </a:ext>
                <a:ext uri="{FF2B5EF4-FFF2-40B4-BE49-F238E27FC236}">
                  <a16:creationId xmlns:a16="http://schemas.microsoft.com/office/drawing/2014/main" id="{00000000-0008-0000-0200-00001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184150</xdr:rowOff>
        </xdr:from>
        <xdr:to>
          <xdr:col>5</xdr:col>
          <xdr:colOff>565150</xdr:colOff>
          <xdr:row>59</xdr:row>
          <xdr:rowOff>381000</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02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184150</xdr:rowOff>
        </xdr:from>
        <xdr:to>
          <xdr:col>5</xdr:col>
          <xdr:colOff>565150</xdr:colOff>
          <xdr:row>69</xdr:row>
          <xdr:rowOff>381000</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02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184150</xdr:rowOff>
        </xdr:from>
        <xdr:to>
          <xdr:col>5</xdr:col>
          <xdr:colOff>565150</xdr:colOff>
          <xdr:row>70</xdr:row>
          <xdr:rowOff>381000</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02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184150</xdr:rowOff>
        </xdr:from>
        <xdr:to>
          <xdr:col>5</xdr:col>
          <xdr:colOff>565150</xdr:colOff>
          <xdr:row>92</xdr:row>
          <xdr:rowOff>381000</xdr:rowOff>
        </xdr:to>
        <xdr:sp macro="" textlink="">
          <xdr:nvSpPr>
            <xdr:cNvPr id="81940" name="Check Box 20" hidden="1">
              <a:extLst>
                <a:ext uri="{63B3BB69-23CF-44E3-9099-C40C66FF867C}">
                  <a14:compatExt spid="_x0000_s81940"/>
                </a:ext>
                <a:ext uri="{FF2B5EF4-FFF2-40B4-BE49-F238E27FC236}">
                  <a16:creationId xmlns:a16="http://schemas.microsoft.com/office/drawing/2014/main" id="{00000000-0008-0000-0200-00001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184150</xdr:rowOff>
        </xdr:from>
        <xdr:to>
          <xdr:col>5</xdr:col>
          <xdr:colOff>565150</xdr:colOff>
          <xdr:row>80</xdr:row>
          <xdr:rowOff>381000</xdr:rowOff>
        </xdr:to>
        <xdr:sp macro="" textlink="">
          <xdr:nvSpPr>
            <xdr:cNvPr id="81941" name="Check Box 21" hidden="1">
              <a:extLst>
                <a:ext uri="{63B3BB69-23CF-44E3-9099-C40C66FF867C}">
                  <a14:compatExt spid="_x0000_s81941"/>
                </a:ext>
                <a:ext uri="{FF2B5EF4-FFF2-40B4-BE49-F238E27FC236}">
                  <a16:creationId xmlns:a16="http://schemas.microsoft.com/office/drawing/2014/main" id="{00000000-0008-0000-0200-00001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184150</xdr:rowOff>
        </xdr:from>
        <xdr:to>
          <xdr:col>5</xdr:col>
          <xdr:colOff>565150</xdr:colOff>
          <xdr:row>81</xdr:row>
          <xdr:rowOff>381000</xdr:rowOff>
        </xdr:to>
        <xdr:sp macro="" textlink="">
          <xdr:nvSpPr>
            <xdr:cNvPr id="81942" name="Check Box 22" hidden="1">
              <a:extLst>
                <a:ext uri="{63B3BB69-23CF-44E3-9099-C40C66FF867C}">
                  <a14:compatExt spid="_x0000_s81942"/>
                </a:ext>
                <a:ext uri="{FF2B5EF4-FFF2-40B4-BE49-F238E27FC236}">
                  <a16:creationId xmlns:a16="http://schemas.microsoft.com/office/drawing/2014/main" id="{00000000-0008-0000-0200-00001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184150</xdr:rowOff>
        </xdr:from>
        <xdr:to>
          <xdr:col>5</xdr:col>
          <xdr:colOff>565150</xdr:colOff>
          <xdr:row>82</xdr:row>
          <xdr:rowOff>381000</xdr:rowOff>
        </xdr:to>
        <xdr:sp macro="" textlink="">
          <xdr:nvSpPr>
            <xdr:cNvPr id="81943" name="Check Box 23" hidden="1">
              <a:extLst>
                <a:ext uri="{63B3BB69-23CF-44E3-9099-C40C66FF867C}">
                  <a14:compatExt spid="_x0000_s81943"/>
                </a:ext>
                <a:ext uri="{FF2B5EF4-FFF2-40B4-BE49-F238E27FC236}">
                  <a16:creationId xmlns:a16="http://schemas.microsoft.com/office/drawing/2014/main" id="{00000000-0008-0000-0200-00001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565150</xdr:colOff>
          <xdr:row>30</xdr:row>
          <xdr:rowOff>381000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03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184150</xdr:rowOff>
        </xdr:from>
        <xdr:to>
          <xdr:col>5</xdr:col>
          <xdr:colOff>565150</xdr:colOff>
          <xdr:row>29</xdr:row>
          <xdr:rowOff>393700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03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184150</xdr:rowOff>
        </xdr:from>
        <xdr:to>
          <xdr:col>5</xdr:col>
          <xdr:colOff>565150</xdr:colOff>
          <xdr:row>31</xdr:row>
          <xdr:rowOff>381000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03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184150</xdr:rowOff>
        </xdr:from>
        <xdr:to>
          <xdr:col>5</xdr:col>
          <xdr:colOff>565150</xdr:colOff>
          <xdr:row>32</xdr:row>
          <xdr:rowOff>381000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03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184150</xdr:rowOff>
        </xdr:from>
        <xdr:to>
          <xdr:col>5</xdr:col>
          <xdr:colOff>565150</xdr:colOff>
          <xdr:row>33</xdr:row>
          <xdr:rowOff>381000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03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184150</xdr:rowOff>
        </xdr:from>
        <xdr:to>
          <xdr:col>5</xdr:col>
          <xdr:colOff>565150</xdr:colOff>
          <xdr:row>34</xdr:row>
          <xdr:rowOff>381000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03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184150</xdr:rowOff>
        </xdr:from>
        <xdr:to>
          <xdr:col>5</xdr:col>
          <xdr:colOff>565150</xdr:colOff>
          <xdr:row>36</xdr:row>
          <xdr:rowOff>381000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03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184150</xdr:rowOff>
        </xdr:from>
        <xdr:to>
          <xdr:col>5</xdr:col>
          <xdr:colOff>565150</xdr:colOff>
          <xdr:row>37</xdr:row>
          <xdr:rowOff>381000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03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184150</xdr:rowOff>
        </xdr:from>
        <xdr:to>
          <xdr:col>5</xdr:col>
          <xdr:colOff>565150</xdr:colOff>
          <xdr:row>38</xdr:row>
          <xdr:rowOff>381000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03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184150</xdr:rowOff>
        </xdr:from>
        <xdr:to>
          <xdr:col>5</xdr:col>
          <xdr:colOff>565150</xdr:colOff>
          <xdr:row>40</xdr:row>
          <xdr:rowOff>381000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03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184150</xdr:rowOff>
        </xdr:from>
        <xdr:to>
          <xdr:col>5</xdr:col>
          <xdr:colOff>565150</xdr:colOff>
          <xdr:row>41</xdr:row>
          <xdr:rowOff>381000</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03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184150</xdr:rowOff>
        </xdr:from>
        <xdr:to>
          <xdr:col>5</xdr:col>
          <xdr:colOff>565150</xdr:colOff>
          <xdr:row>42</xdr:row>
          <xdr:rowOff>381000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03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184150</xdr:rowOff>
        </xdr:from>
        <xdr:to>
          <xdr:col>5</xdr:col>
          <xdr:colOff>565150</xdr:colOff>
          <xdr:row>43</xdr:row>
          <xdr:rowOff>381000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03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184150</xdr:rowOff>
        </xdr:from>
        <xdr:to>
          <xdr:col>5</xdr:col>
          <xdr:colOff>565150</xdr:colOff>
          <xdr:row>44</xdr:row>
          <xdr:rowOff>381000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03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184150</xdr:rowOff>
        </xdr:from>
        <xdr:to>
          <xdr:col>5</xdr:col>
          <xdr:colOff>565150</xdr:colOff>
          <xdr:row>45</xdr:row>
          <xdr:rowOff>381000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03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184150</xdr:rowOff>
        </xdr:from>
        <xdr:to>
          <xdr:col>5</xdr:col>
          <xdr:colOff>565150</xdr:colOff>
          <xdr:row>58</xdr:row>
          <xdr:rowOff>381000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03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184150</xdr:rowOff>
        </xdr:from>
        <xdr:to>
          <xdr:col>5</xdr:col>
          <xdr:colOff>565150</xdr:colOff>
          <xdr:row>69</xdr:row>
          <xdr:rowOff>381000</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03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184150</xdr:rowOff>
        </xdr:from>
        <xdr:to>
          <xdr:col>5</xdr:col>
          <xdr:colOff>565150</xdr:colOff>
          <xdr:row>70</xdr:row>
          <xdr:rowOff>381000</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03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184150</xdr:rowOff>
        </xdr:from>
        <xdr:to>
          <xdr:col>5</xdr:col>
          <xdr:colOff>565150</xdr:colOff>
          <xdr:row>91</xdr:row>
          <xdr:rowOff>381000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03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184150</xdr:rowOff>
        </xdr:from>
        <xdr:to>
          <xdr:col>5</xdr:col>
          <xdr:colOff>565150</xdr:colOff>
          <xdr:row>78</xdr:row>
          <xdr:rowOff>381000</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03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184150</xdr:rowOff>
        </xdr:from>
        <xdr:to>
          <xdr:col>5</xdr:col>
          <xdr:colOff>565150</xdr:colOff>
          <xdr:row>79</xdr:row>
          <xdr:rowOff>381000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3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184150</xdr:rowOff>
        </xdr:from>
        <xdr:to>
          <xdr:col>5</xdr:col>
          <xdr:colOff>565150</xdr:colOff>
          <xdr:row>80</xdr:row>
          <xdr:rowOff>381000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03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184150</xdr:rowOff>
        </xdr:from>
        <xdr:to>
          <xdr:col>5</xdr:col>
          <xdr:colOff>565150</xdr:colOff>
          <xdr:row>59</xdr:row>
          <xdr:rowOff>381000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03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171450</xdr:rowOff>
        </xdr:from>
        <xdr:to>
          <xdr:col>5</xdr:col>
          <xdr:colOff>552450</xdr:colOff>
          <xdr:row>31</xdr:row>
          <xdr:rowOff>381000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184150</xdr:rowOff>
        </xdr:from>
        <xdr:to>
          <xdr:col>5</xdr:col>
          <xdr:colOff>552450</xdr:colOff>
          <xdr:row>30</xdr:row>
          <xdr:rowOff>393700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171450</xdr:rowOff>
        </xdr:from>
        <xdr:to>
          <xdr:col>5</xdr:col>
          <xdr:colOff>552450</xdr:colOff>
          <xdr:row>32</xdr:row>
          <xdr:rowOff>381000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171450</xdr:rowOff>
        </xdr:from>
        <xdr:to>
          <xdr:col>5</xdr:col>
          <xdr:colOff>552450</xdr:colOff>
          <xdr:row>33</xdr:row>
          <xdr:rowOff>381000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171450</xdr:rowOff>
        </xdr:from>
        <xdr:to>
          <xdr:col>5</xdr:col>
          <xdr:colOff>552450</xdr:colOff>
          <xdr:row>34</xdr:row>
          <xdr:rowOff>381000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171450</xdr:rowOff>
        </xdr:from>
        <xdr:to>
          <xdr:col>5</xdr:col>
          <xdr:colOff>552450</xdr:colOff>
          <xdr:row>35</xdr:row>
          <xdr:rowOff>381000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171450</xdr:rowOff>
        </xdr:from>
        <xdr:to>
          <xdr:col>5</xdr:col>
          <xdr:colOff>552450</xdr:colOff>
          <xdr:row>37</xdr:row>
          <xdr:rowOff>381000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171450</xdr:rowOff>
        </xdr:from>
        <xdr:to>
          <xdr:col>5</xdr:col>
          <xdr:colOff>552450</xdr:colOff>
          <xdr:row>38</xdr:row>
          <xdr:rowOff>381000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4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171450</xdr:rowOff>
        </xdr:from>
        <xdr:to>
          <xdr:col>5</xdr:col>
          <xdr:colOff>552450</xdr:colOff>
          <xdr:row>39</xdr:row>
          <xdr:rowOff>381000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4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171450</xdr:rowOff>
        </xdr:from>
        <xdr:to>
          <xdr:col>5</xdr:col>
          <xdr:colOff>552450</xdr:colOff>
          <xdr:row>41</xdr:row>
          <xdr:rowOff>381000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4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171450</xdr:rowOff>
        </xdr:from>
        <xdr:to>
          <xdr:col>5</xdr:col>
          <xdr:colOff>552450</xdr:colOff>
          <xdr:row>42</xdr:row>
          <xdr:rowOff>381000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4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171450</xdr:rowOff>
        </xdr:from>
        <xdr:to>
          <xdr:col>5</xdr:col>
          <xdr:colOff>552450</xdr:colOff>
          <xdr:row>43</xdr:row>
          <xdr:rowOff>381000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4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171450</xdr:rowOff>
        </xdr:from>
        <xdr:to>
          <xdr:col>5</xdr:col>
          <xdr:colOff>552450</xdr:colOff>
          <xdr:row>44</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4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171450</xdr:rowOff>
        </xdr:from>
        <xdr:to>
          <xdr:col>5</xdr:col>
          <xdr:colOff>552450</xdr:colOff>
          <xdr:row>45</xdr:row>
          <xdr:rowOff>381000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4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171450</xdr:rowOff>
        </xdr:from>
        <xdr:to>
          <xdr:col>5</xdr:col>
          <xdr:colOff>552450</xdr:colOff>
          <xdr:row>46</xdr:row>
          <xdr:rowOff>381000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4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171450</xdr:rowOff>
        </xdr:from>
        <xdr:to>
          <xdr:col>5</xdr:col>
          <xdr:colOff>565150</xdr:colOff>
          <xdr:row>59</xdr:row>
          <xdr:rowOff>381000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4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171450</xdr:rowOff>
        </xdr:from>
        <xdr:to>
          <xdr:col>5</xdr:col>
          <xdr:colOff>565150</xdr:colOff>
          <xdr:row>60</xdr:row>
          <xdr:rowOff>381000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4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171450</xdr:rowOff>
        </xdr:from>
        <xdr:to>
          <xdr:col>5</xdr:col>
          <xdr:colOff>552450</xdr:colOff>
          <xdr:row>70</xdr:row>
          <xdr:rowOff>381000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4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171450</xdr:rowOff>
        </xdr:from>
        <xdr:to>
          <xdr:col>5</xdr:col>
          <xdr:colOff>552450</xdr:colOff>
          <xdr:row>71</xdr:row>
          <xdr:rowOff>381000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4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171450</xdr:rowOff>
        </xdr:from>
        <xdr:to>
          <xdr:col>5</xdr:col>
          <xdr:colOff>552450</xdr:colOff>
          <xdr:row>98</xdr:row>
          <xdr:rowOff>381000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04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171450</xdr:rowOff>
        </xdr:from>
        <xdr:to>
          <xdr:col>5</xdr:col>
          <xdr:colOff>552450</xdr:colOff>
          <xdr:row>85</xdr:row>
          <xdr:rowOff>381000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04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171450</xdr:rowOff>
        </xdr:from>
        <xdr:to>
          <xdr:col>5</xdr:col>
          <xdr:colOff>552450</xdr:colOff>
          <xdr:row>86</xdr:row>
          <xdr:rowOff>381000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4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171450</xdr:rowOff>
        </xdr:from>
        <xdr:to>
          <xdr:col>5</xdr:col>
          <xdr:colOff>552450</xdr:colOff>
          <xdr:row>87</xdr:row>
          <xdr:rowOff>381000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4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37</xdr:row>
          <xdr:rowOff>171450</xdr:rowOff>
        </xdr:from>
        <xdr:to>
          <xdr:col>4</xdr:col>
          <xdr:colOff>38100</xdr:colOff>
          <xdr:row>37</xdr:row>
          <xdr:rowOff>381000</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39</xdr:row>
          <xdr:rowOff>171450</xdr:rowOff>
        </xdr:from>
        <xdr:to>
          <xdr:col>4</xdr:col>
          <xdr:colOff>38100</xdr:colOff>
          <xdr:row>39</xdr:row>
          <xdr:rowOff>381000</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5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12700</xdr:colOff>
          <xdr:row>40</xdr:row>
          <xdr:rowOff>381000</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5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45</xdr:row>
          <xdr:rowOff>133350</xdr:rowOff>
        </xdr:from>
        <xdr:to>
          <xdr:col>4</xdr:col>
          <xdr:colOff>6350</xdr:colOff>
          <xdr:row>45</xdr:row>
          <xdr:rowOff>342900</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5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82</xdr:row>
          <xdr:rowOff>171450</xdr:rowOff>
        </xdr:from>
        <xdr:to>
          <xdr:col>4</xdr:col>
          <xdr:colOff>31750</xdr:colOff>
          <xdr:row>82</xdr:row>
          <xdr:rowOff>381000</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5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100</xdr:row>
          <xdr:rowOff>171450</xdr:rowOff>
        </xdr:from>
        <xdr:to>
          <xdr:col>4</xdr:col>
          <xdr:colOff>31750</xdr:colOff>
          <xdr:row>100</xdr:row>
          <xdr:rowOff>381000</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05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99</xdr:row>
          <xdr:rowOff>171450</xdr:rowOff>
        </xdr:from>
        <xdr:to>
          <xdr:col>4</xdr:col>
          <xdr:colOff>31750</xdr:colOff>
          <xdr:row>99</xdr:row>
          <xdr:rowOff>381000</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05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101</xdr:row>
          <xdr:rowOff>171450</xdr:rowOff>
        </xdr:from>
        <xdr:to>
          <xdr:col>4</xdr:col>
          <xdr:colOff>31750</xdr:colOff>
          <xdr:row>101</xdr:row>
          <xdr:rowOff>381000</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05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73</xdr:row>
          <xdr:rowOff>171450</xdr:rowOff>
        </xdr:from>
        <xdr:to>
          <xdr:col>4</xdr:col>
          <xdr:colOff>31750</xdr:colOff>
          <xdr:row>73</xdr:row>
          <xdr:rowOff>381000</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05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74</xdr:row>
          <xdr:rowOff>171450</xdr:rowOff>
        </xdr:from>
        <xdr:to>
          <xdr:col>4</xdr:col>
          <xdr:colOff>31750</xdr:colOff>
          <xdr:row>74</xdr:row>
          <xdr:rowOff>381000</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05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75</xdr:row>
          <xdr:rowOff>171450</xdr:rowOff>
        </xdr:from>
        <xdr:to>
          <xdr:col>4</xdr:col>
          <xdr:colOff>31750</xdr:colOff>
          <xdr:row>75</xdr:row>
          <xdr:rowOff>381000</xdr:rowOff>
        </xdr:to>
        <xdr:sp macro="" textlink="">
          <xdr:nvSpPr>
            <xdr:cNvPr id="97291" name="Check Box 11" hidden="1">
              <a:extLst>
                <a:ext uri="{63B3BB69-23CF-44E3-9099-C40C66FF867C}">
                  <a14:compatExt spid="_x0000_s97291"/>
                </a:ext>
                <a:ext uri="{FF2B5EF4-FFF2-40B4-BE49-F238E27FC236}">
                  <a16:creationId xmlns:a16="http://schemas.microsoft.com/office/drawing/2014/main" id="{00000000-0008-0000-0500-00000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83</xdr:row>
          <xdr:rowOff>171450</xdr:rowOff>
        </xdr:from>
        <xdr:to>
          <xdr:col>4</xdr:col>
          <xdr:colOff>31750</xdr:colOff>
          <xdr:row>83</xdr:row>
          <xdr:rowOff>381000</xdr:rowOff>
        </xdr:to>
        <xdr:sp macro="" textlink="">
          <xdr:nvSpPr>
            <xdr:cNvPr id="97292" name="Check Box 12" hidden="1">
              <a:extLst>
                <a:ext uri="{63B3BB69-23CF-44E3-9099-C40C66FF867C}">
                  <a14:compatExt spid="_x0000_s97292"/>
                </a:ext>
                <a:ext uri="{FF2B5EF4-FFF2-40B4-BE49-F238E27FC236}">
                  <a16:creationId xmlns:a16="http://schemas.microsoft.com/office/drawing/2014/main" id="{00000000-0008-0000-0500-00000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66</xdr:row>
          <xdr:rowOff>171450</xdr:rowOff>
        </xdr:from>
        <xdr:to>
          <xdr:col>4</xdr:col>
          <xdr:colOff>31750</xdr:colOff>
          <xdr:row>66</xdr:row>
          <xdr:rowOff>381000</xdr:rowOff>
        </xdr:to>
        <xdr:sp macro="" textlink="">
          <xdr:nvSpPr>
            <xdr:cNvPr id="97293" name="Check Box 13" hidden="1">
              <a:extLst>
                <a:ext uri="{63B3BB69-23CF-44E3-9099-C40C66FF867C}">
                  <a14:compatExt spid="_x0000_s97293"/>
                </a:ext>
                <a:ext uri="{FF2B5EF4-FFF2-40B4-BE49-F238E27FC236}">
                  <a16:creationId xmlns:a16="http://schemas.microsoft.com/office/drawing/2014/main" id="{00000000-0008-0000-05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28</xdr:row>
          <xdr:rowOff>171450</xdr:rowOff>
        </xdr:from>
        <xdr:to>
          <xdr:col>4</xdr:col>
          <xdr:colOff>38100</xdr:colOff>
          <xdr:row>28</xdr:row>
          <xdr:rowOff>381000</xdr:rowOff>
        </xdr:to>
        <xdr:sp macro="" textlink="">
          <xdr:nvSpPr>
            <xdr:cNvPr id="97294" name="Check Box 14" hidden="1">
              <a:extLst>
                <a:ext uri="{63B3BB69-23CF-44E3-9099-C40C66FF867C}">
                  <a14:compatExt spid="_x0000_s97294"/>
                </a:ext>
                <a:ext uri="{FF2B5EF4-FFF2-40B4-BE49-F238E27FC236}">
                  <a16:creationId xmlns:a16="http://schemas.microsoft.com/office/drawing/2014/main" id="{00000000-0008-0000-0500-00000E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29</xdr:row>
          <xdr:rowOff>171450</xdr:rowOff>
        </xdr:from>
        <xdr:to>
          <xdr:col>4</xdr:col>
          <xdr:colOff>38100</xdr:colOff>
          <xdr:row>29</xdr:row>
          <xdr:rowOff>381000</xdr:rowOff>
        </xdr:to>
        <xdr:sp macro="" textlink="">
          <xdr:nvSpPr>
            <xdr:cNvPr id="97295" name="Check Box 15" hidden="1">
              <a:extLst>
                <a:ext uri="{63B3BB69-23CF-44E3-9099-C40C66FF867C}">
                  <a14:compatExt spid="_x0000_s97295"/>
                </a:ext>
                <a:ext uri="{FF2B5EF4-FFF2-40B4-BE49-F238E27FC236}">
                  <a16:creationId xmlns:a16="http://schemas.microsoft.com/office/drawing/2014/main" id="{00000000-0008-0000-0500-00000F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30</xdr:row>
          <xdr:rowOff>171450</xdr:rowOff>
        </xdr:from>
        <xdr:to>
          <xdr:col>4</xdr:col>
          <xdr:colOff>38100</xdr:colOff>
          <xdr:row>30</xdr:row>
          <xdr:rowOff>381000</xdr:rowOff>
        </xdr:to>
        <xdr:sp macro="" textlink="">
          <xdr:nvSpPr>
            <xdr:cNvPr id="97296" name="Check Box 16" hidden="1">
              <a:extLst>
                <a:ext uri="{63B3BB69-23CF-44E3-9099-C40C66FF867C}">
                  <a14:compatExt spid="_x0000_s97296"/>
                </a:ext>
                <a:ext uri="{FF2B5EF4-FFF2-40B4-BE49-F238E27FC236}">
                  <a16:creationId xmlns:a16="http://schemas.microsoft.com/office/drawing/2014/main" id="{00000000-0008-0000-0500-000010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xdr:row>
          <xdr:rowOff>171450</xdr:rowOff>
        </xdr:from>
        <xdr:to>
          <xdr:col>4</xdr:col>
          <xdr:colOff>38100</xdr:colOff>
          <xdr:row>31</xdr:row>
          <xdr:rowOff>381000</xdr:rowOff>
        </xdr:to>
        <xdr:sp macro="" textlink="">
          <xdr:nvSpPr>
            <xdr:cNvPr id="97297" name="Check Box 17" hidden="1">
              <a:extLst>
                <a:ext uri="{63B3BB69-23CF-44E3-9099-C40C66FF867C}">
                  <a14:compatExt spid="_x0000_s97297"/>
                </a:ext>
                <a:ext uri="{FF2B5EF4-FFF2-40B4-BE49-F238E27FC236}">
                  <a16:creationId xmlns:a16="http://schemas.microsoft.com/office/drawing/2014/main" id="{00000000-0008-0000-0500-00001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32</xdr:row>
          <xdr:rowOff>171450</xdr:rowOff>
        </xdr:from>
        <xdr:to>
          <xdr:col>4</xdr:col>
          <xdr:colOff>38100</xdr:colOff>
          <xdr:row>32</xdr:row>
          <xdr:rowOff>381000</xdr:rowOff>
        </xdr:to>
        <xdr:sp macro="" textlink="">
          <xdr:nvSpPr>
            <xdr:cNvPr id="97298" name="Check Box 18" hidden="1">
              <a:extLst>
                <a:ext uri="{63B3BB69-23CF-44E3-9099-C40C66FF867C}">
                  <a14:compatExt spid="_x0000_s97298"/>
                </a:ext>
                <a:ext uri="{FF2B5EF4-FFF2-40B4-BE49-F238E27FC236}">
                  <a16:creationId xmlns:a16="http://schemas.microsoft.com/office/drawing/2014/main" id="{00000000-0008-0000-0500-00001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33</xdr:row>
          <xdr:rowOff>171450</xdr:rowOff>
        </xdr:from>
        <xdr:to>
          <xdr:col>4</xdr:col>
          <xdr:colOff>38100</xdr:colOff>
          <xdr:row>33</xdr:row>
          <xdr:rowOff>381000</xdr:rowOff>
        </xdr:to>
        <xdr:sp macro="" textlink="">
          <xdr:nvSpPr>
            <xdr:cNvPr id="97299" name="Check Box 19" hidden="1">
              <a:extLst>
                <a:ext uri="{63B3BB69-23CF-44E3-9099-C40C66FF867C}">
                  <a14:compatExt spid="_x0000_s97299"/>
                </a:ext>
                <a:ext uri="{FF2B5EF4-FFF2-40B4-BE49-F238E27FC236}">
                  <a16:creationId xmlns:a16="http://schemas.microsoft.com/office/drawing/2014/main" id="{00000000-0008-0000-0500-00001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35</xdr:row>
          <xdr:rowOff>171450</xdr:rowOff>
        </xdr:from>
        <xdr:to>
          <xdr:col>4</xdr:col>
          <xdr:colOff>38100</xdr:colOff>
          <xdr:row>35</xdr:row>
          <xdr:rowOff>381000</xdr:rowOff>
        </xdr:to>
        <xdr:sp macro="" textlink="">
          <xdr:nvSpPr>
            <xdr:cNvPr id="97300" name="Check Box 20" hidden="1">
              <a:extLst>
                <a:ext uri="{63B3BB69-23CF-44E3-9099-C40C66FF867C}">
                  <a14:compatExt spid="_x0000_s97300"/>
                </a:ext>
                <a:ext uri="{FF2B5EF4-FFF2-40B4-BE49-F238E27FC236}">
                  <a16:creationId xmlns:a16="http://schemas.microsoft.com/office/drawing/2014/main" id="{00000000-0008-0000-0500-00001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36</xdr:row>
          <xdr:rowOff>171450</xdr:rowOff>
        </xdr:from>
        <xdr:to>
          <xdr:col>4</xdr:col>
          <xdr:colOff>38100</xdr:colOff>
          <xdr:row>36</xdr:row>
          <xdr:rowOff>381000</xdr:rowOff>
        </xdr:to>
        <xdr:sp macro="" textlink="">
          <xdr:nvSpPr>
            <xdr:cNvPr id="97301" name="Check Box 21" hidden="1">
              <a:extLst>
                <a:ext uri="{63B3BB69-23CF-44E3-9099-C40C66FF867C}">
                  <a14:compatExt spid="_x0000_s97301"/>
                </a:ext>
                <a:ext uri="{FF2B5EF4-FFF2-40B4-BE49-F238E27FC236}">
                  <a16:creationId xmlns:a16="http://schemas.microsoft.com/office/drawing/2014/main" id="{00000000-0008-0000-0500-00001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38100</xdr:colOff>
          <xdr:row>41</xdr:row>
          <xdr:rowOff>381000</xdr:rowOff>
        </xdr:to>
        <xdr:sp macro="" textlink="">
          <xdr:nvSpPr>
            <xdr:cNvPr id="97302" name="Check Box 22" hidden="1">
              <a:extLst>
                <a:ext uri="{63B3BB69-23CF-44E3-9099-C40C66FF867C}">
                  <a14:compatExt spid="_x0000_s97302"/>
                </a:ext>
                <a:ext uri="{FF2B5EF4-FFF2-40B4-BE49-F238E27FC236}">
                  <a16:creationId xmlns:a16="http://schemas.microsoft.com/office/drawing/2014/main" id="{00000000-0008-0000-0500-00001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42</xdr:row>
          <xdr:rowOff>171450</xdr:rowOff>
        </xdr:from>
        <xdr:to>
          <xdr:col>4</xdr:col>
          <xdr:colOff>38100</xdr:colOff>
          <xdr:row>42</xdr:row>
          <xdr:rowOff>381000</xdr:rowOff>
        </xdr:to>
        <xdr:sp macro="" textlink="">
          <xdr:nvSpPr>
            <xdr:cNvPr id="97303" name="Check Box 23" hidden="1">
              <a:extLst>
                <a:ext uri="{63B3BB69-23CF-44E3-9099-C40C66FF867C}">
                  <a14:compatExt spid="_x0000_s97303"/>
                </a:ext>
                <a:ext uri="{FF2B5EF4-FFF2-40B4-BE49-F238E27FC236}">
                  <a16:creationId xmlns:a16="http://schemas.microsoft.com/office/drawing/2014/main" id="{00000000-0008-0000-0500-00001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43</xdr:row>
          <xdr:rowOff>171450</xdr:rowOff>
        </xdr:from>
        <xdr:to>
          <xdr:col>4</xdr:col>
          <xdr:colOff>38100</xdr:colOff>
          <xdr:row>43</xdr:row>
          <xdr:rowOff>381000</xdr:rowOff>
        </xdr:to>
        <xdr:sp macro="" textlink="">
          <xdr:nvSpPr>
            <xdr:cNvPr id="97304" name="Check Box 24" hidden="1">
              <a:extLst>
                <a:ext uri="{63B3BB69-23CF-44E3-9099-C40C66FF867C}">
                  <a14:compatExt spid="_x0000_s97304"/>
                </a:ext>
                <a:ext uri="{FF2B5EF4-FFF2-40B4-BE49-F238E27FC236}">
                  <a16:creationId xmlns:a16="http://schemas.microsoft.com/office/drawing/2014/main" id="{00000000-0008-0000-0500-00001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54</xdr:row>
          <xdr:rowOff>133350</xdr:rowOff>
        </xdr:from>
        <xdr:to>
          <xdr:col>4</xdr:col>
          <xdr:colOff>0</xdr:colOff>
          <xdr:row>54</xdr:row>
          <xdr:rowOff>342900</xdr:rowOff>
        </xdr:to>
        <xdr:sp macro="" textlink="">
          <xdr:nvSpPr>
            <xdr:cNvPr id="97305" name="Check Box 25" hidden="1">
              <a:extLst>
                <a:ext uri="{63B3BB69-23CF-44E3-9099-C40C66FF867C}">
                  <a14:compatExt spid="_x0000_s97305"/>
                </a:ext>
                <a:ext uri="{FF2B5EF4-FFF2-40B4-BE49-F238E27FC236}">
                  <a16:creationId xmlns:a16="http://schemas.microsoft.com/office/drawing/2014/main" id="{00000000-0008-0000-0500-00001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133350</xdr:rowOff>
        </xdr:from>
        <xdr:to>
          <xdr:col>4</xdr:col>
          <xdr:colOff>0</xdr:colOff>
          <xdr:row>59</xdr:row>
          <xdr:rowOff>342900</xdr:rowOff>
        </xdr:to>
        <xdr:sp macro="" textlink="">
          <xdr:nvSpPr>
            <xdr:cNvPr id="97306" name="Check Box 26" hidden="1">
              <a:extLst>
                <a:ext uri="{63B3BB69-23CF-44E3-9099-C40C66FF867C}">
                  <a14:compatExt spid="_x0000_s97306"/>
                </a:ext>
                <a:ext uri="{FF2B5EF4-FFF2-40B4-BE49-F238E27FC236}">
                  <a16:creationId xmlns:a16="http://schemas.microsoft.com/office/drawing/2014/main" id="{00000000-0008-0000-0500-00001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133350</xdr:rowOff>
        </xdr:from>
        <xdr:to>
          <xdr:col>4</xdr:col>
          <xdr:colOff>0</xdr:colOff>
          <xdr:row>56</xdr:row>
          <xdr:rowOff>342900</xdr:rowOff>
        </xdr:to>
        <xdr:sp macro="" textlink="">
          <xdr:nvSpPr>
            <xdr:cNvPr id="97307" name="Check Box 27" hidden="1">
              <a:extLst>
                <a:ext uri="{63B3BB69-23CF-44E3-9099-C40C66FF867C}">
                  <a14:compatExt spid="_x0000_s97307"/>
                </a:ext>
                <a:ext uri="{FF2B5EF4-FFF2-40B4-BE49-F238E27FC236}">
                  <a16:creationId xmlns:a16="http://schemas.microsoft.com/office/drawing/2014/main" id="{00000000-0008-0000-0500-00001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57</xdr:row>
          <xdr:rowOff>133350</xdr:rowOff>
        </xdr:from>
        <xdr:to>
          <xdr:col>4</xdr:col>
          <xdr:colOff>0</xdr:colOff>
          <xdr:row>57</xdr:row>
          <xdr:rowOff>342900</xdr:rowOff>
        </xdr:to>
        <xdr:sp macro="" textlink="">
          <xdr:nvSpPr>
            <xdr:cNvPr id="97308" name="Check Box 28" hidden="1">
              <a:extLst>
                <a:ext uri="{63B3BB69-23CF-44E3-9099-C40C66FF867C}">
                  <a14:compatExt spid="_x0000_s97308"/>
                </a:ext>
                <a:ext uri="{FF2B5EF4-FFF2-40B4-BE49-F238E27FC236}">
                  <a16:creationId xmlns:a16="http://schemas.microsoft.com/office/drawing/2014/main" id="{00000000-0008-0000-0500-00001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133350</xdr:rowOff>
        </xdr:from>
        <xdr:to>
          <xdr:col>4</xdr:col>
          <xdr:colOff>0</xdr:colOff>
          <xdr:row>58</xdr:row>
          <xdr:rowOff>342900</xdr:rowOff>
        </xdr:to>
        <xdr:sp macro="" textlink="">
          <xdr:nvSpPr>
            <xdr:cNvPr id="97309" name="Check Box 29" hidden="1">
              <a:extLst>
                <a:ext uri="{63B3BB69-23CF-44E3-9099-C40C66FF867C}">
                  <a14:compatExt spid="_x0000_s97309"/>
                </a:ext>
                <a:ext uri="{FF2B5EF4-FFF2-40B4-BE49-F238E27FC236}">
                  <a16:creationId xmlns:a16="http://schemas.microsoft.com/office/drawing/2014/main" id="{00000000-0008-0000-0500-00001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35</xdr:row>
          <xdr:rowOff>171450</xdr:rowOff>
        </xdr:from>
        <xdr:to>
          <xdr:col>4</xdr:col>
          <xdr:colOff>38100</xdr:colOff>
          <xdr:row>35</xdr:row>
          <xdr:rowOff>381000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06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37</xdr:row>
          <xdr:rowOff>171450</xdr:rowOff>
        </xdr:from>
        <xdr:to>
          <xdr:col>4</xdr:col>
          <xdr:colOff>38100</xdr:colOff>
          <xdr:row>37</xdr:row>
          <xdr:rowOff>381000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06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38</xdr:row>
          <xdr:rowOff>171450</xdr:rowOff>
        </xdr:from>
        <xdr:to>
          <xdr:col>4</xdr:col>
          <xdr:colOff>12700</xdr:colOff>
          <xdr:row>38</xdr:row>
          <xdr:rowOff>381000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06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43</xdr:row>
          <xdr:rowOff>133350</xdr:rowOff>
        </xdr:from>
        <xdr:to>
          <xdr:col>4</xdr:col>
          <xdr:colOff>12700</xdr:colOff>
          <xdr:row>43</xdr:row>
          <xdr:rowOff>342900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06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74</xdr:row>
          <xdr:rowOff>171450</xdr:rowOff>
        </xdr:from>
        <xdr:to>
          <xdr:col>4</xdr:col>
          <xdr:colOff>31750</xdr:colOff>
          <xdr:row>74</xdr:row>
          <xdr:rowOff>381000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06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92</xdr:row>
          <xdr:rowOff>171450</xdr:rowOff>
        </xdr:from>
        <xdr:to>
          <xdr:col>4</xdr:col>
          <xdr:colOff>31750</xdr:colOff>
          <xdr:row>92</xdr:row>
          <xdr:rowOff>381000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06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91</xdr:row>
          <xdr:rowOff>171450</xdr:rowOff>
        </xdr:from>
        <xdr:to>
          <xdr:col>4</xdr:col>
          <xdr:colOff>31750</xdr:colOff>
          <xdr:row>91</xdr:row>
          <xdr:rowOff>381000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06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93</xdr:row>
          <xdr:rowOff>171450</xdr:rowOff>
        </xdr:from>
        <xdr:to>
          <xdr:col>4</xdr:col>
          <xdr:colOff>31750</xdr:colOff>
          <xdr:row>93</xdr:row>
          <xdr:rowOff>381000</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06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65</xdr:row>
          <xdr:rowOff>171450</xdr:rowOff>
        </xdr:from>
        <xdr:to>
          <xdr:col>4</xdr:col>
          <xdr:colOff>31750</xdr:colOff>
          <xdr:row>65</xdr:row>
          <xdr:rowOff>381000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06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66</xdr:row>
          <xdr:rowOff>171450</xdr:rowOff>
        </xdr:from>
        <xdr:to>
          <xdr:col>4</xdr:col>
          <xdr:colOff>31750</xdr:colOff>
          <xdr:row>66</xdr:row>
          <xdr:rowOff>381000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06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67</xdr:row>
          <xdr:rowOff>171450</xdr:rowOff>
        </xdr:from>
        <xdr:to>
          <xdr:col>4</xdr:col>
          <xdr:colOff>31750</xdr:colOff>
          <xdr:row>67</xdr:row>
          <xdr:rowOff>381000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06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75</xdr:row>
          <xdr:rowOff>171450</xdr:rowOff>
        </xdr:from>
        <xdr:to>
          <xdr:col>4</xdr:col>
          <xdr:colOff>31750</xdr:colOff>
          <xdr:row>75</xdr:row>
          <xdr:rowOff>381000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06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58</xdr:row>
          <xdr:rowOff>171450</xdr:rowOff>
        </xdr:from>
        <xdr:to>
          <xdr:col>4</xdr:col>
          <xdr:colOff>31750</xdr:colOff>
          <xdr:row>58</xdr:row>
          <xdr:rowOff>381000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06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26</xdr:row>
          <xdr:rowOff>171450</xdr:rowOff>
        </xdr:from>
        <xdr:to>
          <xdr:col>4</xdr:col>
          <xdr:colOff>38100</xdr:colOff>
          <xdr:row>26</xdr:row>
          <xdr:rowOff>381000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06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27</xdr:row>
          <xdr:rowOff>171450</xdr:rowOff>
        </xdr:from>
        <xdr:to>
          <xdr:col>4</xdr:col>
          <xdr:colOff>38100</xdr:colOff>
          <xdr:row>27</xdr:row>
          <xdr:rowOff>381000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06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28</xdr:row>
          <xdr:rowOff>171450</xdr:rowOff>
        </xdr:from>
        <xdr:to>
          <xdr:col>4</xdr:col>
          <xdr:colOff>38100</xdr:colOff>
          <xdr:row>28</xdr:row>
          <xdr:rowOff>381000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06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29</xdr:row>
          <xdr:rowOff>171450</xdr:rowOff>
        </xdr:from>
        <xdr:to>
          <xdr:col>4</xdr:col>
          <xdr:colOff>38100</xdr:colOff>
          <xdr:row>29</xdr:row>
          <xdr:rowOff>381000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06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30</xdr:row>
          <xdr:rowOff>171450</xdr:rowOff>
        </xdr:from>
        <xdr:to>
          <xdr:col>4</xdr:col>
          <xdr:colOff>38100</xdr:colOff>
          <xdr:row>30</xdr:row>
          <xdr:rowOff>381000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06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xdr:row>
          <xdr:rowOff>171450</xdr:rowOff>
        </xdr:from>
        <xdr:to>
          <xdr:col>4</xdr:col>
          <xdr:colOff>38100</xdr:colOff>
          <xdr:row>31</xdr:row>
          <xdr:rowOff>381000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06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33</xdr:row>
          <xdr:rowOff>171450</xdr:rowOff>
        </xdr:from>
        <xdr:to>
          <xdr:col>4</xdr:col>
          <xdr:colOff>38100</xdr:colOff>
          <xdr:row>33</xdr:row>
          <xdr:rowOff>381000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06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34</xdr:row>
          <xdr:rowOff>171450</xdr:rowOff>
        </xdr:from>
        <xdr:to>
          <xdr:col>4</xdr:col>
          <xdr:colOff>38100</xdr:colOff>
          <xdr:row>34</xdr:row>
          <xdr:rowOff>381000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06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39</xdr:row>
          <xdr:rowOff>171450</xdr:rowOff>
        </xdr:from>
        <xdr:to>
          <xdr:col>4</xdr:col>
          <xdr:colOff>38100</xdr:colOff>
          <xdr:row>39</xdr:row>
          <xdr:rowOff>381000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06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38100</xdr:colOff>
          <xdr:row>40</xdr:row>
          <xdr:rowOff>381000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06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38100</xdr:colOff>
          <xdr:row>41</xdr:row>
          <xdr:rowOff>381000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06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06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06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06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06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4</xdr:col>
          <xdr:colOff>0</xdr:colOff>
          <xdr:row>53</xdr:row>
          <xdr:rowOff>209550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06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38</xdr:row>
          <xdr:rowOff>171450</xdr:rowOff>
        </xdr:from>
        <xdr:to>
          <xdr:col>4</xdr:col>
          <xdr:colOff>628650</xdr:colOff>
          <xdr:row>38</xdr:row>
          <xdr:rowOff>381000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40</xdr:row>
          <xdr:rowOff>171450</xdr:rowOff>
        </xdr:from>
        <xdr:to>
          <xdr:col>4</xdr:col>
          <xdr:colOff>628650</xdr:colOff>
          <xdr:row>40</xdr:row>
          <xdr:rowOff>381000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7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41</xdr:row>
          <xdr:rowOff>171450</xdr:rowOff>
        </xdr:from>
        <xdr:to>
          <xdr:col>4</xdr:col>
          <xdr:colOff>603250</xdr:colOff>
          <xdr:row>41</xdr:row>
          <xdr:rowOff>381000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7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46</xdr:row>
          <xdr:rowOff>171450</xdr:rowOff>
        </xdr:from>
        <xdr:to>
          <xdr:col>4</xdr:col>
          <xdr:colOff>609600</xdr:colOff>
          <xdr:row>46</xdr:row>
          <xdr:rowOff>381000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7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96</xdr:row>
          <xdr:rowOff>171450</xdr:rowOff>
        </xdr:from>
        <xdr:to>
          <xdr:col>4</xdr:col>
          <xdr:colOff>609600</xdr:colOff>
          <xdr:row>96</xdr:row>
          <xdr:rowOff>381000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7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113</xdr:row>
          <xdr:rowOff>171450</xdr:rowOff>
        </xdr:from>
        <xdr:to>
          <xdr:col>4</xdr:col>
          <xdr:colOff>609600</xdr:colOff>
          <xdr:row>113</xdr:row>
          <xdr:rowOff>381000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7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112</xdr:row>
          <xdr:rowOff>171450</xdr:rowOff>
        </xdr:from>
        <xdr:to>
          <xdr:col>4</xdr:col>
          <xdr:colOff>609600</xdr:colOff>
          <xdr:row>112</xdr:row>
          <xdr:rowOff>381000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7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87</xdr:row>
          <xdr:rowOff>171450</xdr:rowOff>
        </xdr:from>
        <xdr:to>
          <xdr:col>4</xdr:col>
          <xdr:colOff>609600</xdr:colOff>
          <xdr:row>87</xdr:row>
          <xdr:rowOff>381000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7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88</xdr:row>
          <xdr:rowOff>171450</xdr:rowOff>
        </xdr:from>
        <xdr:to>
          <xdr:col>4</xdr:col>
          <xdr:colOff>609600</xdr:colOff>
          <xdr:row>88</xdr:row>
          <xdr:rowOff>381000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7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89</xdr:row>
          <xdr:rowOff>171450</xdr:rowOff>
        </xdr:from>
        <xdr:to>
          <xdr:col>4</xdr:col>
          <xdr:colOff>609600</xdr:colOff>
          <xdr:row>89</xdr:row>
          <xdr:rowOff>381000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7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97</xdr:row>
          <xdr:rowOff>171450</xdr:rowOff>
        </xdr:from>
        <xdr:to>
          <xdr:col>4</xdr:col>
          <xdr:colOff>609600</xdr:colOff>
          <xdr:row>97</xdr:row>
          <xdr:rowOff>381000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7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80</xdr:row>
          <xdr:rowOff>171450</xdr:rowOff>
        </xdr:from>
        <xdr:to>
          <xdr:col>4</xdr:col>
          <xdr:colOff>609600</xdr:colOff>
          <xdr:row>80</xdr:row>
          <xdr:rowOff>381000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7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107</xdr:row>
          <xdr:rowOff>171450</xdr:rowOff>
        </xdr:from>
        <xdr:to>
          <xdr:col>4</xdr:col>
          <xdr:colOff>609600</xdr:colOff>
          <xdr:row>107</xdr:row>
          <xdr:rowOff>381000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7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114</xdr:row>
          <xdr:rowOff>171450</xdr:rowOff>
        </xdr:from>
        <xdr:to>
          <xdr:col>4</xdr:col>
          <xdr:colOff>609600</xdr:colOff>
          <xdr:row>114</xdr:row>
          <xdr:rowOff>381000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7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xdr:colOff>
          <xdr:row>26</xdr:row>
          <xdr:rowOff>171450</xdr:rowOff>
        </xdr:from>
        <xdr:to>
          <xdr:col>5</xdr:col>
          <xdr:colOff>609600</xdr:colOff>
          <xdr:row>26</xdr:row>
          <xdr:rowOff>381000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8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28</xdr:row>
          <xdr:rowOff>171450</xdr:rowOff>
        </xdr:from>
        <xdr:to>
          <xdr:col>5</xdr:col>
          <xdr:colOff>609600</xdr:colOff>
          <xdr:row>28</xdr:row>
          <xdr:rowOff>381000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8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29</xdr:row>
          <xdr:rowOff>171450</xdr:rowOff>
        </xdr:from>
        <xdr:to>
          <xdr:col>5</xdr:col>
          <xdr:colOff>609600</xdr:colOff>
          <xdr:row>29</xdr:row>
          <xdr:rowOff>381000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8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29</xdr:row>
          <xdr:rowOff>171450</xdr:rowOff>
        </xdr:from>
        <xdr:to>
          <xdr:col>5</xdr:col>
          <xdr:colOff>609600</xdr:colOff>
          <xdr:row>29</xdr:row>
          <xdr:rowOff>381000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8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31</xdr:row>
          <xdr:rowOff>171450</xdr:rowOff>
        </xdr:from>
        <xdr:to>
          <xdr:col>5</xdr:col>
          <xdr:colOff>609600</xdr:colOff>
          <xdr:row>31</xdr:row>
          <xdr:rowOff>381000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8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32</xdr:row>
          <xdr:rowOff>171450</xdr:rowOff>
        </xdr:from>
        <xdr:to>
          <xdr:col>5</xdr:col>
          <xdr:colOff>609600</xdr:colOff>
          <xdr:row>32</xdr:row>
          <xdr:rowOff>381000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8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34</xdr:row>
          <xdr:rowOff>171450</xdr:rowOff>
        </xdr:from>
        <xdr:to>
          <xdr:col>5</xdr:col>
          <xdr:colOff>609600</xdr:colOff>
          <xdr:row>34</xdr:row>
          <xdr:rowOff>381000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8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36</xdr:row>
          <xdr:rowOff>171450</xdr:rowOff>
        </xdr:from>
        <xdr:to>
          <xdr:col>5</xdr:col>
          <xdr:colOff>609600</xdr:colOff>
          <xdr:row>36</xdr:row>
          <xdr:rowOff>381000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8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38</xdr:row>
          <xdr:rowOff>171450</xdr:rowOff>
        </xdr:from>
        <xdr:to>
          <xdr:col>5</xdr:col>
          <xdr:colOff>609600</xdr:colOff>
          <xdr:row>38</xdr:row>
          <xdr:rowOff>381000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8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39</xdr:row>
          <xdr:rowOff>171450</xdr:rowOff>
        </xdr:from>
        <xdr:to>
          <xdr:col>5</xdr:col>
          <xdr:colOff>609600</xdr:colOff>
          <xdr:row>39</xdr:row>
          <xdr:rowOff>381000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8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40</xdr:row>
          <xdr:rowOff>171450</xdr:rowOff>
        </xdr:from>
        <xdr:to>
          <xdr:col>5</xdr:col>
          <xdr:colOff>609600</xdr:colOff>
          <xdr:row>40</xdr:row>
          <xdr:rowOff>381000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8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41</xdr:row>
          <xdr:rowOff>171450</xdr:rowOff>
        </xdr:from>
        <xdr:to>
          <xdr:col>5</xdr:col>
          <xdr:colOff>609600</xdr:colOff>
          <xdr:row>41</xdr:row>
          <xdr:rowOff>381000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8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75</xdr:row>
          <xdr:rowOff>171450</xdr:rowOff>
        </xdr:from>
        <xdr:to>
          <xdr:col>5</xdr:col>
          <xdr:colOff>609600</xdr:colOff>
          <xdr:row>75</xdr:row>
          <xdr:rowOff>381000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8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76</xdr:row>
          <xdr:rowOff>171450</xdr:rowOff>
        </xdr:from>
        <xdr:to>
          <xdr:col>5</xdr:col>
          <xdr:colOff>609600</xdr:colOff>
          <xdr:row>76</xdr:row>
          <xdr:rowOff>381000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8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microsoft.com/office/2019/04/relationships/externalLinkLongPath" Target="Access%20by%20Public%20Transport%20Calculator_Release%202.xlsm?AAF75B05" TargetMode="External"/><Relationship Id="rId1" Type="http://schemas.openxmlformats.org/officeDocument/2006/relationships/externalLinkPath" Target="file:///\\AAF75B05\Access%20by%20Public%20Transport%20Calculator_Release%20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formanc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mmunitie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d-data\greenstar\jchapa\Desktop\Green%20Star-%20Multi%20Unit%20Residential%20v1%20(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d-data\Documents%20and%20Settings\jchapa\Desktop\Green%20Star-%20Multi%20Unit%20Residential%20v1%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d-data\greenstar\GS%20Custom\03%20Pilot\01%20Tool%20Development\05%20Excel\Excel%20-%20Calculators\Green%20Star%20-%20Calculators%20Mixed%20use%20unlocked%20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yd-data\Tool%20Devt%20&amp;%20Review\GS%20Custom\03%20Pilot\01%20Tool%20Development\05%20Excel\Excel%20-%20Calculators\Green%20Star%20-%20Calculators%20Mixed%20use%20unlocked%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yd-data\greenstar\Green%20Star%20-%20Office%20As%20Built\Version%202\Excel%20Tool\Green%20Star%20-%20Office%20As%20Built%20v2%20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d-data\Green%20Star%20Rating%20System\Green%20Star%20-%20Office%20As%20Built\Version%202\Excel%20Tool\Green%20Star%20-%20Office%20As%20Built%20v2%20WI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yd-data\greenstar\Green%20Star%20Rating%20System\Green%20Star%20-%20Office%20As%20Built\Version%202\Excel%20Tool\Green%20Star%20-%20Office%20As%20Built%20v2%20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lo-ms-file01\greenstar\Ozgrid%20Likom\Testings\update-validation-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ratch"/>
      <sheetName val="Disclaimer"/>
      <sheetName val="Change Log"/>
      <sheetName val="Inputs"/>
      <sheetName val="Outputs"/>
      <sheetName val="Pop"/>
      <sheetName val="Step by Step Master"/>
      <sheetName val="Victorian"/>
      <sheetName val="geoCodingParameters"/>
      <sheetName val="Step by Step Parameters"/>
      <sheetName val="Step by Step Join"/>
      <sheetName val="API cObject nam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uniti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ing Validation List"/>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9.xml"/><Relationship Id="rId3" Type="http://schemas.openxmlformats.org/officeDocument/2006/relationships/drawing" Target="../drawings/drawing10.xml"/><Relationship Id="rId7" Type="http://schemas.openxmlformats.org/officeDocument/2006/relationships/ctrlProp" Target="../ctrlProps/ctrlProp158.xml"/><Relationship Id="rId12" Type="http://schemas.openxmlformats.org/officeDocument/2006/relationships/comments" Target="../comments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57.xml"/><Relationship Id="rId11" Type="http://schemas.openxmlformats.org/officeDocument/2006/relationships/ctrlProp" Target="../ctrlProps/ctrlProp162.xml"/><Relationship Id="rId5" Type="http://schemas.openxmlformats.org/officeDocument/2006/relationships/ctrlProp" Target="../ctrlProps/ctrlProp156.xml"/><Relationship Id="rId10" Type="http://schemas.openxmlformats.org/officeDocument/2006/relationships/ctrlProp" Target="../ctrlProps/ctrlProp161.xml"/><Relationship Id="rId4" Type="http://schemas.openxmlformats.org/officeDocument/2006/relationships/vmlDrawing" Target="../drawings/vmlDrawing8.vml"/><Relationship Id="rId9" Type="http://schemas.openxmlformats.org/officeDocument/2006/relationships/ctrlProp" Target="../ctrlProps/ctrlProp16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5.xml"/><Relationship Id="rId3" Type="http://schemas.openxmlformats.org/officeDocument/2006/relationships/printerSettings" Target="../printerSettings/printerSettings18.bin"/><Relationship Id="rId7" Type="http://schemas.openxmlformats.org/officeDocument/2006/relationships/ctrlProp" Target="../ctrlProps/ctrlProp164.xml"/><Relationship Id="rId12" Type="http://schemas.openxmlformats.org/officeDocument/2006/relationships/ctrlProp" Target="../ctrlProps/ctrlProp16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163.xml"/><Relationship Id="rId11" Type="http://schemas.openxmlformats.org/officeDocument/2006/relationships/ctrlProp" Target="../ctrlProps/ctrlProp168.xml"/><Relationship Id="rId5" Type="http://schemas.openxmlformats.org/officeDocument/2006/relationships/vmlDrawing" Target="../drawings/vmlDrawing9.vml"/><Relationship Id="rId10" Type="http://schemas.openxmlformats.org/officeDocument/2006/relationships/ctrlProp" Target="../ctrlProps/ctrlProp167.xml"/><Relationship Id="rId4" Type="http://schemas.openxmlformats.org/officeDocument/2006/relationships/drawing" Target="../drawings/drawing11.xml"/><Relationship Id="rId9"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26" Type="http://schemas.openxmlformats.org/officeDocument/2006/relationships/ctrlProp" Target="../ctrlProps/ctrlProp191.xml"/><Relationship Id="rId3" Type="http://schemas.openxmlformats.org/officeDocument/2006/relationships/drawing" Target="../drawings/drawing12.x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5" Type="http://schemas.openxmlformats.org/officeDocument/2006/relationships/ctrlProp" Target="../ctrlProps/ctrlProp190.xml"/><Relationship Id="rId2" Type="http://schemas.openxmlformats.org/officeDocument/2006/relationships/printerSettings" Target="../printerSettings/printerSettings22.bin"/><Relationship Id="rId16" Type="http://schemas.openxmlformats.org/officeDocument/2006/relationships/ctrlProp" Target="../ctrlProps/ctrlProp181.xml"/><Relationship Id="rId20" Type="http://schemas.openxmlformats.org/officeDocument/2006/relationships/ctrlProp" Target="../ctrlProps/ctrlProp185.xml"/><Relationship Id="rId29" Type="http://schemas.openxmlformats.org/officeDocument/2006/relationships/ctrlProp" Target="../ctrlProps/ctrlProp194.xml"/><Relationship Id="rId1" Type="http://schemas.openxmlformats.org/officeDocument/2006/relationships/printerSettings" Target="../printerSettings/printerSettings21.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32" Type="http://schemas.openxmlformats.org/officeDocument/2006/relationships/ctrlProp" Target="../ctrlProps/ctrlProp197.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28" Type="http://schemas.openxmlformats.org/officeDocument/2006/relationships/ctrlProp" Target="../ctrlProps/ctrlProp193.xml"/><Relationship Id="rId10" Type="http://schemas.openxmlformats.org/officeDocument/2006/relationships/ctrlProp" Target="../ctrlProps/ctrlProp175.xml"/><Relationship Id="rId19" Type="http://schemas.openxmlformats.org/officeDocument/2006/relationships/ctrlProp" Target="../ctrlProps/ctrlProp184.xml"/><Relationship Id="rId31" Type="http://schemas.openxmlformats.org/officeDocument/2006/relationships/ctrlProp" Target="../ctrlProps/ctrlProp196.xml"/><Relationship Id="rId4" Type="http://schemas.openxmlformats.org/officeDocument/2006/relationships/vmlDrawing" Target="../drawings/vmlDrawing11.v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 Id="rId27" Type="http://schemas.openxmlformats.org/officeDocument/2006/relationships/ctrlProp" Target="../ctrlProps/ctrlProp192.xml"/><Relationship Id="rId30" Type="http://schemas.openxmlformats.org/officeDocument/2006/relationships/ctrlProp" Target="../ctrlProps/ctrlProp19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06.xml"/><Relationship Id="rId18" Type="http://schemas.openxmlformats.org/officeDocument/2006/relationships/ctrlProp" Target="../ctrlProps/ctrlProp211.xml"/><Relationship Id="rId26" Type="http://schemas.openxmlformats.org/officeDocument/2006/relationships/ctrlProp" Target="../ctrlProps/ctrlProp219.xml"/><Relationship Id="rId39" Type="http://schemas.openxmlformats.org/officeDocument/2006/relationships/ctrlProp" Target="../ctrlProps/ctrlProp232.xml"/><Relationship Id="rId21" Type="http://schemas.openxmlformats.org/officeDocument/2006/relationships/ctrlProp" Target="../ctrlProps/ctrlProp214.xml"/><Relationship Id="rId34" Type="http://schemas.openxmlformats.org/officeDocument/2006/relationships/ctrlProp" Target="../ctrlProps/ctrlProp227.xml"/><Relationship Id="rId42" Type="http://schemas.openxmlformats.org/officeDocument/2006/relationships/ctrlProp" Target="../ctrlProps/ctrlProp235.xml"/><Relationship Id="rId7" Type="http://schemas.openxmlformats.org/officeDocument/2006/relationships/ctrlProp" Target="../ctrlProps/ctrlProp200.xml"/><Relationship Id="rId2" Type="http://schemas.openxmlformats.org/officeDocument/2006/relationships/printerSettings" Target="../printerSettings/printerSettings24.bin"/><Relationship Id="rId16" Type="http://schemas.openxmlformats.org/officeDocument/2006/relationships/ctrlProp" Target="../ctrlProps/ctrlProp209.xml"/><Relationship Id="rId29" Type="http://schemas.openxmlformats.org/officeDocument/2006/relationships/ctrlProp" Target="../ctrlProps/ctrlProp222.xml"/><Relationship Id="rId1" Type="http://schemas.openxmlformats.org/officeDocument/2006/relationships/printerSettings" Target="../printerSettings/printerSettings23.bin"/><Relationship Id="rId6" Type="http://schemas.openxmlformats.org/officeDocument/2006/relationships/ctrlProp" Target="../ctrlProps/ctrlProp199.xml"/><Relationship Id="rId11" Type="http://schemas.openxmlformats.org/officeDocument/2006/relationships/ctrlProp" Target="../ctrlProps/ctrlProp204.xml"/><Relationship Id="rId24" Type="http://schemas.openxmlformats.org/officeDocument/2006/relationships/ctrlProp" Target="../ctrlProps/ctrlProp217.xml"/><Relationship Id="rId32" Type="http://schemas.openxmlformats.org/officeDocument/2006/relationships/ctrlProp" Target="../ctrlProps/ctrlProp225.xml"/><Relationship Id="rId37" Type="http://schemas.openxmlformats.org/officeDocument/2006/relationships/ctrlProp" Target="../ctrlProps/ctrlProp230.xml"/><Relationship Id="rId40" Type="http://schemas.openxmlformats.org/officeDocument/2006/relationships/ctrlProp" Target="../ctrlProps/ctrlProp233.xml"/><Relationship Id="rId45" Type="http://schemas.openxmlformats.org/officeDocument/2006/relationships/ctrlProp" Target="../ctrlProps/ctrlProp238.xml"/><Relationship Id="rId5" Type="http://schemas.openxmlformats.org/officeDocument/2006/relationships/ctrlProp" Target="../ctrlProps/ctrlProp198.xml"/><Relationship Id="rId15" Type="http://schemas.openxmlformats.org/officeDocument/2006/relationships/ctrlProp" Target="../ctrlProps/ctrlProp208.xml"/><Relationship Id="rId23" Type="http://schemas.openxmlformats.org/officeDocument/2006/relationships/ctrlProp" Target="../ctrlProps/ctrlProp216.xml"/><Relationship Id="rId28" Type="http://schemas.openxmlformats.org/officeDocument/2006/relationships/ctrlProp" Target="../ctrlProps/ctrlProp221.xml"/><Relationship Id="rId36" Type="http://schemas.openxmlformats.org/officeDocument/2006/relationships/ctrlProp" Target="../ctrlProps/ctrlProp229.xml"/><Relationship Id="rId10" Type="http://schemas.openxmlformats.org/officeDocument/2006/relationships/ctrlProp" Target="../ctrlProps/ctrlProp203.xml"/><Relationship Id="rId19" Type="http://schemas.openxmlformats.org/officeDocument/2006/relationships/ctrlProp" Target="../ctrlProps/ctrlProp212.xml"/><Relationship Id="rId31" Type="http://schemas.openxmlformats.org/officeDocument/2006/relationships/ctrlProp" Target="../ctrlProps/ctrlProp224.xml"/><Relationship Id="rId44" Type="http://schemas.openxmlformats.org/officeDocument/2006/relationships/ctrlProp" Target="../ctrlProps/ctrlProp237.xml"/><Relationship Id="rId4" Type="http://schemas.openxmlformats.org/officeDocument/2006/relationships/vmlDrawing" Target="../drawings/vmlDrawing12.vml"/><Relationship Id="rId9" Type="http://schemas.openxmlformats.org/officeDocument/2006/relationships/ctrlProp" Target="../ctrlProps/ctrlProp202.xml"/><Relationship Id="rId14" Type="http://schemas.openxmlformats.org/officeDocument/2006/relationships/ctrlProp" Target="../ctrlProps/ctrlProp207.xml"/><Relationship Id="rId22" Type="http://schemas.openxmlformats.org/officeDocument/2006/relationships/ctrlProp" Target="../ctrlProps/ctrlProp215.xml"/><Relationship Id="rId27" Type="http://schemas.openxmlformats.org/officeDocument/2006/relationships/ctrlProp" Target="../ctrlProps/ctrlProp220.xml"/><Relationship Id="rId30" Type="http://schemas.openxmlformats.org/officeDocument/2006/relationships/ctrlProp" Target="../ctrlProps/ctrlProp223.xml"/><Relationship Id="rId35" Type="http://schemas.openxmlformats.org/officeDocument/2006/relationships/ctrlProp" Target="../ctrlProps/ctrlProp228.xml"/><Relationship Id="rId43" Type="http://schemas.openxmlformats.org/officeDocument/2006/relationships/ctrlProp" Target="../ctrlProps/ctrlProp236.xml"/><Relationship Id="rId8" Type="http://schemas.openxmlformats.org/officeDocument/2006/relationships/ctrlProp" Target="../ctrlProps/ctrlProp201.xml"/><Relationship Id="rId3" Type="http://schemas.openxmlformats.org/officeDocument/2006/relationships/drawing" Target="../drawings/drawing13.xml"/><Relationship Id="rId12" Type="http://schemas.openxmlformats.org/officeDocument/2006/relationships/ctrlProp" Target="../ctrlProps/ctrlProp205.xml"/><Relationship Id="rId17" Type="http://schemas.openxmlformats.org/officeDocument/2006/relationships/ctrlProp" Target="../ctrlProps/ctrlProp210.xml"/><Relationship Id="rId25" Type="http://schemas.openxmlformats.org/officeDocument/2006/relationships/ctrlProp" Target="../ctrlProps/ctrlProp218.xml"/><Relationship Id="rId33" Type="http://schemas.openxmlformats.org/officeDocument/2006/relationships/ctrlProp" Target="../ctrlProps/ctrlProp226.xml"/><Relationship Id="rId38" Type="http://schemas.openxmlformats.org/officeDocument/2006/relationships/ctrlProp" Target="../ctrlProps/ctrlProp231.xml"/><Relationship Id="rId20" Type="http://schemas.openxmlformats.org/officeDocument/2006/relationships/ctrlProp" Target="../ctrlProps/ctrlProp213.xml"/><Relationship Id="rId41" Type="http://schemas.openxmlformats.org/officeDocument/2006/relationships/ctrlProp" Target="../ctrlProps/ctrlProp23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41.xml"/><Relationship Id="rId13" Type="http://schemas.openxmlformats.org/officeDocument/2006/relationships/ctrlProp" Target="../ctrlProps/ctrlProp246.xml"/><Relationship Id="rId18" Type="http://schemas.openxmlformats.org/officeDocument/2006/relationships/ctrlProp" Target="../ctrlProps/ctrlProp251.xml"/><Relationship Id="rId26" Type="http://schemas.openxmlformats.org/officeDocument/2006/relationships/ctrlProp" Target="../ctrlProps/ctrlProp259.xml"/><Relationship Id="rId3" Type="http://schemas.openxmlformats.org/officeDocument/2006/relationships/printerSettings" Target="../printerSettings/printerSettings27.bin"/><Relationship Id="rId21" Type="http://schemas.openxmlformats.org/officeDocument/2006/relationships/ctrlProp" Target="../ctrlProps/ctrlProp254.xml"/><Relationship Id="rId7" Type="http://schemas.openxmlformats.org/officeDocument/2006/relationships/ctrlProp" Target="../ctrlProps/ctrlProp240.xml"/><Relationship Id="rId12" Type="http://schemas.openxmlformats.org/officeDocument/2006/relationships/ctrlProp" Target="../ctrlProps/ctrlProp245.xml"/><Relationship Id="rId17" Type="http://schemas.openxmlformats.org/officeDocument/2006/relationships/ctrlProp" Target="../ctrlProps/ctrlProp250.xml"/><Relationship Id="rId25" Type="http://schemas.openxmlformats.org/officeDocument/2006/relationships/ctrlProp" Target="../ctrlProps/ctrlProp258.xml"/><Relationship Id="rId2" Type="http://schemas.openxmlformats.org/officeDocument/2006/relationships/printerSettings" Target="../printerSettings/printerSettings26.bin"/><Relationship Id="rId16" Type="http://schemas.openxmlformats.org/officeDocument/2006/relationships/ctrlProp" Target="../ctrlProps/ctrlProp249.xml"/><Relationship Id="rId20" Type="http://schemas.openxmlformats.org/officeDocument/2006/relationships/ctrlProp" Target="../ctrlProps/ctrlProp253.xml"/><Relationship Id="rId29" Type="http://schemas.openxmlformats.org/officeDocument/2006/relationships/ctrlProp" Target="../ctrlProps/ctrlProp262.xml"/><Relationship Id="rId1" Type="http://schemas.openxmlformats.org/officeDocument/2006/relationships/printerSettings" Target="../printerSettings/printerSettings25.bin"/><Relationship Id="rId6" Type="http://schemas.openxmlformats.org/officeDocument/2006/relationships/ctrlProp" Target="../ctrlProps/ctrlProp239.xml"/><Relationship Id="rId11" Type="http://schemas.openxmlformats.org/officeDocument/2006/relationships/ctrlProp" Target="../ctrlProps/ctrlProp244.xml"/><Relationship Id="rId24" Type="http://schemas.openxmlformats.org/officeDocument/2006/relationships/ctrlProp" Target="../ctrlProps/ctrlProp257.xml"/><Relationship Id="rId5" Type="http://schemas.openxmlformats.org/officeDocument/2006/relationships/vmlDrawing" Target="../drawings/vmlDrawing13.vml"/><Relationship Id="rId15" Type="http://schemas.openxmlformats.org/officeDocument/2006/relationships/ctrlProp" Target="../ctrlProps/ctrlProp248.xml"/><Relationship Id="rId23" Type="http://schemas.openxmlformats.org/officeDocument/2006/relationships/ctrlProp" Target="../ctrlProps/ctrlProp256.xml"/><Relationship Id="rId28" Type="http://schemas.openxmlformats.org/officeDocument/2006/relationships/ctrlProp" Target="../ctrlProps/ctrlProp261.xml"/><Relationship Id="rId10" Type="http://schemas.openxmlformats.org/officeDocument/2006/relationships/ctrlProp" Target="../ctrlProps/ctrlProp243.xml"/><Relationship Id="rId19" Type="http://schemas.openxmlformats.org/officeDocument/2006/relationships/ctrlProp" Target="../ctrlProps/ctrlProp252.xml"/><Relationship Id="rId4" Type="http://schemas.openxmlformats.org/officeDocument/2006/relationships/drawing" Target="../drawings/drawing14.xml"/><Relationship Id="rId9" Type="http://schemas.openxmlformats.org/officeDocument/2006/relationships/ctrlProp" Target="../ctrlProps/ctrlProp242.xml"/><Relationship Id="rId14" Type="http://schemas.openxmlformats.org/officeDocument/2006/relationships/ctrlProp" Target="../ctrlProps/ctrlProp247.xml"/><Relationship Id="rId22" Type="http://schemas.openxmlformats.org/officeDocument/2006/relationships/ctrlProp" Target="../ctrlProps/ctrlProp255.xml"/><Relationship Id="rId27" Type="http://schemas.openxmlformats.org/officeDocument/2006/relationships/ctrlProp" Target="../ctrlProps/ctrlProp260.xml"/><Relationship Id="rId30" Type="http://schemas.openxmlformats.org/officeDocument/2006/relationships/ctrlProp" Target="../ctrlProps/ctrlProp2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69.xml"/><Relationship Id="rId13" Type="http://schemas.openxmlformats.org/officeDocument/2006/relationships/ctrlProp" Target="../ctrlProps/ctrlProp274.xml"/><Relationship Id="rId18" Type="http://schemas.openxmlformats.org/officeDocument/2006/relationships/ctrlProp" Target="../ctrlProps/ctrlProp279.xml"/><Relationship Id="rId26" Type="http://schemas.openxmlformats.org/officeDocument/2006/relationships/ctrlProp" Target="../ctrlProps/ctrlProp287.xml"/><Relationship Id="rId3" Type="http://schemas.openxmlformats.org/officeDocument/2006/relationships/ctrlProp" Target="../ctrlProps/ctrlProp264.xml"/><Relationship Id="rId21" Type="http://schemas.openxmlformats.org/officeDocument/2006/relationships/ctrlProp" Target="../ctrlProps/ctrlProp282.xml"/><Relationship Id="rId7" Type="http://schemas.openxmlformats.org/officeDocument/2006/relationships/ctrlProp" Target="../ctrlProps/ctrlProp268.xml"/><Relationship Id="rId12" Type="http://schemas.openxmlformats.org/officeDocument/2006/relationships/ctrlProp" Target="../ctrlProps/ctrlProp273.xml"/><Relationship Id="rId17" Type="http://schemas.openxmlformats.org/officeDocument/2006/relationships/ctrlProp" Target="../ctrlProps/ctrlProp278.xml"/><Relationship Id="rId25" Type="http://schemas.openxmlformats.org/officeDocument/2006/relationships/ctrlProp" Target="../ctrlProps/ctrlProp286.xml"/><Relationship Id="rId2" Type="http://schemas.openxmlformats.org/officeDocument/2006/relationships/vmlDrawing" Target="../drawings/vmlDrawing14.vml"/><Relationship Id="rId16" Type="http://schemas.openxmlformats.org/officeDocument/2006/relationships/ctrlProp" Target="../ctrlProps/ctrlProp277.xml"/><Relationship Id="rId20" Type="http://schemas.openxmlformats.org/officeDocument/2006/relationships/ctrlProp" Target="../ctrlProps/ctrlProp281.xml"/><Relationship Id="rId29" Type="http://schemas.openxmlformats.org/officeDocument/2006/relationships/ctrlProp" Target="../ctrlProps/ctrlProp290.xml"/><Relationship Id="rId1" Type="http://schemas.openxmlformats.org/officeDocument/2006/relationships/drawing" Target="../drawings/drawing15.xml"/><Relationship Id="rId6" Type="http://schemas.openxmlformats.org/officeDocument/2006/relationships/ctrlProp" Target="../ctrlProps/ctrlProp267.xml"/><Relationship Id="rId11" Type="http://schemas.openxmlformats.org/officeDocument/2006/relationships/ctrlProp" Target="../ctrlProps/ctrlProp272.xml"/><Relationship Id="rId24" Type="http://schemas.openxmlformats.org/officeDocument/2006/relationships/ctrlProp" Target="../ctrlProps/ctrlProp285.xml"/><Relationship Id="rId32" Type="http://schemas.openxmlformats.org/officeDocument/2006/relationships/ctrlProp" Target="../ctrlProps/ctrlProp293.xml"/><Relationship Id="rId5" Type="http://schemas.openxmlformats.org/officeDocument/2006/relationships/ctrlProp" Target="../ctrlProps/ctrlProp266.xml"/><Relationship Id="rId15" Type="http://schemas.openxmlformats.org/officeDocument/2006/relationships/ctrlProp" Target="../ctrlProps/ctrlProp276.xml"/><Relationship Id="rId23" Type="http://schemas.openxmlformats.org/officeDocument/2006/relationships/ctrlProp" Target="../ctrlProps/ctrlProp284.xml"/><Relationship Id="rId28" Type="http://schemas.openxmlformats.org/officeDocument/2006/relationships/ctrlProp" Target="../ctrlProps/ctrlProp289.xml"/><Relationship Id="rId10" Type="http://schemas.openxmlformats.org/officeDocument/2006/relationships/ctrlProp" Target="../ctrlProps/ctrlProp271.xml"/><Relationship Id="rId19" Type="http://schemas.openxmlformats.org/officeDocument/2006/relationships/ctrlProp" Target="../ctrlProps/ctrlProp280.xml"/><Relationship Id="rId31" Type="http://schemas.openxmlformats.org/officeDocument/2006/relationships/ctrlProp" Target="../ctrlProps/ctrlProp292.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 Id="rId22" Type="http://schemas.openxmlformats.org/officeDocument/2006/relationships/ctrlProp" Target="../ctrlProps/ctrlProp283.xml"/><Relationship Id="rId27" Type="http://schemas.openxmlformats.org/officeDocument/2006/relationships/ctrlProp" Target="../ctrlProps/ctrlProp288.xml"/><Relationship Id="rId30" Type="http://schemas.openxmlformats.org/officeDocument/2006/relationships/ctrlProp" Target="../ctrlProps/ctrlProp29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97.xml"/><Relationship Id="rId13" Type="http://schemas.openxmlformats.org/officeDocument/2006/relationships/ctrlProp" Target="../ctrlProps/ctrlProp302.xml"/><Relationship Id="rId18" Type="http://schemas.openxmlformats.org/officeDocument/2006/relationships/ctrlProp" Target="../ctrlProps/ctrlProp307.xml"/><Relationship Id="rId26" Type="http://schemas.openxmlformats.org/officeDocument/2006/relationships/ctrlProp" Target="../ctrlProps/ctrlProp315.xml"/><Relationship Id="rId3" Type="http://schemas.openxmlformats.org/officeDocument/2006/relationships/drawing" Target="../drawings/drawing16.xml"/><Relationship Id="rId21" Type="http://schemas.openxmlformats.org/officeDocument/2006/relationships/ctrlProp" Target="../ctrlProps/ctrlProp310.xml"/><Relationship Id="rId7" Type="http://schemas.openxmlformats.org/officeDocument/2006/relationships/ctrlProp" Target="../ctrlProps/ctrlProp296.xml"/><Relationship Id="rId12" Type="http://schemas.openxmlformats.org/officeDocument/2006/relationships/ctrlProp" Target="../ctrlProps/ctrlProp301.xml"/><Relationship Id="rId17" Type="http://schemas.openxmlformats.org/officeDocument/2006/relationships/ctrlProp" Target="../ctrlProps/ctrlProp306.xml"/><Relationship Id="rId25" Type="http://schemas.openxmlformats.org/officeDocument/2006/relationships/ctrlProp" Target="../ctrlProps/ctrlProp314.xml"/><Relationship Id="rId2" Type="http://schemas.openxmlformats.org/officeDocument/2006/relationships/printerSettings" Target="../printerSettings/printerSettings29.bin"/><Relationship Id="rId16" Type="http://schemas.openxmlformats.org/officeDocument/2006/relationships/ctrlProp" Target="../ctrlProps/ctrlProp305.xml"/><Relationship Id="rId20" Type="http://schemas.openxmlformats.org/officeDocument/2006/relationships/ctrlProp" Target="../ctrlProps/ctrlProp309.xml"/><Relationship Id="rId29" Type="http://schemas.openxmlformats.org/officeDocument/2006/relationships/ctrlProp" Target="../ctrlProps/ctrlProp318.xml"/><Relationship Id="rId1" Type="http://schemas.openxmlformats.org/officeDocument/2006/relationships/printerSettings" Target="../printerSettings/printerSettings28.bin"/><Relationship Id="rId6" Type="http://schemas.openxmlformats.org/officeDocument/2006/relationships/ctrlProp" Target="../ctrlProps/ctrlProp295.xml"/><Relationship Id="rId11" Type="http://schemas.openxmlformats.org/officeDocument/2006/relationships/ctrlProp" Target="../ctrlProps/ctrlProp300.xml"/><Relationship Id="rId24" Type="http://schemas.openxmlformats.org/officeDocument/2006/relationships/ctrlProp" Target="../ctrlProps/ctrlProp313.xml"/><Relationship Id="rId5" Type="http://schemas.openxmlformats.org/officeDocument/2006/relationships/ctrlProp" Target="../ctrlProps/ctrlProp294.xml"/><Relationship Id="rId15" Type="http://schemas.openxmlformats.org/officeDocument/2006/relationships/ctrlProp" Target="../ctrlProps/ctrlProp304.xml"/><Relationship Id="rId23" Type="http://schemas.openxmlformats.org/officeDocument/2006/relationships/ctrlProp" Target="../ctrlProps/ctrlProp312.xml"/><Relationship Id="rId28" Type="http://schemas.openxmlformats.org/officeDocument/2006/relationships/ctrlProp" Target="../ctrlProps/ctrlProp317.xml"/><Relationship Id="rId10" Type="http://schemas.openxmlformats.org/officeDocument/2006/relationships/ctrlProp" Target="../ctrlProps/ctrlProp299.xml"/><Relationship Id="rId19" Type="http://schemas.openxmlformats.org/officeDocument/2006/relationships/ctrlProp" Target="../ctrlProps/ctrlProp308.xml"/><Relationship Id="rId31" Type="http://schemas.openxmlformats.org/officeDocument/2006/relationships/ctrlProp" Target="../ctrlProps/ctrlProp320.xml"/><Relationship Id="rId4" Type="http://schemas.openxmlformats.org/officeDocument/2006/relationships/vmlDrawing" Target="../drawings/vmlDrawing15.vml"/><Relationship Id="rId9" Type="http://schemas.openxmlformats.org/officeDocument/2006/relationships/ctrlProp" Target="../ctrlProps/ctrlProp298.xml"/><Relationship Id="rId14" Type="http://schemas.openxmlformats.org/officeDocument/2006/relationships/ctrlProp" Target="../ctrlProps/ctrlProp303.xml"/><Relationship Id="rId22" Type="http://schemas.openxmlformats.org/officeDocument/2006/relationships/ctrlProp" Target="../ctrlProps/ctrlProp311.xml"/><Relationship Id="rId27" Type="http://schemas.openxmlformats.org/officeDocument/2006/relationships/ctrlProp" Target="../ctrlProps/ctrlProp316.xml"/><Relationship Id="rId30" Type="http://schemas.openxmlformats.org/officeDocument/2006/relationships/ctrlProp" Target="../ctrlProps/ctrlProp31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4.xml"/><Relationship Id="rId13" Type="http://schemas.openxmlformats.org/officeDocument/2006/relationships/ctrlProp" Target="../ctrlProps/ctrlProp329.xml"/><Relationship Id="rId18" Type="http://schemas.openxmlformats.org/officeDocument/2006/relationships/ctrlProp" Target="../ctrlProps/ctrlProp334.xml"/><Relationship Id="rId3" Type="http://schemas.openxmlformats.org/officeDocument/2006/relationships/drawing" Target="../drawings/drawing17.xml"/><Relationship Id="rId7" Type="http://schemas.openxmlformats.org/officeDocument/2006/relationships/ctrlProp" Target="../ctrlProps/ctrlProp323.xml"/><Relationship Id="rId12" Type="http://schemas.openxmlformats.org/officeDocument/2006/relationships/ctrlProp" Target="../ctrlProps/ctrlProp328.xml"/><Relationship Id="rId17" Type="http://schemas.openxmlformats.org/officeDocument/2006/relationships/ctrlProp" Target="../ctrlProps/ctrlProp333.xml"/><Relationship Id="rId2" Type="http://schemas.openxmlformats.org/officeDocument/2006/relationships/printerSettings" Target="../printerSettings/printerSettings31.bin"/><Relationship Id="rId16" Type="http://schemas.openxmlformats.org/officeDocument/2006/relationships/ctrlProp" Target="../ctrlProps/ctrlProp332.xml"/><Relationship Id="rId1" Type="http://schemas.openxmlformats.org/officeDocument/2006/relationships/printerSettings" Target="../printerSettings/printerSettings30.bin"/><Relationship Id="rId6" Type="http://schemas.openxmlformats.org/officeDocument/2006/relationships/ctrlProp" Target="../ctrlProps/ctrlProp322.xml"/><Relationship Id="rId11" Type="http://schemas.openxmlformats.org/officeDocument/2006/relationships/ctrlProp" Target="../ctrlProps/ctrlProp327.xml"/><Relationship Id="rId5" Type="http://schemas.openxmlformats.org/officeDocument/2006/relationships/ctrlProp" Target="../ctrlProps/ctrlProp321.xml"/><Relationship Id="rId15" Type="http://schemas.openxmlformats.org/officeDocument/2006/relationships/ctrlProp" Target="../ctrlProps/ctrlProp331.xml"/><Relationship Id="rId10" Type="http://schemas.openxmlformats.org/officeDocument/2006/relationships/ctrlProp" Target="../ctrlProps/ctrlProp326.xml"/><Relationship Id="rId4" Type="http://schemas.openxmlformats.org/officeDocument/2006/relationships/vmlDrawing" Target="../drawings/vmlDrawing16.vml"/><Relationship Id="rId9" Type="http://schemas.openxmlformats.org/officeDocument/2006/relationships/ctrlProp" Target="../ctrlProps/ctrlProp325.xml"/><Relationship Id="rId14" Type="http://schemas.openxmlformats.org/officeDocument/2006/relationships/ctrlProp" Target="../ctrlProps/ctrlProp33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36.xml"/><Relationship Id="rId13" Type="http://schemas.openxmlformats.org/officeDocument/2006/relationships/ctrlProp" Target="../ctrlProps/ctrlProp341.xml"/><Relationship Id="rId18" Type="http://schemas.openxmlformats.org/officeDocument/2006/relationships/ctrlProp" Target="../ctrlProps/ctrlProp346.xml"/><Relationship Id="rId26" Type="http://schemas.openxmlformats.org/officeDocument/2006/relationships/ctrlProp" Target="../ctrlProps/ctrlProp354.xml"/><Relationship Id="rId3" Type="http://schemas.openxmlformats.org/officeDocument/2006/relationships/printerSettings" Target="../printerSettings/printerSettings34.bin"/><Relationship Id="rId21" Type="http://schemas.openxmlformats.org/officeDocument/2006/relationships/ctrlProp" Target="../ctrlProps/ctrlProp349.xml"/><Relationship Id="rId7" Type="http://schemas.openxmlformats.org/officeDocument/2006/relationships/ctrlProp" Target="../ctrlProps/ctrlProp335.xml"/><Relationship Id="rId12" Type="http://schemas.openxmlformats.org/officeDocument/2006/relationships/ctrlProp" Target="../ctrlProps/ctrlProp340.xml"/><Relationship Id="rId17" Type="http://schemas.openxmlformats.org/officeDocument/2006/relationships/ctrlProp" Target="../ctrlProps/ctrlProp345.xml"/><Relationship Id="rId25" Type="http://schemas.openxmlformats.org/officeDocument/2006/relationships/ctrlProp" Target="../ctrlProps/ctrlProp353.xml"/><Relationship Id="rId2" Type="http://schemas.openxmlformats.org/officeDocument/2006/relationships/printerSettings" Target="../printerSettings/printerSettings33.bin"/><Relationship Id="rId16" Type="http://schemas.openxmlformats.org/officeDocument/2006/relationships/ctrlProp" Target="../ctrlProps/ctrlProp344.xml"/><Relationship Id="rId20" Type="http://schemas.openxmlformats.org/officeDocument/2006/relationships/ctrlProp" Target="../ctrlProps/ctrlProp348.xml"/><Relationship Id="rId29" Type="http://schemas.openxmlformats.org/officeDocument/2006/relationships/ctrlProp" Target="../ctrlProps/ctrlProp357.xml"/><Relationship Id="rId1" Type="http://schemas.openxmlformats.org/officeDocument/2006/relationships/printerSettings" Target="../printerSettings/printerSettings32.bin"/><Relationship Id="rId6" Type="http://schemas.openxmlformats.org/officeDocument/2006/relationships/vmlDrawing" Target="../drawings/vmlDrawing18.vml"/><Relationship Id="rId11" Type="http://schemas.openxmlformats.org/officeDocument/2006/relationships/ctrlProp" Target="../ctrlProps/ctrlProp339.xml"/><Relationship Id="rId24" Type="http://schemas.openxmlformats.org/officeDocument/2006/relationships/ctrlProp" Target="../ctrlProps/ctrlProp352.xml"/><Relationship Id="rId5" Type="http://schemas.openxmlformats.org/officeDocument/2006/relationships/vmlDrawing" Target="../drawings/vmlDrawing17.vml"/><Relationship Id="rId15" Type="http://schemas.openxmlformats.org/officeDocument/2006/relationships/ctrlProp" Target="../ctrlProps/ctrlProp343.xml"/><Relationship Id="rId23" Type="http://schemas.openxmlformats.org/officeDocument/2006/relationships/ctrlProp" Target="../ctrlProps/ctrlProp351.xml"/><Relationship Id="rId28" Type="http://schemas.openxmlformats.org/officeDocument/2006/relationships/ctrlProp" Target="../ctrlProps/ctrlProp356.xml"/><Relationship Id="rId10" Type="http://schemas.openxmlformats.org/officeDocument/2006/relationships/ctrlProp" Target="../ctrlProps/ctrlProp338.xml"/><Relationship Id="rId19" Type="http://schemas.openxmlformats.org/officeDocument/2006/relationships/ctrlProp" Target="../ctrlProps/ctrlProp347.xml"/><Relationship Id="rId4" Type="http://schemas.openxmlformats.org/officeDocument/2006/relationships/drawing" Target="../drawings/drawing18.xml"/><Relationship Id="rId9" Type="http://schemas.openxmlformats.org/officeDocument/2006/relationships/ctrlProp" Target="../ctrlProps/ctrlProp337.xml"/><Relationship Id="rId14" Type="http://schemas.openxmlformats.org/officeDocument/2006/relationships/ctrlProp" Target="../ctrlProps/ctrlProp342.xml"/><Relationship Id="rId22" Type="http://schemas.openxmlformats.org/officeDocument/2006/relationships/ctrlProp" Target="../ctrlProps/ctrlProp350.xml"/><Relationship Id="rId27" Type="http://schemas.openxmlformats.org/officeDocument/2006/relationships/ctrlProp" Target="../ctrlProps/ctrlProp355.xml"/><Relationship Id="rId30" Type="http://schemas.openxmlformats.org/officeDocument/2006/relationships/ctrlProp" Target="../ctrlProps/ctrlProp35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vmlDrawing" Target="../drawings/vmlDrawing2.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4.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4.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26" Type="http://schemas.openxmlformats.org/officeDocument/2006/relationships/ctrlProp" Target="../ctrlProps/ctrlProp68.xml"/><Relationship Id="rId3" Type="http://schemas.openxmlformats.org/officeDocument/2006/relationships/drawing" Target="../drawings/drawing5.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6.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5.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28" Type="http://schemas.openxmlformats.org/officeDocument/2006/relationships/comments" Target="../comments3.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 Id="rId27" Type="http://schemas.openxmlformats.org/officeDocument/2006/relationships/ctrlProp" Target="../ctrlProps/ctrlProp69.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79.xml"/><Relationship Id="rId18" Type="http://schemas.openxmlformats.org/officeDocument/2006/relationships/ctrlProp" Target="../ctrlProps/ctrlProp84.xml"/><Relationship Id="rId26" Type="http://schemas.openxmlformats.org/officeDocument/2006/relationships/ctrlProp" Target="../ctrlProps/ctrlProp92.xml"/><Relationship Id="rId3" Type="http://schemas.openxmlformats.org/officeDocument/2006/relationships/vmlDrawing" Target="../drawings/vmlDrawing4.vml"/><Relationship Id="rId21" Type="http://schemas.openxmlformats.org/officeDocument/2006/relationships/ctrlProp" Target="../ctrlProps/ctrlProp87.xml"/><Relationship Id="rId7" Type="http://schemas.openxmlformats.org/officeDocument/2006/relationships/ctrlProp" Target="../ctrlProps/ctrlProp73.xml"/><Relationship Id="rId12" Type="http://schemas.openxmlformats.org/officeDocument/2006/relationships/ctrlProp" Target="../ctrlProps/ctrlProp78.xml"/><Relationship Id="rId17" Type="http://schemas.openxmlformats.org/officeDocument/2006/relationships/ctrlProp" Target="../ctrlProps/ctrlProp83.xml"/><Relationship Id="rId25" Type="http://schemas.openxmlformats.org/officeDocument/2006/relationships/ctrlProp" Target="../ctrlProps/ctrlProp91.xml"/><Relationship Id="rId33"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82.xml"/><Relationship Id="rId20" Type="http://schemas.openxmlformats.org/officeDocument/2006/relationships/ctrlProp" Target="../ctrlProps/ctrlProp86.xml"/><Relationship Id="rId29" Type="http://schemas.openxmlformats.org/officeDocument/2006/relationships/ctrlProp" Target="../ctrlProps/ctrlProp95.xml"/><Relationship Id="rId1" Type="http://schemas.openxmlformats.org/officeDocument/2006/relationships/printerSettings" Target="../printerSettings/printerSettings7.bin"/><Relationship Id="rId6" Type="http://schemas.openxmlformats.org/officeDocument/2006/relationships/ctrlProp" Target="../ctrlProps/ctrlProp72.xml"/><Relationship Id="rId11" Type="http://schemas.openxmlformats.org/officeDocument/2006/relationships/ctrlProp" Target="../ctrlProps/ctrlProp77.xml"/><Relationship Id="rId24" Type="http://schemas.openxmlformats.org/officeDocument/2006/relationships/ctrlProp" Target="../ctrlProps/ctrlProp90.xml"/><Relationship Id="rId32" Type="http://schemas.openxmlformats.org/officeDocument/2006/relationships/ctrlProp" Target="../ctrlProps/ctrlProp98.xml"/><Relationship Id="rId5" Type="http://schemas.openxmlformats.org/officeDocument/2006/relationships/ctrlProp" Target="../ctrlProps/ctrlProp71.xml"/><Relationship Id="rId15" Type="http://schemas.openxmlformats.org/officeDocument/2006/relationships/ctrlProp" Target="../ctrlProps/ctrlProp81.xml"/><Relationship Id="rId23" Type="http://schemas.openxmlformats.org/officeDocument/2006/relationships/ctrlProp" Target="../ctrlProps/ctrlProp89.xml"/><Relationship Id="rId28" Type="http://schemas.openxmlformats.org/officeDocument/2006/relationships/ctrlProp" Target="../ctrlProps/ctrlProp94.xml"/><Relationship Id="rId10" Type="http://schemas.openxmlformats.org/officeDocument/2006/relationships/ctrlProp" Target="../ctrlProps/ctrlProp76.xml"/><Relationship Id="rId19" Type="http://schemas.openxmlformats.org/officeDocument/2006/relationships/ctrlProp" Target="../ctrlProps/ctrlProp85.xml"/><Relationship Id="rId31" Type="http://schemas.openxmlformats.org/officeDocument/2006/relationships/ctrlProp" Target="../ctrlProps/ctrlProp97.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trlProp" Target="../ctrlProps/ctrlProp88.xml"/><Relationship Id="rId27" Type="http://schemas.openxmlformats.org/officeDocument/2006/relationships/ctrlProp" Target="../ctrlProps/ctrlProp93.xml"/><Relationship Id="rId30" Type="http://schemas.openxmlformats.org/officeDocument/2006/relationships/ctrlProp" Target="../ctrlProps/ctrlProp96.xml"/><Relationship Id="rId8" Type="http://schemas.openxmlformats.org/officeDocument/2006/relationships/ctrlProp" Target="../ctrlProps/ctrlProp74.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8.xml"/><Relationship Id="rId18" Type="http://schemas.openxmlformats.org/officeDocument/2006/relationships/ctrlProp" Target="../ctrlProps/ctrlProp113.xml"/><Relationship Id="rId26" Type="http://schemas.openxmlformats.org/officeDocument/2006/relationships/ctrlProp" Target="../ctrlProps/ctrlProp121.xml"/><Relationship Id="rId3" Type="http://schemas.openxmlformats.org/officeDocument/2006/relationships/vmlDrawing" Target="../drawings/vmlDrawing5.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5" Type="http://schemas.openxmlformats.org/officeDocument/2006/relationships/ctrlProp" Target="../ctrlProps/ctrlProp120.xml"/><Relationship Id="rId33" Type="http://schemas.openxmlformats.org/officeDocument/2006/relationships/comments" Target="../comments5.xml"/><Relationship Id="rId2" Type="http://schemas.openxmlformats.org/officeDocument/2006/relationships/drawing" Target="../drawings/drawing7.xml"/><Relationship Id="rId16" Type="http://schemas.openxmlformats.org/officeDocument/2006/relationships/ctrlProp" Target="../ctrlProps/ctrlProp111.xml"/><Relationship Id="rId20" Type="http://schemas.openxmlformats.org/officeDocument/2006/relationships/ctrlProp" Target="../ctrlProps/ctrlProp115.xml"/><Relationship Id="rId29" Type="http://schemas.openxmlformats.org/officeDocument/2006/relationships/ctrlProp" Target="../ctrlProps/ctrlProp124.xml"/><Relationship Id="rId1" Type="http://schemas.openxmlformats.org/officeDocument/2006/relationships/printerSettings" Target="../printerSettings/printerSettings8.bin"/><Relationship Id="rId6" Type="http://schemas.openxmlformats.org/officeDocument/2006/relationships/ctrlProp" Target="../ctrlProps/ctrlProp101.xml"/><Relationship Id="rId11" Type="http://schemas.openxmlformats.org/officeDocument/2006/relationships/ctrlProp" Target="../ctrlProps/ctrlProp106.xml"/><Relationship Id="rId24" Type="http://schemas.openxmlformats.org/officeDocument/2006/relationships/ctrlProp" Target="../ctrlProps/ctrlProp119.xml"/><Relationship Id="rId32" Type="http://schemas.openxmlformats.org/officeDocument/2006/relationships/ctrlProp" Target="../ctrlProps/ctrlProp127.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28" Type="http://schemas.openxmlformats.org/officeDocument/2006/relationships/ctrlProp" Target="../ctrlProps/ctrlProp123.xml"/><Relationship Id="rId10" Type="http://schemas.openxmlformats.org/officeDocument/2006/relationships/ctrlProp" Target="../ctrlProps/ctrlProp105.xml"/><Relationship Id="rId19" Type="http://schemas.openxmlformats.org/officeDocument/2006/relationships/ctrlProp" Target="../ctrlProps/ctrlProp114.xml"/><Relationship Id="rId31" Type="http://schemas.openxmlformats.org/officeDocument/2006/relationships/ctrlProp" Target="../ctrlProps/ctrlProp126.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 Id="rId27" Type="http://schemas.openxmlformats.org/officeDocument/2006/relationships/ctrlProp" Target="../ctrlProps/ctrlProp122.xml"/><Relationship Id="rId30" Type="http://schemas.openxmlformats.org/officeDocument/2006/relationships/ctrlProp" Target="../ctrlProps/ctrlProp125.xml"/><Relationship Id="rId8" Type="http://schemas.openxmlformats.org/officeDocument/2006/relationships/ctrlProp" Target="../ctrlProps/ctrlProp10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printerSettings" Target="../printerSettings/printerSettings11.bin"/><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printerSettings" Target="../printerSettings/printerSettings10.bin"/><Relationship Id="rId16" Type="http://schemas.openxmlformats.org/officeDocument/2006/relationships/ctrlProp" Target="../ctrlProps/ctrlProp138.xml"/><Relationship Id="rId1" Type="http://schemas.openxmlformats.org/officeDocument/2006/relationships/printerSettings" Target="../printerSettings/printerSettings9.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vmlDrawing" Target="../drawings/vmlDrawing6.v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drawing" Target="../drawings/drawing8.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drawing" Target="../drawings/drawing9.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printerSettings" Target="../printerSettings/printerSettings13.bin"/><Relationship Id="rId16" Type="http://schemas.openxmlformats.org/officeDocument/2006/relationships/ctrlProp" Target="../ctrlProps/ctrlProp153.xml"/><Relationship Id="rId1" Type="http://schemas.openxmlformats.org/officeDocument/2006/relationships/printerSettings" Target="../printerSettings/printerSettings12.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5" Type="http://schemas.openxmlformats.org/officeDocument/2006/relationships/ctrlProp" Target="../ctrlProps/ctrlProp152.xml"/><Relationship Id="rId10" Type="http://schemas.openxmlformats.org/officeDocument/2006/relationships/ctrlProp" Target="../ctrlProps/ctrlProp147.xml"/><Relationship Id="rId19" Type="http://schemas.openxmlformats.org/officeDocument/2006/relationships/comments" Target="../comments6.xml"/><Relationship Id="rId4" Type="http://schemas.openxmlformats.org/officeDocument/2006/relationships/vmlDrawing" Target="../drawings/vmlDrawing7.vml"/><Relationship Id="rId9" Type="http://schemas.openxmlformats.org/officeDocument/2006/relationships/ctrlProp" Target="../ctrlProps/ctrlProp146.xml"/><Relationship Id="rId14" Type="http://schemas.openxmlformats.org/officeDocument/2006/relationships/ctrlProp" Target="../ctrlProps/ctrlProp15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I5"/>
  <sheetViews>
    <sheetView showGridLines="0" showRowColHeaders="0" zoomScale="90" zoomScaleNormal="90" workbookViewId="0">
      <selection activeCell="G27" sqref="G27"/>
    </sheetView>
  </sheetViews>
  <sheetFormatPr defaultColWidth="9.140625" defaultRowHeight="14.1"/>
  <cols>
    <col min="1" max="1" width="3.140625" style="185" customWidth="1"/>
    <col min="2" max="2" width="20.7109375" style="185" customWidth="1"/>
    <col min="3" max="3" width="90.7109375" style="185" customWidth="1"/>
    <col min="4" max="4" width="5.140625" style="185" customWidth="1"/>
    <col min="5" max="5" width="9.140625" style="185"/>
    <col min="6" max="6" width="110.7109375" style="185" customWidth="1"/>
    <col min="7" max="16384" width="9.140625" style="185"/>
  </cols>
  <sheetData>
    <row r="2" spans="2:9" ht="78.75" customHeight="1">
      <c r="B2" s="188" t="s">
        <v>0</v>
      </c>
    </row>
    <row r="3" spans="2:9">
      <c r="B3" s="449" t="s">
        <v>1</v>
      </c>
    </row>
    <row r="5" spans="2:9" ht="30" customHeight="1">
      <c r="B5" s="450" t="s">
        <v>2</v>
      </c>
      <c r="C5" s="451"/>
      <c r="D5" s="452"/>
      <c r="E5" s="453"/>
      <c r="F5" s="450" t="s">
        <v>3</v>
      </c>
      <c r="G5" s="186"/>
      <c r="H5" s="186"/>
      <c r="I5" s="186"/>
    </row>
  </sheetData>
  <sheetProtection algorithmName="SHA-512" hashValue="VSPMgcgUuosPA6tHm8QTsR5hxNqrdK+SxNZNeFnEgD722XIEc0nUNPQEt9rpbIeYZdw9jyMsabYgjwTNaCsBNg==" saltValue="70lN9xM9KY1J814bWgaJ0g==" spinCount="100000" sheet="1" selectLockedCells="1" selectUnlockedCells="1"/>
  <customSheetViews>
    <customSheetView guid="{CEACA748-A46A-4C8B-98CF-30E51B671B84}" scale="90" showGridLines="0">
      <selection activeCell="E2" sqref="E2"/>
      <pageMargins left="0" right="0" top="0" bottom="0" header="0" footer="0"/>
    </customSheetView>
    <customSheetView guid="{2ED91B50-D126-4494-B9B8-889B5F8EA715}" scale="115" showGridLines="0" showRowCol="0" topLeftCell="A31">
      <selection activeCell="F7" sqref="F7"/>
      <pageMargins left="0" right="0" top="0" bottom="0" header="0" footer="0"/>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theme="8" tint="0.39997558519241921"/>
    <pageSetUpPr fitToPage="1"/>
  </sheetPr>
  <dimension ref="A1:AA134"/>
  <sheetViews>
    <sheetView showGridLines="0" showRowColHeaders="0" topLeftCell="E1" zoomScale="80" zoomScaleNormal="80" workbookViewId="0">
      <pane ySplit="8" topLeftCell="A9" activePane="bottomLeft" state="frozen"/>
      <selection pane="bottomLeft" activeCell="P98" sqref="P98"/>
      <selection activeCell="E1" sqref="E1"/>
    </sheetView>
  </sheetViews>
  <sheetFormatPr defaultColWidth="10.28515625" defaultRowHeight="14.1"/>
  <cols>
    <col min="1" max="2" width="10.28515625" style="1" hidden="1" customWidth="1"/>
    <col min="3" max="3" width="10.28515625" style="73" hidden="1" customWidth="1"/>
    <col min="4" max="4" width="1.7109375" style="1" hidden="1" customWidth="1"/>
    <col min="5" max="5" width="4.7109375" style="1" customWidth="1"/>
    <col min="6" max="6" width="30.7109375" style="10" customWidth="1"/>
    <col min="7" max="7" width="55.7109375" style="10" customWidth="1"/>
    <col min="8" max="8" width="10.7109375" style="5" customWidth="1"/>
    <col min="9" max="9" width="12.7109375" style="5" hidden="1" customWidth="1"/>
    <col min="10" max="10" width="50.7109375" style="10" customWidth="1"/>
    <col min="11" max="11" width="15.7109375" style="5" customWidth="1"/>
    <col min="12" max="12" width="15.7109375" style="1071" customWidth="1"/>
    <col min="13" max="13" width="10.7109375" style="1072" customWidth="1"/>
    <col min="14" max="15" width="26.7109375" style="1070" customWidth="1"/>
    <col min="16" max="16" width="45.7109375" style="1070" customWidth="1"/>
    <col min="17" max="18" width="19.7109375" style="3" hidden="1" customWidth="1"/>
    <col min="19" max="19" width="10.28515625" style="3" customWidth="1"/>
    <col min="20" max="20" width="27.5703125" style="3" hidden="1" customWidth="1"/>
    <col min="21" max="22" width="10.28515625" style="1" hidden="1" customWidth="1"/>
    <col min="23" max="23" width="51.42578125" style="1" hidden="1" customWidth="1"/>
    <col min="24" max="24" width="31.5703125" style="1" hidden="1" customWidth="1"/>
    <col min="25" max="26" width="11.5703125" style="1" customWidth="1"/>
    <col min="27" max="16384" width="10.28515625" style="1"/>
  </cols>
  <sheetData>
    <row r="1" spans="1:27" s="55" customFormat="1" ht="45" customHeight="1">
      <c r="A1" s="142" t="s">
        <v>14</v>
      </c>
      <c r="B1" s="142" t="s">
        <v>14</v>
      </c>
      <c r="C1" s="142" t="s">
        <v>14</v>
      </c>
      <c r="D1" s="838"/>
      <c r="E1" s="838"/>
      <c r="F1" s="184" t="s">
        <v>0</v>
      </c>
      <c r="G1" s="184"/>
      <c r="H1" s="184"/>
      <c r="I1" s="184"/>
      <c r="J1" s="183"/>
      <c r="K1" s="817"/>
      <c r="L1" s="1027"/>
      <c r="M1" s="1028"/>
      <c r="N1" s="987"/>
      <c r="O1" s="987"/>
      <c r="P1" s="987"/>
      <c r="Q1" s="143" t="s">
        <v>14</v>
      </c>
      <c r="R1" s="143" t="s">
        <v>14</v>
      </c>
      <c r="S1" s="538"/>
      <c r="T1" s="143" t="s">
        <v>14</v>
      </c>
      <c r="U1" s="145" t="s">
        <v>14</v>
      </c>
      <c r="V1" s="142" t="s">
        <v>14</v>
      </c>
      <c r="W1" s="142" t="s">
        <v>14</v>
      </c>
      <c r="X1" s="142" t="s">
        <v>14</v>
      </c>
      <c r="Y1" s="142"/>
      <c r="Z1" s="838"/>
      <c r="AA1" s="838"/>
    </row>
    <row r="2" spans="1:27" ht="37.5" customHeight="1">
      <c r="A2" s="821"/>
      <c r="B2" s="821"/>
      <c r="C2" s="846"/>
      <c r="D2" s="821"/>
      <c r="E2" s="821"/>
      <c r="F2" s="132" t="s">
        <v>227</v>
      </c>
      <c r="G2" s="1392" t="s">
        <v>228</v>
      </c>
      <c r="H2" s="1393"/>
      <c r="I2" s="6"/>
      <c r="J2" s="52"/>
      <c r="K2" s="7" t="s">
        <v>485</v>
      </c>
      <c r="L2" s="1029" t="s">
        <v>532</v>
      </c>
      <c r="M2" s="1028"/>
      <c r="N2" s="580"/>
      <c r="O2" s="580"/>
      <c r="P2" s="580"/>
      <c r="Q2" s="164"/>
      <c r="R2" s="164"/>
      <c r="S2" s="164"/>
      <c r="T2" s="164" t="s">
        <v>255</v>
      </c>
      <c r="U2" s="164" t="s">
        <v>241</v>
      </c>
      <c r="V2" s="821"/>
      <c r="W2" s="821" t="s">
        <v>488</v>
      </c>
      <c r="X2" s="838" t="s">
        <v>235</v>
      </c>
      <c r="Y2" s="821"/>
      <c r="Z2" s="821"/>
      <c r="AA2" s="821"/>
    </row>
    <row r="3" spans="1:27" ht="37.5" customHeight="1">
      <c r="A3" s="821"/>
      <c r="B3" s="821"/>
      <c r="C3" s="846"/>
      <c r="D3" s="821"/>
      <c r="E3" s="821"/>
      <c r="F3" s="133" t="s">
        <v>229</v>
      </c>
      <c r="G3" s="1376" t="s">
        <v>531</v>
      </c>
      <c r="H3" s="1377"/>
      <c r="I3" s="6"/>
      <c r="J3" s="52"/>
      <c r="K3" s="53">
        <f>K111</f>
        <v>100</v>
      </c>
      <c r="L3" s="1030">
        <f>L114</f>
        <v>0</v>
      </c>
      <c r="M3" s="1028"/>
      <c r="N3" s="580"/>
      <c r="O3" s="580"/>
      <c r="P3" s="580"/>
      <c r="Q3" s="164"/>
      <c r="R3" s="164"/>
      <c r="S3" s="164"/>
      <c r="T3" s="164" t="s">
        <v>655</v>
      </c>
      <c r="U3" s="164" t="s">
        <v>259</v>
      </c>
      <c r="V3" s="821"/>
      <c r="W3" s="821" t="s">
        <v>796</v>
      </c>
      <c r="X3" s="821" t="s">
        <v>797</v>
      </c>
      <c r="Y3" s="821"/>
      <c r="Z3" s="821"/>
      <c r="AA3" s="821"/>
    </row>
    <row r="4" spans="1:27" ht="37.5" customHeight="1">
      <c r="A4" s="874" t="s">
        <v>231</v>
      </c>
      <c r="B4" s="874" t="s">
        <v>232</v>
      </c>
      <c r="C4" s="846" t="s">
        <v>233</v>
      </c>
      <c r="D4" s="821"/>
      <c r="E4" s="821"/>
      <c r="F4" s="133" t="s">
        <v>234</v>
      </c>
      <c r="G4" s="1380" t="s">
        <v>235</v>
      </c>
      <c r="H4" s="1381"/>
      <c r="I4" s="9"/>
      <c r="J4" s="6"/>
      <c r="K4" s="821"/>
      <c r="L4" s="1031"/>
      <c r="M4" s="1032"/>
      <c r="N4" s="580"/>
      <c r="O4" s="580"/>
      <c r="P4" s="580"/>
      <c r="Q4" s="164"/>
      <c r="R4" s="164"/>
      <c r="S4" s="164"/>
      <c r="T4" s="164" t="s">
        <v>798</v>
      </c>
      <c r="U4" s="164" t="s">
        <v>268</v>
      </c>
      <c r="V4" s="821"/>
      <c r="W4" s="821" t="s">
        <v>799</v>
      </c>
      <c r="X4" s="821" t="s">
        <v>800</v>
      </c>
      <c r="Y4" s="821"/>
      <c r="Z4" s="821"/>
      <c r="AA4" s="821"/>
    </row>
    <row r="5" spans="1:27" ht="37.5" customHeight="1">
      <c r="A5" s="821"/>
      <c r="B5" s="821"/>
      <c r="C5" s="846"/>
      <c r="D5" s="821"/>
      <c r="E5" s="821"/>
      <c r="F5" s="133" t="s">
        <v>238</v>
      </c>
      <c r="G5" s="1380" t="s">
        <v>801</v>
      </c>
      <c r="H5" s="1381"/>
      <c r="I5" s="9"/>
      <c r="J5" s="9"/>
      <c r="K5" s="538"/>
      <c r="L5" s="1033"/>
      <c r="M5" s="580"/>
      <c r="N5" s="580"/>
      <c r="O5" s="580"/>
      <c r="P5" s="580"/>
      <c r="Q5" s="164"/>
      <c r="R5" s="164"/>
      <c r="S5" s="164"/>
      <c r="T5" s="164" t="s">
        <v>802</v>
      </c>
      <c r="U5" s="892"/>
      <c r="V5" s="821"/>
      <c r="W5" s="821" t="s">
        <v>803</v>
      </c>
      <c r="X5" s="821" t="s">
        <v>804</v>
      </c>
      <c r="Y5" s="821"/>
      <c r="Z5" s="821"/>
      <c r="AA5" s="821"/>
    </row>
    <row r="6" spans="1:27" ht="37.5" customHeight="1">
      <c r="A6" s="821"/>
      <c r="B6" s="821"/>
      <c r="C6" s="846"/>
      <c r="D6" s="821"/>
      <c r="E6" s="821"/>
      <c r="F6" s="134" t="s">
        <v>805</v>
      </c>
      <c r="G6" s="1382" t="s">
        <v>806</v>
      </c>
      <c r="H6" s="1383"/>
      <c r="I6" s="9"/>
      <c r="J6" s="9"/>
      <c r="K6" s="538"/>
      <c r="L6" s="1033"/>
      <c r="M6" s="580"/>
      <c r="N6" s="580"/>
      <c r="O6" s="580"/>
      <c r="P6" s="580"/>
      <c r="Q6" s="164"/>
      <c r="R6" s="164"/>
      <c r="S6" s="164"/>
      <c r="T6" s="164" t="s">
        <v>656</v>
      </c>
      <c r="U6" s="892"/>
      <c r="V6" s="821"/>
      <c r="W6" s="821" t="s">
        <v>801</v>
      </c>
      <c r="X6" s="821" t="s">
        <v>256</v>
      </c>
      <c r="Y6" s="821"/>
      <c r="Z6" s="821"/>
      <c r="AA6" s="821"/>
    </row>
    <row r="7" spans="1:27" ht="24.95" customHeight="1">
      <c r="A7" s="821"/>
      <c r="B7" s="821"/>
      <c r="C7" s="846"/>
      <c r="D7" s="821"/>
      <c r="E7" s="821"/>
      <c r="F7" s="814"/>
      <c r="G7" s="823"/>
      <c r="H7" s="817"/>
      <c r="I7" s="817"/>
      <c r="J7" s="823"/>
      <c r="K7" s="817"/>
      <c r="L7" s="1027"/>
      <c r="M7" s="1034"/>
      <c r="N7" s="1378" t="s">
        <v>255</v>
      </c>
      <c r="O7" s="1378"/>
      <c r="P7" s="1035" t="s">
        <v>241</v>
      </c>
      <c r="Q7" s="164"/>
      <c r="R7" s="164"/>
      <c r="S7" s="164"/>
      <c r="T7" s="164"/>
      <c r="U7" s="821"/>
      <c r="V7" s="821"/>
      <c r="W7" s="821"/>
      <c r="X7" s="821" t="s">
        <v>260</v>
      </c>
      <c r="Y7" s="821"/>
      <c r="Z7" s="821"/>
      <c r="AA7" s="821"/>
    </row>
    <row r="8" spans="1:27" ht="45" customHeight="1">
      <c r="A8" s="821"/>
      <c r="B8" s="821"/>
      <c r="C8" s="846"/>
      <c r="D8" s="821"/>
      <c r="E8" s="50" t="s">
        <v>242</v>
      </c>
      <c r="F8" s="11" t="s">
        <v>807</v>
      </c>
      <c r="G8" s="11" t="s">
        <v>808</v>
      </c>
      <c r="H8" s="7" t="s">
        <v>245</v>
      </c>
      <c r="I8" s="7" t="s">
        <v>809</v>
      </c>
      <c r="J8" s="11" t="s">
        <v>246</v>
      </c>
      <c r="K8" s="7" t="s">
        <v>247</v>
      </c>
      <c r="L8" s="1029" t="s">
        <v>248</v>
      </c>
      <c r="M8" s="1036"/>
      <c r="N8" s="982" t="s">
        <v>249</v>
      </c>
      <c r="O8" s="982" t="s">
        <v>250</v>
      </c>
      <c r="P8" s="1029" t="s">
        <v>251</v>
      </c>
      <c r="Q8" s="7" t="s">
        <v>252</v>
      </c>
      <c r="R8" s="7" t="s">
        <v>253</v>
      </c>
      <c r="S8" s="164"/>
      <c r="T8" s="164"/>
      <c r="U8" s="892"/>
      <c r="V8" s="821"/>
      <c r="W8" s="821"/>
      <c r="X8" s="821" t="s">
        <v>269</v>
      </c>
      <c r="Y8" s="821"/>
      <c r="Z8" s="821"/>
      <c r="AA8" s="821"/>
    </row>
    <row r="9" spans="1:27" ht="45" customHeight="1">
      <c r="A9" s="821"/>
      <c r="B9" s="821"/>
      <c r="C9" s="846"/>
      <c r="D9" s="821"/>
      <c r="E9" s="821"/>
      <c r="F9" s="56" t="s">
        <v>254</v>
      </c>
      <c r="G9" s="56"/>
      <c r="H9" s="56"/>
      <c r="I9" s="56"/>
      <c r="J9" s="56"/>
      <c r="K9" s="21"/>
      <c r="L9" s="1037"/>
      <c r="M9" s="1036"/>
      <c r="N9" s="1038"/>
      <c r="O9" s="1038"/>
      <c r="P9" s="1039"/>
      <c r="Q9" s="14"/>
      <c r="R9" s="14"/>
      <c r="S9" s="164"/>
      <c r="T9" s="164"/>
      <c r="U9" s="892"/>
      <c r="V9" s="821"/>
      <c r="W9" s="821"/>
      <c r="X9" s="821"/>
      <c r="Y9" s="821"/>
      <c r="Z9" s="821"/>
      <c r="AA9" s="821"/>
    </row>
    <row r="10" spans="1:27" ht="45" customHeight="1">
      <c r="A10" s="821"/>
      <c r="B10" s="821"/>
      <c r="C10" s="846"/>
      <c r="D10" s="821"/>
      <c r="E10" s="821"/>
      <c r="F10" s="172" t="s">
        <v>257</v>
      </c>
      <c r="G10" s="899" t="s">
        <v>810</v>
      </c>
      <c r="H10" s="900">
        <v>1.1000000000000001</v>
      </c>
      <c r="I10" s="900" t="s">
        <v>811</v>
      </c>
      <c r="J10" s="901" t="s">
        <v>812</v>
      </c>
      <c r="K10" s="902">
        <v>1</v>
      </c>
      <c r="L10" s="1040"/>
      <c r="M10" s="1041"/>
      <c r="N10" s="1042"/>
      <c r="O10" s="1042"/>
      <c r="P10" s="1006"/>
      <c r="Q10" s="135" t="str">
        <f t="shared" ref="Q10:Q25" si="0">IF(ISBLANK($L10)=FALSE,IF(N10="","No","Yes"),"")</f>
        <v/>
      </c>
      <c r="R10" s="135" t="str">
        <f t="shared" ref="R10:R25" si="1">IF(ISBLANK($L10)=FALSE,IF(O10="","No","Yes"),"")</f>
        <v/>
      </c>
      <c r="S10" s="164"/>
      <c r="T10" s="164"/>
      <c r="U10" s="892"/>
      <c r="V10" s="821"/>
      <c r="W10" s="821"/>
      <c r="X10"/>
      <c r="Y10"/>
      <c r="Z10"/>
      <c r="AA10"/>
    </row>
    <row r="11" spans="1:27" ht="45" customHeight="1">
      <c r="A11" s="821"/>
      <c r="B11" s="821"/>
      <c r="C11" s="846"/>
      <c r="D11" s="821"/>
      <c r="E11" s="821"/>
      <c r="F11" s="1405" t="s">
        <v>38</v>
      </c>
      <c r="G11" s="1406" t="s">
        <v>813</v>
      </c>
      <c r="H11" s="900">
        <v>2.1</v>
      </c>
      <c r="I11" s="900" t="s">
        <v>811</v>
      </c>
      <c r="J11" s="901" t="s">
        <v>814</v>
      </c>
      <c r="K11" s="902">
        <v>1</v>
      </c>
      <c r="L11" s="1040"/>
      <c r="M11" s="1041"/>
      <c r="N11" s="1042"/>
      <c r="O11" s="1042"/>
      <c r="P11" s="1006"/>
      <c r="Q11" s="135" t="str">
        <f t="shared" si="0"/>
        <v/>
      </c>
      <c r="R11" s="135" t="str">
        <f t="shared" si="1"/>
        <v/>
      </c>
      <c r="S11" s="164"/>
      <c r="T11" s="164"/>
      <c r="U11" s="892"/>
      <c r="V11" s="821"/>
      <c r="W11" s="821"/>
      <c r="X11"/>
      <c r="Y11"/>
      <c r="Z11"/>
      <c r="AA11"/>
    </row>
    <row r="12" spans="1:27" ht="45" customHeight="1">
      <c r="A12" s="821"/>
      <c r="B12" s="821"/>
      <c r="C12" s="846"/>
      <c r="D12" s="821"/>
      <c r="E12" s="821"/>
      <c r="F12" s="1405"/>
      <c r="G12" s="1406"/>
      <c r="H12" s="900">
        <v>2.2000000000000002</v>
      </c>
      <c r="I12" s="900" t="s">
        <v>811</v>
      </c>
      <c r="J12" s="901" t="s">
        <v>815</v>
      </c>
      <c r="K12" s="902">
        <v>1</v>
      </c>
      <c r="L12" s="1040"/>
      <c r="M12" s="1041"/>
      <c r="N12" s="1042"/>
      <c r="O12" s="1042"/>
      <c r="P12" s="1006"/>
      <c r="Q12" s="135" t="str">
        <f t="shared" si="0"/>
        <v/>
      </c>
      <c r="R12" s="135" t="str">
        <f t="shared" si="1"/>
        <v/>
      </c>
      <c r="S12" s="164"/>
      <c r="T12" s="164"/>
      <c r="U12" s="892"/>
      <c r="V12" s="821"/>
      <c r="W12" s="821"/>
      <c r="X12"/>
      <c r="Y12"/>
      <c r="Z12"/>
      <c r="AA12"/>
    </row>
    <row r="13" spans="1:27" ht="45" customHeight="1">
      <c r="A13" s="821"/>
      <c r="B13" s="821"/>
      <c r="C13" s="846"/>
      <c r="D13" s="821"/>
      <c r="E13" s="821"/>
      <c r="F13" s="1405" t="s">
        <v>292</v>
      </c>
      <c r="G13" s="1406" t="s">
        <v>816</v>
      </c>
      <c r="H13" s="900">
        <v>3.1</v>
      </c>
      <c r="I13" s="900" t="s">
        <v>817</v>
      </c>
      <c r="J13" s="901" t="s">
        <v>294</v>
      </c>
      <c r="K13" s="902">
        <v>1</v>
      </c>
      <c r="L13" s="1040"/>
      <c r="M13" s="1041"/>
      <c r="N13" s="1042"/>
      <c r="O13" s="1042"/>
      <c r="P13" s="1006"/>
      <c r="Q13" s="135" t="str">
        <f t="shared" si="0"/>
        <v/>
      </c>
      <c r="R13" s="135" t="str">
        <f t="shared" si="1"/>
        <v/>
      </c>
      <c r="S13" s="164"/>
      <c r="T13" s="164"/>
      <c r="U13" s="892"/>
      <c r="V13" s="821"/>
      <c r="W13" s="821"/>
      <c r="X13"/>
      <c r="Y13"/>
      <c r="Z13"/>
      <c r="AA13"/>
    </row>
    <row r="14" spans="1:27" ht="45" customHeight="1">
      <c r="A14" s="821"/>
      <c r="B14" s="821"/>
      <c r="C14" s="846"/>
      <c r="D14" s="821"/>
      <c r="E14" s="821"/>
      <c r="F14" s="1405"/>
      <c r="G14" s="1406"/>
      <c r="H14" s="900">
        <v>3.2</v>
      </c>
      <c r="I14" s="900" t="s">
        <v>811</v>
      </c>
      <c r="J14" s="901" t="s">
        <v>295</v>
      </c>
      <c r="K14" s="902">
        <v>1</v>
      </c>
      <c r="L14" s="1040"/>
      <c r="M14" s="1041"/>
      <c r="N14" s="1042"/>
      <c r="O14" s="1042"/>
      <c r="P14" s="1006"/>
      <c r="Q14" s="135" t="str">
        <f t="shared" si="0"/>
        <v/>
      </c>
      <c r="R14" s="135" t="str">
        <f t="shared" si="1"/>
        <v/>
      </c>
      <c r="S14" s="164"/>
      <c r="T14" s="164"/>
      <c r="U14" s="892"/>
      <c r="V14" s="821"/>
      <c r="W14" s="821"/>
      <c r="X14"/>
      <c r="Y14"/>
      <c r="Z14"/>
      <c r="AA14"/>
    </row>
    <row r="15" spans="1:27" ht="45" customHeight="1">
      <c r="A15" s="821"/>
      <c r="B15" s="821"/>
      <c r="C15" s="846"/>
      <c r="D15" s="821"/>
      <c r="E15" s="821"/>
      <c r="F15" s="1405" t="s">
        <v>818</v>
      </c>
      <c r="G15" s="1406" t="s">
        <v>819</v>
      </c>
      <c r="H15" s="900">
        <v>4.0999999999999996</v>
      </c>
      <c r="I15" s="900" t="s">
        <v>811</v>
      </c>
      <c r="J15" s="901" t="s">
        <v>820</v>
      </c>
      <c r="K15" s="902">
        <v>1</v>
      </c>
      <c r="L15" s="1040"/>
      <c r="M15" s="1041"/>
      <c r="N15" s="1042"/>
      <c r="O15" s="1042"/>
      <c r="P15" s="1006"/>
      <c r="Q15" s="135" t="str">
        <f t="shared" si="0"/>
        <v/>
      </c>
      <c r="R15" s="135" t="str">
        <f t="shared" si="1"/>
        <v/>
      </c>
      <c r="S15" s="164"/>
      <c r="T15" s="164"/>
      <c r="U15" s="892"/>
      <c r="V15" s="821"/>
      <c r="W15" s="821"/>
      <c r="X15" s="821"/>
      <c r="Y15" s="821"/>
      <c r="Z15" s="821"/>
      <c r="AA15" s="821"/>
    </row>
    <row r="16" spans="1:27" ht="45" customHeight="1">
      <c r="A16" s="821"/>
      <c r="B16" s="821"/>
      <c r="C16" s="846"/>
      <c r="D16" s="821"/>
      <c r="E16" s="821"/>
      <c r="F16" s="1405"/>
      <c r="G16" s="1406"/>
      <c r="H16" s="900">
        <v>4.2</v>
      </c>
      <c r="I16" s="900" t="s">
        <v>811</v>
      </c>
      <c r="J16" s="901" t="s">
        <v>821</v>
      </c>
      <c r="K16" s="902">
        <v>1</v>
      </c>
      <c r="L16" s="1040"/>
      <c r="M16" s="1041"/>
      <c r="N16" s="1042"/>
      <c r="O16" s="1042"/>
      <c r="P16" s="1006"/>
      <c r="Q16" s="135" t="str">
        <f t="shared" si="0"/>
        <v/>
      </c>
      <c r="R16" s="135" t="str">
        <f t="shared" si="1"/>
        <v/>
      </c>
      <c r="S16" s="164"/>
      <c r="T16" s="164"/>
      <c r="U16" s="892"/>
      <c r="V16" s="821"/>
      <c r="W16" s="821"/>
      <c r="X16" s="821"/>
      <c r="Y16" s="821"/>
      <c r="Z16" s="821"/>
      <c r="AA16" s="821"/>
    </row>
    <row r="17" spans="1:21" ht="45" customHeight="1">
      <c r="A17" s="821"/>
      <c r="B17" s="821"/>
      <c r="C17" s="846"/>
      <c r="D17" s="821"/>
      <c r="E17" s="821"/>
      <c r="F17" s="1405" t="s">
        <v>680</v>
      </c>
      <c r="G17" s="1406" t="s">
        <v>822</v>
      </c>
      <c r="H17" s="900">
        <v>5.0999999999999996</v>
      </c>
      <c r="I17" s="900" t="s">
        <v>823</v>
      </c>
      <c r="J17" s="901" t="s">
        <v>298</v>
      </c>
      <c r="K17" s="902">
        <v>1</v>
      </c>
      <c r="L17" s="1040"/>
      <c r="M17" s="1041"/>
      <c r="N17" s="1042"/>
      <c r="O17" s="1042"/>
      <c r="P17" s="1006"/>
      <c r="Q17" s="135" t="str">
        <f t="shared" si="0"/>
        <v/>
      </c>
      <c r="R17" s="135" t="str">
        <f t="shared" si="1"/>
        <v/>
      </c>
      <c r="S17" s="164"/>
      <c r="T17" s="164"/>
      <c r="U17" s="892"/>
    </row>
    <row r="18" spans="1:21" ht="45" customHeight="1">
      <c r="A18" s="821"/>
      <c r="B18" s="821"/>
      <c r="C18" s="846"/>
      <c r="D18" s="821"/>
      <c r="E18" s="821"/>
      <c r="F18" s="1405"/>
      <c r="G18" s="1406"/>
      <c r="H18" s="900">
        <v>5.2</v>
      </c>
      <c r="I18" s="900" t="s">
        <v>811</v>
      </c>
      <c r="J18" s="901" t="s">
        <v>824</v>
      </c>
      <c r="K18" s="902">
        <v>1</v>
      </c>
      <c r="L18" s="1040"/>
      <c r="M18" s="1041"/>
      <c r="N18" s="1042"/>
      <c r="O18" s="1042"/>
      <c r="P18" s="1006"/>
      <c r="Q18" s="135" t="str">
        <f t="shared" si="0"/>
        <v/>
      </c>
      <c r="R18" s="135" t="str">
        <f t="shared" si="1"/>
        <v/>
      </c>
      <c r="S18" s="164"/>
      <c r="T18" s="164"/>
      <c r="U18" s="892"/>
    </row>
    <row r="19" spans="1:21" ht="45" customHeight="1">
      <c r="A19" s="821"/>
      <c r="B19" s="821"/>
      <c r="C19" s="846"/>
      <c r="D19" s="821"/>
      <c r="E19" s="821"/>
      <c r="F19" s="1405"/>
      <c r="G19" s="1406"/>
      <c r="H19" s="900">
        <v>5.3</v>
      </c>
      <c r="I19" s="900" t="s">
        <v>811</v>
      </c>
      <c r="J19" s="901" t="s">
        <v>825</v>
      </c>
      <c r="K19" s="902">
        <v>1</v>
      </c>
      <c r="L19" s="1040"/>
      <c r="M19" s="1041"/>
      <c r="N19" s="1042"/>
      <c r="O19" s="1042"/>
      <c r="P19" s="1006"/>
      <c r="Q19" s="135" t="str">
        <f t="shared" si="0"/>
        <v/>
      </c>
      <c r="R19" s="135" t="str">
        <f t="shared" si="1"/>
        <v/>
      </c>
      <c r="S19" s="164"/>
      <c r="T19" s="164"/>
      <c r="U19" s="892"/>
    </row>
    <row r="20" spans="1:21" ht="45" customHeight="1">
      <c r="A20" s="821"/>
      <c r="B20" s="821"/>
      <c r="C20" s="846"/>
      <c r="D20" s="821"/>
      <c r="E20" s="821"/>
      <c r="F20" s="1398" t="s">
        <v>826</v>
      </c>
      <c r="G20" s="1384" t="s">
        <v>827</v>
      </c>
      <c r="H20" s="900">
        <v>6.1</v>
      </c>
      <c r="I20" s="900" t="s">
        <v>823</v>
      </c>
      <c r="J20" s="901" t="s">
        <v>828</v>
      </c>
      <c r="K20" s="902">
        <v>1</v>
      </c>
      <c r="L20" s="1040"/>
      <c r="M20" s="1041"/>
      <c r="N20" s="1042"/>
      <c r="O20" s="1042"/>
      <c r="P20" s="1006"/>
      <c r="Q20" s="135" t="str">
        <f t="shared" si="0"/>
        <v/>
      </c>
      <c r="R20" s="135" t="str">
        <f t="shared" si="1"/>
        <v/>
      </c>
      <c r="S20" s="164"/>
      <c r="T20" s="164"/>
      <c r="U20" s="892"/>
    </row>
    <row r="21" spans="1:21" ht="45" customHeight="1">
      <c r="A21" s="821"/>
      <c r="B21" s="821"/>
      <c r="C21" s="846"/>
      <c r="D21" s="821"/>
      <c r="E21" s="821"/>
      <c r="F21" s="1398"/>
      <c r="G21" s="1384"/>
      <c r="H21" s="900">
        <v>6.2</v>
      </c>
      <c r="I21" s="900" t="s">
        <v>811</v>
      </c>
      <c r="J21" s="901" t="s">
        <v>829</v>
      </c>
      <c r="K21" s="902">
        <v>1</v>
      </c>
      <c r="L21" s="1040"/>
      <c r="M21" s="1041"/>
      <c r="N21" s="1042"/>
      <c r="O21" s="1042"/>
      <c r="P21" s="1006"/>
      <c r="Q21" s="135" t="str">
        <f t="shared" si="0"/>
        <v/>
      </c>
      <c r="R21" s="135" t="str">
        <f t="shared" si="1"/>
        <v/>
      </c>
      <c r="S21" s="164"/>
      <c r="T21" s="164"/>
      <c r="U21" s="892"/>
    </row>
    <row r="22" spans="1:21" ht="45" customHeight="1">
      <c r="A22" s="821"/>
      <c r="B22" s="821"/>
      <c r="C22" s="846"/>
      <c r="D22" s="821"/>
      <c r="E22" s="821"/>
      <c r="F22" s="1398"/>
      <c r="G22" s="1384"/>
      <c r="H22" s="900">
        <v>6.3</v>
      </c>
      <c r="I22" s="900" t="s">
        <v>811</v>
      </c>
      <c r="J22" s="901" t="s">
        <v>830</v>
      </c>
      <c r="K22" s="902">
        <v>1</v>
      </c>
      <c r="L22" s="1040"/>
      <c r="M22" s="1041"/>
      <c r="N22" s="1042"/>
      <c r="O22" s="1042"/>
      <c r="P22" s="1006"/>
      <c r="Q22" s="135" t="str">
        <f t="shared" si="0"/>
        <v/>
      </c>
      <c r="R22" s="135" t="str">
        <f t="shared" si="1"/>
        <v/>
      </c>
      <c r="S22" s="164"/>
      <c r="T22" s="164"/>
      <c r="U22" s="892"/>
    </row>
    <row r="23" spans="1:21" ht="45" customHeight="1">
      <c r="A23" s="821"/>
      <c r="B23" s="821"/>
      <c r="C23" s="846"/>
      <c r="D23" s="821"/>
      <c r="E23" s="821"/>
      <c r="F23" s="1405" t="s">
        <v>288</v>
      </c>
      <c r="G23" s="1406" t="s">
        <v>831</v>
      </c>
      <c r="H23" s="900">
        <v>7.1</v>
      </c>
      <c r="I23" s="900" t="s">
        <v>823</v>
      </c>
      <c r="J23" s="901" t="s">
        <v>290</v>
      </c>
      <c r="K23" s="902">
        <v>2</v>
      </c>
      <c r="L23" s="1040"/>
      <c r="M23" s="1041"/>
      <c r="N23" s="1042"/>
      <c r="O23" s="1042"/>
      <c r="P23" s="1006"/>
      <c r="Q23" s="135" t="str">
        <f t="shared" si="0"/>
        <v/>
      </c>
      <c r="R23" s="135" t="str">
        <f t="shared" si="1"/>
        <v/>
      </c>
      <c r="S23" s="164"/>
      <c r="T23" s="164"/>
      <c r="U23" s="892"/>
    </row>
    <row r="24" spans="1:21" ht="45" customHeight="1">
      <c r="A24" s="821"/>
      <c r="B24" s="821"/>
      <c r="C24" s="846"/>
      <c r="D24" s="821"/>
      <c r="E24" s="821"/>
      <c r="F24" s="1405"/>
      <c r="G24" s="1406"/>
      <c r="H24" s="900">
        <v>7.2</v>
      </c>
      <c r="I24" s="900" t="s">
        <v>823</v>
      </c>
      <c r="J24" s="901" t="s">
        <v>832</v>
      </c>
      <c r="K24" s="902">
        <v>1</v>
      </c>
      <c r="L24" s="1040"/>
      <c r="M24" s="1036"/>
      <c r="N24" s="1042"/>
      <c r="O24" s="1042"/>
      <c r="P24" s="1006"/>
      <c r="Q24" s="135" t="str">
        <f t="shared" si="0"/>
        <v/>
      </c>
      <c r="R24" s="135" t="str">
        <f t="shared" si="1"/>
        <v/>
      </c>
      <c r="S24" s="164"/>
      <c r="T24" s="164"/>
      <c r="U24" s="892"/>
    </row>
    <row r="25" spans="1:21" ht="37.5" customHeight="1">
      <c r="A25" s="821"/>
      <c r="B25" s="821"/>
      <c r="C25" s="846"/>
      <c r="D25" s="821"/>
      <c r="E25" s="821"/>
      <c r="F25" s="1405"/>
      <c r="G25" s="1406"/>
      <c r="H25" s="900">
        <v>7.3</v>
      </c>
      <c r="I25" s="900" t="s">
        <v>823</v>
      </c>
      <c r="J25" s="901" t="s">
        <v>833</v>
      </c>
      <c r="K25" s="902">
        <v>1</v>
      </c>
      <c r="L25" s="1040"/>
      <c r="M25" s="1036"/>
      <c r="N25" s="1042"/>
      <c r="O25" s="1042"/>
      <c r="P25" s="1006"/>
      <c r="Q25" s="135" t="str">
        <f t="shared" si="0"/>
        <v/>
      </c>
      <c r="R25" s="135" t="str">
        <f t="shared" si="1"/>
        <v/>
      </c>
      <c r="S25" s="164"/>
      <c r="T25" s="164"/>
      <c r="U25" s="892"/>
    </row>
    <row r="26" spans="1:21" ht="45" customHeight="1">
      <c r="A26" s="821"/>
      <c r="B26" s="821"/>
      <c r="C26" s="846"/>
      <c r="D26" s="821"/>
      <c r="E26" s="821"/>
      <c r="F26" s="42" t="s">
        <v>305</v>
      </c>
      <c r="G26" s="42"/>
      <c r="H26" s="19"/>
      <c r="I26" s="19"/>
      <c r="J26" s="42"/>
      <c r="K26" s="19">
        <f>SUM(K10:K25)</f>
        <v>17</v>
      </c>
      <c r="L26" s="1043">
        <f>SUM(L10:L25)</f>
        <v>0</v>
      </c>
      <c r="M26" s="1036"/>
      <c r="N26" s="1044"/>
      <c r="O26" s="1044"/>
      <c r="P26" s="1003"/>
      <c r="Q26" s="19"/>
      <c r="R26" s="19"/>
      <c r="S26" s="164"/>
      <c r="T26" s="164"/>
      <c r="U26" s="892"/>
    </row>
    <row r="27" spans="1:21" ht="45" customHeight="1">
      <c r="A27" s="821"/>
      <c r="B27" s="821"/>
      <c r="C27" s="846"/>
      <c r="D27" s="821"/>
      <c r="E27" s="821"/>
      <c r="F27" s="540"/>
      <c r="G27" s="31"/>
      <c r="H27" s="30"/>
      <c r="I27" s="30"/>
      <c r="J27" s="31"/>
      <c r="K27" s="32"/>
      <c r="L27" s="1045"/>
      <c r="M27" s="1036"/>
      <c r="N27" s="1046"/>
      <c r="O27" s="1046"/>
      <c r="P27" s="987"/>
      <c r="Q27" s="136"/>
      <c r="R27" s="136"/>
      <c r="S27" s="164"/>
      <c r="T27" s="164"/>
      <c r="U27" s="892"/>
    </row>
    <row r="28" spans="1:21" ht="45" customHeight="1">
      <c r="A28" s="821"/>
      <c r="B28" s="821"/>
      <c r="C28" s="846"/>
      <c r="D28" s="821"/>
      <c r="E28" s="821"/>
      <c r="F28" s="57" t="s">
        <v>306</v>
      </c>
      <c r="G28" s="57"/>
      <c r="H28" s="57"/>
      <c r="I28" s="57"/>
      <c r="J28" s="57"/>
      <c r="K28" s="57"/>
      <c r="L28" s="1047"/>
      <c r="M28" s="1036"/>
      <c r="N28" s="1048"/>
      <c r="O28" s="1048"/>
      <c r="P28" s="1037"/>
      <c r="Q28" s="21"/>
      <c r="R28" s="21"/>
      <c r="S28" s="164"/>
      <c r="T28" s="164"/>
      <c r="U28" s="892"/>
    </row>
    <row r="29" spans="1:21" ht="45" customHeight="1">
      <c r="A29" s="821"/>
      <c r="B29" s="821"/>
      <c r="C29" s="846"/>
      <c r="D29" s="821"/>
      <c r="E29" s="821"/>
      <c r="F29" s="1385" t="s">
        <v>307</v>
      </c>
      <c r="G29" s="1386" t="s">
        <v>834</v>
      </c>
      <c r="H29" s="905">
        <v>8.1</v>
      </c>
      <c r="I29" s="905" t="s">
        <v>811</v>
      </c>
      <c r="J29" s="906" t="s">
        <v>835</v>
      </c>
      <c r="K29" s="907">
        <v>1</v>
      </c>
      <c r="L29" s="998"/>
      <c r="M29" s="1036"/>
      <c r="N29" s="1042"/>
      <c r="O29" s="1042"/>
      <c r="P29" s="1006"/>
      <c r="Q29" s="135" t="str">
        <f t="shared" ref="Q29:R31" si="2">IF(ISBLANK($L29)=FALSE,IF(N29="","No","Yes"),"")</f>
        <v/>
      </c>
      <c r="R29" s="135" t="str">
        <f t="shared" si="2"/>
        <v/>
      </c>
      <c r="S29" s="164"/>
      <c r="T29" s="164"/>
      <c r="U29" s="892"/>
    </row>
    <row r="30" spans="1:21" ht="45" customHeight="1">
      <c r="A30" s="821"/>
      <c r="B30" s="821"/>
      <c r="C30" s="846"/>
      <c r="D30" s="821"/>
      <c r="E30" s="821"/>
      <c r="F30" s="1385"/>
      <c r="G30" s="1387"/>
      <c r="H30" s="905">
        <v>8.1999999999999993</v>
      </c>
      <c r="I30" s="905" t="s">
        <v>811</v>
      </c>
      <c r="J30" s="906" t="s">
        <v>836</v>
      </c>
      <c r="K30" s="907">
        <v>1</v>
      </c>
      <c r="L30" s="998"/>
      <c r="M30" s="1036"/>
      <c r="N30" s="1042"/>
      <c r="O30" s="1042"/>
      <c r="P30" s="1006"/>
      <c r="Q30" s="135" t="str">
        <f t="shared" si="2"/>
        <v/>
      </c>
      <c r="R30" s="135" t="str">
        <f t="shared" si="2"/>
        <v/>
      </c>
      <c r="S30" s="164"/>
      <c r="T30" s="164"/>
      <c r="U30" s="892"/>
    </row>
    <row r="31" spans="1:21" ht="45" customHeight="1">
      <c r="A31" s="821"/>
      <c r="B31" s="821"/>
      <c r="C31" s="846"/>
      <c r="D31" s="821"/>
      <c r="E31" s="821"/>
      <c r="F31" s="1385"/>
      <c r="G31" s="1388"/>
      <c r="H31" s="905">
        <v>8.3000000000000007</v>
      </c>
      <c r="I31" s="905" t="s">
        <v>837</v>
      </c>
      <c r="J31" s="906" t="s">
        <v>838</v>
      </c>
      <c r="K31" s="907">
        <v>2</v>
      </c>
      <c r="L31" s="998"/>
      <c r="M31" s="1036"/>
      <c r="N31" s="1042"/>
      <c r="O31" s="1042"/>
      <c r="P31" s="1006"/>
      <c r="Q31" s="135" t="str">
        <f t="shared" si="2"/>
        <v/>
      </c>
      <c r="R31" s="135" t="str">
        <f t="shared" si="2"/>
        <v/>
      </c>
      <c r="S31" s="164"/>
      <c r="T31" s="164"/>
      <c r="U31" s="892"/>
    </row>
    <row r="32" spans="1:21" ht="45" customHeight="1">
      <c r="A32" s="821">
        <v>1</v>
      </c>
      <c r="B32" s="821">
        <f>IF(C32=TRUE,A32,0)</f>
        <v>0</v>
      </c>
      <c r="C32" s="846" t="b">
        <v>0</v>
      </c>
      <c r="D32" s="821"/>
      <c r="E32" s="821"/>
      <c r="F32" s="1385" t="s">
        <v>597</v>
      </c>
      <c r="G32" s="1386" t="s">
        <v>839</v>
      </c>
      <c r="H32" s="905">
        <v>9.1</v>
      </c>
      <c r="I32" s="905" t="s">
        <v>811</v>
      </c>
      <c r="J32" s="906" t="s">
        <v>840</v>
      </c>
      <c r="K32" s="907">
        <f>IF(C32=FALSE,A32,0)</f>
        <v>1</v>
      </c>
      <c r="L32" s="998"/>
      <c r="M32" s="1036"/>
      <c r="N32" s="1042"/>
      <c r="O32" s="1042"/>
      <c r="P32" s="1006"/>
      <c r="Q32" s="135" t="str">
        <f>IF(OR(ISBLANK($L32)=FALSE,C32=TRUE),IF(N32="","No","Yes"),"")</f>
        <v/>
      </c>
      <c r="R32" s="135" t="b">
        <f>IF(ISBLANK($L32)=FALSE,IF(O32="","No","Yes"),IF(C32=TRUE,"NA"))</f>
        <v>0</v>
      </c>
      <c r="S32" s="164"/>
      <c r="T32" s="164"/>
      <c r="U32" s="892"/>
    </row>
    <row r="33" spans="1:23" ht="45" customHeight="1">
      <c r="A33" s="821">
        <v>1</v>
      </c>
      <c r="B33" s="821">
        <f>IF(C33=TRUE,A33,0)</f>
        <v>0</v>
      </c>
      <c r="C33" s="846" t="b">
        <v>0</v>
      </c>
      <c r="D33" s="821"/>
      <c r="E33" s="821"/>
      <c r="F33" s="1385"/>
      <c r="G33" s="1388"/>
      <c r="H33" s="905">
        <v>9.1999999999999993</v>
      </c>
      <c r="I33" s="905" t="s">
        <v>811</v>
      </c>
      <c r="J33" s="906" t="s">
        <v>841</v>
      </c>
      <c r="K33" s="907">
        <f>IF(C33=FALSE,A33,0)</f>
        <v>1</v>
      </c>
      <c r="L33" s="998"/>
      <c r="M33" s="1036"/>
      <c r="N33" s="1042"/>
      <c r="O33" s="1042"/>
      <c r="P33" s="1006"/>
      <c r="Q33" s="135" t="str">
        <f>IF(OR(ISBLANK($L33)=FALSE,C33=TRUE),IF(N33="","No","Yes"),"")</f>
        <v/>
      </c>
      <c r="R33" s="135" t="b">
        <f>IF(ISBLANK($L33)=FALSE,IF(O33="","No","Yes"),IF(C33=TRUE,"NA"))</f>
        <v>0</v>
      </c>
      <c r="S33" s="164"/>
      <c r="T33" s="164"/>
      <c r="U33" s="892"/>
      <c r="V33" s="821"/>
      <c r="W33" s="821"/>
    </row>
    <row r="34" spans="1:23" ht="45" customHeight="1">
      <c r="A34" s="821"/>
      <c r="B34" s="821"/>
      <c r="C34" s="846"/>
      <c r="D34" s="821"/>
      <c r="E34" s="821"/>
      <c r="F34" s="1385" t="s">
        <v>317</v>
      </c>
      <c r="G34" s="1386" t="s">
        <v>842</v>
      </c>
      <c r="H34" s="905">
        <v>10.1</v>
      </c>
      <c r="I34" s="905" t="s">
        <v>811</v>
      </c>
      <c r="J34" s="906" t="s">
        <v>843</v>
      </c>
      <c r="K34" s="907">
        <v>1</v>
      </c>
      <c r="L34" s="998"/>
      <c r="M34" s="1036"/>
      <c r="N34" s="1042"/>
      <c r="O34" s="1042"/>
      <c r="P34" s="1006"/>
      <c r="Q34" s="135" t="str">
        <f t="shared" ref="Q34:Q44" si="3">IF(ISBLANK($L34)=FALSE,IF(N34="","No","Yes"),"")</f>
        <v/>
      </c>
      <c r="R34" s="135" t="str">
        <f t="shared" ref="R34:R44" si="4">IF(ISBLANK($L34)=FALSE,IF(O34="","No","Yes"),"")</f>
        <v/>
      </c>
      <c r="S34" s="164"/>
      <c r="T34" s="164"/>
      <c r="U34" s="892"/>
      <c r="V34" s="821"/>
      <c r="W34" s="821"/>
    </row>
    <row r="35" spans="1:23" ht="45" customHeight="1">
      <c r="A35" s="821"/>
      <c r="B35" s="821"/>
      <c r="C35" s="846"/>
      <c r="D35" s="821"/>
      <c r="E35" s="821"/>
      <c r="F35" s="1385"/>
      <c r="G35" s="1388"/>
      <c r="H35" s="905">
        <v>10.199999999999999</v>
      </c>
      <c r="I35" s="905" t="s">
        <v>837</v>
      </c>
      <c r="J35" s="906" t="s">
        <v>844</v>
      </c>
      <c r="K35" s="907">
        <v>1</v>
      </c>
      <c r="L35" s="998"/>
      <c r="M35" s="1036"/>
      <c r="N35" s="1042"/>
      <c r="O35" s="1042"/>
      <c r="P35" s="1006"/>
      <c r="Q35" s="135" t="str">
        <f t="shared" si="3"/>
        <v/>
      </c>
      <c r="R35" s="135" t="str">
        <f t="shared" si="4"/>
        <v/>
      </c>
      <c r="S35" s="164"/>
      <c r="T35" s="164"/>
      <c r="U35" s="892"/>
      <c r="V35" s="821"/>
      <c r="W35" s="821"/>
    </row>
    <row r="36" spans="1:23" ht="45" customHeight="1">
      <c r="A36" s="821"/>
      <c r="B36" s="821"/>
      <c r="C36" s="846"/>
      <c r="D36" s="821"/>
      <c r="E36" s="821"/>
      <c r="F36" s="1385" t="s">
        <v>845</v>
      </c>
      <c r="G36" s="1386" t="s">
        <v>846</v>
      </c>
      <c r="H36" s="905">
        <v>11.1</v>
      </c>
      <c r="I36" s="905" t="s">
        <v>817</v>
      </c>
      <c r="J36" s="906" t="s">
        <v>847</v>
      </c>
      <c r="K36" s="907">
        <v>1</v>
      </c>
      <c r="L36" s="998"/>
      <c r="M36" s="1036"/>
      <c r="N36" s="1042"/>
      <c r="O36" s="1042"/>
      <c r="P36" s="1006"/>
      <c r="Q36" s="135" t="str">
        <f t="shared" si="3"/>
        <v/>
      </c>
      <c r="R36" s="135" t="str">
        <f t="shared" si="4"/>
        <v/>
      </c>
      <c r="S36" s="164"/>
      <c r="T36" s="164"/>
      <c r="U36" s="892"/>
      <c r="V36" s="821"/>
      <c r="W36" s="821"/>
    </row>
    <row r="37" spans="1:23" ht="45" customHeight="1">
      <c r="A37" s="821"/>
      <c r="B37" s="821"/>
      <c r="C37" s="846"/>
      <c r="D37" s="821"/>
      <c r="E37" s="821"/>
      <c r="F37" s="1385"/>
      <c r="G37" s="1388"/>
      <c r="H37" s="905">
        <v>11.2</v>
      </c>
      <c r="I37" s="905" t="s">
        <v>817</v>
      </c>
      <c r="J37" s="906" t="s">
        <v>848</v>
      </c>
      <c r="K37" s="907">
        <v>1</v>
      </c>
      <c r="L37" s="998"/>
      <c r="M37" s="1036"/>
      <c r="N37" s="1042"/>
      <c r="O37" s="1042"/>
      <c r="P37" s="1006"/>
      <c r="Q37" s="135" t="str">
        <f t="shared" si="3"/>
        <v/>
      </c>
      <c r="R37" s="135" t="str">
        <f t="shared" si="4"/>
        <v/>
      </c>
      <c r="S37" s="164"/>
      <c r="T37" s="164"/>
      <c r="U37" s="892"/>
      <c r="V37" s="821"/>
      <c r="W37" s="908" t="s">
        <v>849</v>
      </c>
    </row>
    <row r="38" spans="1:23" ht="45" customHeight="1">
      <c r="A38" s="821"/>
      <c r="B38" s="821"/>
      <c r="C38" s="846"/>
      <c r="D38" s="821"/>
      <c r="E38" s="821"/>
      <c r="F38" s="1385" t="s">
        <v>332</v>
      </c>
      <c r="G38" s="1331" t="s">
        <v>849</v>
      </c>
      <c r="H38" s="905" t="s">
        <v>850</v>
      </c>
      <c r="I38" s="905" t="s">
        <v>837</v>
      </c>
      <c r="J38" s="906" t="s">
        <v>851</v>
      </c>
      <c r="K38" s="907">
        <f>IF($G$38=$W$37,2,0)</f>
        <v>2</v>
      </c>
      <c r="L38" s="998"/>
      <c r="M38" s="1036"/>
      <c r="N38" s="1042"/>
      <c r="O38" s="1042"/>
      <c r="P38" s="1006"/>
      <c r="Q38" s="135" t="str">
        <f t="shared" si="3"/>
        <v/>
      </c>
      <c r="R38" s="135" t="str">
        <f t="shared" si="4"/>
        <v/>
      </c>
      <c r="S38" s="164"/>
      <c r="T38" s="164"/>
      <c r="U38" s="892"/>
      <c r="V38" s="821"/>
      <c r="W38" s="909" t="s">
        <v>852</v>
      </c>
    </row>
    <row r="39" spans="1:23" ht="45" customHeight="1">
      <c r="A39" s="821"/>
      <c r="B39" s="821"/>
      <c r="C39" s="846"/>
      <c r="D39" s="821"/>
      <c r="E39" s="821"/>
      <c r="F39" s="1385"/>
      <c r="G39" s="1332"/>
      <c r="H39" s="905" t="s">
        <v>853</v>
      </c>
      <c r="I39" s="905" t="s">
        <v>837</v>
      </c>
      <c r="J39" s="906" t="s">
        <v>854</v>
      </c>
      <c r="K39" s="907">
        <f>IF($G$38=$W$37,1,0)</f>
        <v>1</v>
      </c>
      <c r="L39" s="998"/>
      <c r="M39" s="1036"/>
      <c r="N39" s="1042"/>
      <c r="O39" s="1042"/>
      <c r="P39" s="1006"/>
      <c r="Q39" s="135" t="str">
        <f t="shared" si="3"/>
        <v/>
      </c>
      <c r="R39" s="135" t="str">
        <f t="shared" si="4"/>
        <v/>
      </c>
      <c r="S39" s="164"/>
      <c r="T39" s="164"/>
      <c r="U39" s="892"/>
      <c r="V39" s="821"/>
      <c r="W39" s="821"/>
    </row>
    <row r="40" spans="1:23" ht="45" customHeight="1">
      <c r="A40" s="821"/>
      <c r="B40" s="821"/>
      <c r="C40" s="846"/>
      <c r="D40" s="821"/>
      <c r="E40" s="821"/>
      <c r="F40" s="1385"/>
      <c r="G40" s="1332"/>
      <c r="H40" s="905" t="s">
        <v>855</v>
      </c>
      <c r="I40" s="905" t="s">
        <v>837</v>
      </c>
      <c r="J40" s="906" t="s">
        <v>856</v>
      </c>
      <c r="K40" s="907">
        <f>IF($G$38=$W$38,2,0)</f>
        <v>0</v>
      </c>
      <c r="L40" s="998"/>
      <c r="M40" s="1036"/>
      <c r="N40" s="1042"/>
      <c r="O40" s="1042"/>
      <c r="P40" s="1006"/>
      <c r="Q40" s="135" t="str">
        <f t="shared" si="3"/>
        <v/>
      </c>
      <c r="R40" s="135" t="str">
        <f t="shared" si="4"/>
        <v/>
      </c>
      <c r="S40" s="164"/>
      <c r="T40" s="164"/>
      <c r="U40" s="892"/>
      <c r="V40" s="821"/>
      <c r="W40" s="821"/>
    </row>
    <row r="41" spans="1:23" ht="45" customHeight="1">
      <c r="A41" s="821"/>
      <c r="B41" s="821"/>
      <c r="C41" s="846"/>
      <c r="D41" s="821"/>
      <c r="E41" s="821"/>
      <c r="F41" s="1385"/>
      <c r="G41" s="1323"/>
      <c r="H41" s="905" t="s">
        <v>857</v>
      </c>
      <c r="I41" s="905" t="s">
        <v>837</v>
      </c>
      <c r="J41" s="906" t="s">
        <v>858</v>
      </c>
      <c r="K41" s="907">
        <f>IF($G$38=$W$38,1,0)</f>
        <v>0</v>
      </c>
      <c r="L41" s="998"/>
      <c r="M41" s="1036"/>
      <c r="N41" s="1042"/>
      <c r="O41" s="1042"/>
      <c r="P41" s="1006"/>
      <c r="Q41" s="135" t="str">
        <f t="shared" si="3"/>
        <v/>
      </c>
      <c r="R41" s="135" t="str">
        <f t="shared" si="4"/>
        <v/>
      </c>
      <c r="S41" s="164"/>
      <c r="T41" s="164"/>
      <c r="U41" s="892"/>
      <c r="V41" s="821"/>
      <c r="W41" s="821"/>
    </row>
    <row r="42" spans="1:23" ht="45" customHeight="1">
      <c r="A42" s="821"/>
      <c r="B42" s="821"/>
      <c r="C42" s="846"/>
      <c r="D42" s="821"/>
      <c r="E42" s="821"/>
      <c r="F42" s="173" t="s">
        <v>312</v>
      </c>
      <c r="G42" s="906" t="s">
        <v>859</v>
      </c>
      <c r="H42" s="905">
        <v>13.1</v>
      </c>
      <c r="I42" s="905" t="s">
        <v>837</v>
      </c>
      <c r="J42" s="906" t="s">
        <v>314</v>
      </c>
      <c r="K42" s="907">
        <v>1</v>
      </c>
      <c r="L42" s="998"/>
      <c r="M42" s="1036"/>
      <c r="N42" s="1042"/>
      <c r="O42" s="1042"/>
      <c r="P42" s="1006"/>
      <c r="Q42" s="135" t="str">
        <f t="shared" si="3"/>
        <v/>
      </c>
      <c r="R42" s="135" t="str">
        <f t="shared" si="4"/>
        <v/>
      </c>
      <c r="S42" s="164"/>
      <c r="T42" s="164"/>
      <c r="U42" s="892"/>
      <c r="V42" s="821"/>
      <c r="W42" s="821"/>
    </row>
    <row r="43" spans="1:23" ht="45" customHeight="1">
      <c r="A43" s="821"/>
      <c r="B43" s="821"/>
      <c r="C43" s="846"/>
      <c r="D43" s="821"/>
      <c r="E43" s="821"/>
      <c r="F43" s="1385" t="s">
        <v>860</v>
      </c>
      <c r="G43" s="1386" t="s">
        <v>861</v>
      </c>
      <c r="H43" s="905">
        <v>14.1</v>
      </c>
      <c r="I43" s="905" t="s">
        <v>811</v>
      </c>
      <c r="J43" s="906" t="s">
        <v>862</v>
      </c>
      <c r="K43" s="907">
        <v>1</v>
      </c>
      <c r="L43" s="998"/>
      <c r="M43" s="1036"/>
      <c r="N43" s="1042"/>
      <c r="O43" s="1042"/>
      <c r="P43" s="1006"/>
      <c r="Q43" s="135" t="str">
        <f t="shared" si="3"/>
        <v/>
      </c>
      <c r="R43" s="135" t="str">
        <f t="shared" si="4"/>
        <v/>
      </c>
      <c r="S43" s="164"/>
      <c r="T43" s="164"/>
      <c r="U43" s="892"/>
      <c r="V43" s="821"/>
      <c r="W43" s="821"/>
    </row>
    <row r="44" spans="1:23" ht="45" customHeight="1">
      <c r="A44" s="821"/>
      <c r="B44" s="821"/>
      <c r="C44" s="846"/>
      <c r="D44" s="821"/>
      <c r="E44" s="821"/>
      <c r="F44" s="1385"/>
      <c r="G44" s="1388"/>
      <c r="H44" s="905">
        <v>14.2</v>
      </c>
      <c r="I44" s="905" t="s">
        <v>837</v>
      </c>
      <c r="J44" s="906" t="s">
        <v>863</v>
      </c>
      <c r="K44" s="907">
        <v>3</v>
      </c>
      <c r="L44" s="998"/>
      <c r="M44" s="1036"/>
      <c r="N44" s="1042"/>
      <c r="O44" s="1042"/>
      <c r="P44" s="1006"/>
      <c r="Q44" s="135" t="str">
        <f t="shared" si="3"/>
        <v/>
      </c>
      <c r="R44" s="135" t="str">
        <f t="shared" si="4"/>
        <v/>
      </c>
      <c r="S44" s="164"/>
      <c r="T44" s="164"/>
      <c r="U44" s="892"/>
      <c r="V44" s="821"/>
      <c r="W44" s="821"/>
    </row>
    <row r="45" spans="1:23" ht="45" customHeight="1">
      <c r="A45" s="821"/>
      <c r="B45" s="821"/>
      <c r="C45" s="846"/>
      <c r="D45" s="821"/>
      <c r="E45" s="821"/>
      <c r="F45" s="11" t="s">
        <v>305</v>
      </c>
      <c r="G45" s="58"/>
      <c r="H45" s="59"/>
      <c r="I45" s="59"/>
      <c r="J45" s="58"/>
      <c r="K45" s="60">
        <f>SUM(K29:K44)</f>
        <v>18</v>
      </c>
      <c r="L45" s="1049">
        <f>SUM(L29:L44)</f>
        <v>0</v>
      </c>
      <c r="M45" s="1050"/>
      <c r="N45" s="1044"/>
      <c r="O45" s="1044"/>
      <c r="P45" s="1003"/>
      <c r="Q45" s="19"/>
      <c r="R45" s="19"/>
      <c r="S45" s="164"/>
      <c r="T45" s="164"/>
      <c r="U45" s="892"/>
      <c r="V45" s="821"/>
      <c r="W45" s="821"/>
    </row>
    <row r="46" spans="1:23" ht="45" customHeight="1">
      <c r="A46" s="821"/>
      <c r="B46" s="821"/>
      <c r="C46" s="846"/>
      <c r="D46" s="821"/>
      <c r="E46" s="821"/>
      <c r="F46" s="540"/>
      <c r="G46" s="31"/>
      <c r="H46" s="30"/>
      <c r="I46" s="30"/>
      <c r="J46" s="31"/>
      <c r="K46" s="32"/>
      <c r="L46" s="1045"/>
      <c r="M46" s="1036"/>
      <c r="N46" s="1046"/>
      <c r="O46" s="1046"/>
      <c r="P46" s="987"/>
      <c r="Q46" s="136"/>
      <c r="R46" s="136"/>
      <c r="S46" s="164"/>
      <c r="T46" s="164"/>
      <c r="U46" s="892"/>
      <c r="V46" s="821"/>
      <c r="W46" s="821"/>
    </row>
    <row r="47" spans="1:23" ht="45" customHeight="1">
      <c r="A47" s="821"/>
      <c r="B47" s="821"/>
      <c r="C47" s="846"/>
      <c r="D47" s="821"/>
      <c r="E47" s="821"/>
      <c r="F47" s="57" t="s">
        <v>335</v>
      </c>
      <c r="G47" s="57"/>
      <c r="H47" s="57"/>
      <c r="I47" s="57"/>
      <c r="J47" s="57"/>
      <c r="K47" s="57"/>
      <c r="L47" s="1047"/>
      <c r="M47" s="1036"/>
      <c r="N47" s="1048"/>
      <c r="O47" s="1048"/>
      <c r="P47" s="1037"/>
      <c r="Q47" s="21"/>
      <c r="R47" s="21"/>
      <c r="S47" s="164"/>
      <c r="T47" s="164"/>
      <c r="U47" s="892"/>
      <c r="V47" s="821"/>
      <c r="W47" s="821"/>
    </row>
    <row r="48" spans="1:23" ht="45" customHeight="1">
      <c r="A48" s="821"/>
      <c r="B48" s="821"/>
      <c r="C48" s="846"/>
      <c r="D48" s="821"/>
      <c r="E48" s="821"/>
      <c r="F48" s="1402" t="s">
        <v>336</v>
      </c>
      <c r="G48" s="1331" t="s">
        <v>864</v>
      </c>
      <c r="H48" s="910" t="s">
        <v>865</v>
      </c>
      <c r="I48" s="911" t="s">
        <v>837</v>
      </c>
      <c r="J48" s="912" t="s">
        <v>866</v>
      </c>
      <c r="K48" s="913">
        <f>IF($G$48=W48,23,0)</f>
        <v>0</v>
      </c>
      <c r="L48" s="1040"/>
      <c r="M48" s="1036"/>
      <c r="N48" s="1042"/>
      <c r="O48" s="1042"/>
      <c r="P48" s="1006"/>
      <c r="Q48" s="135" t="str">
        <f t="shared" ref="Q48:R54" si="5">IF(ISBLANK($L48)=FALSE,IF(N48="","No","Yes"),"")</f>
        <v/>
      </c>
      <c r="R48" s="135" t="str">
        <f t="shared" si="5"/>
        <v/>
      </c>
      <c r="S48" s="164"/>
      <c r="T48" s="164"/>
      <c r="U48" s="892"/>
      <c r="V48" s="821"/>
      <c r="W48" s="908" t="s">
        <v>867</v>
      </c>
    </row>
    <row r="49" spans="6:23" ht="45" customHeight="1">
      <c r="F49" s="1404"/>
      <c r="G49" s="1332"/>
      <c r="H49" s="910" t="s">
        <v>868</v>
      </c>
      <c r="I49" s="911" t="s">
        <v>837</v>
      </c>
      <c r="J49" s="906" t="str">
        <f>IF($G$5=$W$6,"Building Energy Baselines","Commercial Building Baseline Study")</f>
        <v>Building Energy Baselines</v>
      </c>
      <c r="K49" s="913">
        <f>IF($G$48=W49,23,0)</f>
        <v>23</v>
      </c>
      <c r="L49" s="1040"/>
      <c r="M49" s="1036"/>
      <c r="N49" s="1042"/>
      <c r="O49" s="1042"/>
      <c r="P49" s="1006"/>
      <c r="Q49" s="135" t="str">
        <f t="shared" si="5"/>
        <v/>
      </c>
      <c r="R49" s="135" t="str">
        <f t="shared" si="5"/>
        <v/>
      </c>
      <c r="S49" s="164"/>
      <c r="T49" s="164"/>
      <c r="U49" s="892"/>
      <c r="V49" s="821"/>
      <c r="W49" s="798" t="s">
        <v>864</v>
      </c>
    </row>
    <row r="50" spans="6:23" ht="45" customHeight="1">
      <c r="F50" s="1404"/>
      <c r="G50" s="1332"/>
      <c r="H50" s="910" t="s">
        <v>29</v>
      </c>
      <c r="I50" s="911" t="s">
        <v>837</v>
      </c>
      <c r="J50" s="912" t="s">
        <v>869</v>
      </c>
      <c r="K50" s="913">
        <f>IF($G$48=W50,23,0)</f>
        <v>0</v>
      </c>
      <c r="L50" s="1040"/>
      <c r="M50" s="1036"/>
      <c r="N50" s="1042"/>
      <c r="O50" s="1042"/>
      <c r="P50" s="1006"/>
      <c r="Q50" s="135" t="str">
        <f t="shared" si="5"/>
        <v/>
      </c>
      <c r="R50" s="135" t="str">
        <f t="shared" si="5"/>
        <v/>
      </c>
      <c r="S50" s="164"/>
      <c r="T50" s="164"/>
      <c r="U50" s="892"/>
      <c r="V50" s="821"/>
      <c r="W50" s="798" t="s">
        <v>870</v>
      </c>
    </row>
    <row r="51" spans="6:23" ht="45" customHeight="1">
      <c r="F51" s="1403"/>
      <c r="G51" s="1323"/>
      <c r="H51" s="910" t="s">
        <v>871</v>
      </c>
      <c r="I51" s="911" t="s">
        <v>837</v>
      </c>
      <c r="J51" s="912" t="s">
        <v>872</v>
      </c>
      <c r="K51" s="913">
        <f>IF($G$48=W51,23,0)</f>
        <v>0</v>
      </c>
      <c r="L51" s="1040"/>
      <c r="M51" s="1036"/>
      <c r="N51" s="1042"/>
      <c r="O51" s="1042"/>
      <c r="P51" s="1006"/>
      <c r="Q51" s="135" t="str">
        <f t="shared" si="5"/>
        <v/>
      </c>
      <c r="R51" s="135" t="str">
        <f t="shared" si="5"/>
        <v/>
      </c>
      <c r="S51" s="164"/>
      <c r="T51" s="164"/>
      <c r="U51" s="892"/>
      <c r="V51" s="821"/>
      <c r="W51" s="909" t="s">
        <v>873</v>
      </c>
    </row>
    <row r="52" spans="6:23" ht="45" customHeight="1">
      <c r="F52" s="1394" t="s">
        <v>874</v>
      </c>
      <c r="G52" s="1331" t="s">
        <v>875</v>
      </c>
      <c r="H52" s="910" t="s">
        <v>341</v>
      </c>
      <c r="I52" s="911" t="s">
        <v>837</v>
      </c>
      <c r="J52" s="912" t="s">
        <v>876</v>
      </c>
      <c r="K52" s="913">
        <f>IF(G52=W52,1,0)</f>
        <v>1</v>
      </c>
      <c r="L52" s="1040"/>
      <c r="M52" s="1036"/>
      <c r="N52" s="1042"/>
      <c r="O52" s="1042"/>
      <c r="P52" s="1006"/>
      <c r="Q52" s="135" t="str">
        <f t="shared" si="5"/>
        <v/>
      </c>
      <c r="R52" s="135" t="str">
        <f t="shared" si="5"/>
        <v/>
      </c>
      <c r="S52" s="164"/>
      <c r="T52" s="164"/>
      <c r="U52" s="892"/>
      <c r="V52" s="821"/>
      <c r="W52" s="908" t="s">
        <v>875</v>
      </c>
    </row>
    <row r="53" spans="6:23" ht="45" customHeight="1">
      <c r="F53" s="1395"/>
      <c r="G53" s="1332"/>
      <c r="H53" s="905" t="s">
        <v>343</v>
      </c>
      <c r="I53" s="907" t="s">
        <v>837</v>
      </c>
      <c r="J53" s="906" t="s">
        <v>877</v>
      </c>
      <c r="K53" s="913">
        <f>IF(G52=W53,1,0)</f>
        <v>0</v>
      </c>
      <c r="L53" s="1040"/>
      <c r="M53" s="1036"/>
      <c r="N53" s="1042"/>
      <c r="O53" s="1042"/>
      <c r="P53" s="1006"/>
      <c r="Q53" s="135" t="str">
        <f t="shared" si="5"/>
        <v/>
      </c>
      <c r="R53" s="135" t="str">
        <f t="shared" si="5"/>
        <v/>
      </c>
      <c r="S53" s="164"/>
      <c r="T53" s="164"/>
      <c r="U53" s="892"/>
      <c r="V53" s="821"/>
      <c r="W53" s="909" t="s">
        <v>878</v>
      </c>
    </row>
    <row r="54" spans="6:23" ht="45" customHeight="1">
      <c r="F54" s="1396"/>
      <c r="G54" s="1323"/>
      <c r="H54" s="914" t="str">
        <f>IF($G$5=$W$6,"16C","")</f>
        <v>16C</v>
      </c>
      <c r="I54" s="907" t="s">
        <v>837</v>
      </c>
      <c r="J54" s="906" t="str">
        <f>IF($G$5=$W$6,"Preliminary Benchmark for Commercial Buildings","-")</f>
        <v>Preliminary Benchmark for Commercial Buildings</v>
      </c>
      <c r="K54" s="913">
        <f>IF($G$5=$W$6,IF(G52=W54,1,0),0)</f>
        <v>0</v>
      </c>
      <c r="L54" s="1040"/>
      <c r="M54" s="1036"/>
      <c r="N54" s="1042"/>
      <c r="O54" s="1042"/>
      <c r="P54" s="1006"/>
      <c r="Q54" s="135" t="str">
        <f t="shared" si="5"/>
        <v/>
      </c>
      <c r="R54" s="135" t="str">
        <f t="shared" si="5"/>
        <v/>
      </c>
      <c r="S54" s="164"/>
      <c r="T54" s="164"/>
      <c r="U54" s="892"/>
      <c r="V54" s="821"/>
      <c r="W54" s="821" t="str">
        <f>IF($G$5=$W$6,"C. Preliminary Benchmark for Commercial Buildings","")</f>
        <v>C. Preliminary Benchmark for Commercial Buildings</v>
      </c>
    </row>
    <row r="55" spans="6:23" ht="45" customHeight="1">
      <c r="F55" s="11" t="s">
        <v>305</v>
      </c>
      <c r="G55" s="11"/>
      <c r="H55" s="11"/>
      <c r="I55" s="11"/>
      <c r="J55" s="11"/>
      <c r="K55" s="7">
        <f>SUM(K48:K53)</f>
        <v>24</v>
      </c>
      <c r="L55" s="1051">
        <f>SUM(L48:L53)</f>
        <v>0</v>
      </c>
      <c r="M55" s="1050"/>
      <c r="N55" s="1044"/>
      <c r="O55" s="1044"/>
      <c r="P55" s="1003"/>
      <c r="Q55" s="19"/>
      <c r="R55" s="19"/>
      <c r="S55" s="164"/>
      <c r="T55" s="164"/>
      <c r="U55" s="892"/>
      <c r="V55" s="821"/>
      <c r="W55" s="821"/>
    </row>
    <row r="56" spans="6:23" ht="45" customHeight="1">
      <c r="F56" s="540"/>
      <c r="G56" s="31"/>
      <c r="H56" s="30"/>
      <c r="I56" s="30"/>
      <c r="J56" s="31"/>
      <c r="K56" s="32"/>
      <c r="L56" s="1045"/>
      <c r="M56" s="1036"/>
      <c r="N56" s="1052"/>
      <c r="O56" s="1052"/>
      <c r="P56" s="580"/>
      <c r="Q56" s="269"/>
      <c r="R56" s="269"/>
      <c r="S56" s="164"/>
      <c r="T56" s="164"/>
      <c r="U56" s="892"/>
      <c r="V56" s="821"/>
      <c r="W56" s="821"/>
    </row>
    <row r="57" spans="6:23" ht="45" customHeight="1">
      <c r="F57" s="57" t="s">
        <v>345</v>
      </c>
      <c r="G57" s="57"/>
      <c r="H57" s="57"/>
      <c r="I57" s="57"/>
      <c r="J57" s="57"/>
      <c r="K57" s="57"/>
      <c r="L57" s="1047"/>
      <c r="M57" s="1036"/>
      <c r="N57" s="1048"/>
      <c r="O57" s="1048"/>
      <c r="P57" s="1037"/>
      <c r="Q57" s="21"/>
      <c r="R57" s="21"/>
      <c r="S57" s="164"/>
      <c r="T57" s="164"/>
      <c r="U57" s="892"/>
      <c r="V57" s="821"/>
      <c r="W57" s="821"/>
    </row>
    <row r="58" spans="6:23" ht="45" customHeight="1">
      <c r="F58" s="1398" t="s">
        <v>879</v>
      </c>
      <c r="G58" s="1384" t="s">
        <v>880</v>
      </c>
      <c r="H58" s="907">
        <v>17.100000000000001</v>
      </c>
      <c r="I58" s="907" t="s">
        <v>823</v>
      </c>
      <c r="J58" s="906" t="s">
        <v>881</v>
      </c>
      <c r="K58" s="913">
        <v>1</v>
      </c>
      <c r="L58" s="1040"/>
      <c r="M58" s="1036"/>
      <c r="N58" s="1042"/>
      <c r="O58" s="1042"/>
      <c r="P58" s="1006"/>
      <c r="Q58" s="135" t="str">
        <f t="shared" ref="Q58:R63" si="6">IF(ISBLANK($L58)=FALSE,IF(N58="","No","Yes"),"")</f>
        <v/>
      </c>
      <c r="R58" s="135" t="str">
        <f t="shared" si="6"/>
        <v/>
      </c>
      <c r="S58" s="164"/>
      <c r="T58" s="164"/>
      <c r="U58" s="892"/>
      <c r="V58" s="821"/>
      <c r="W58" s="821"/>
    </row>
    <row r="59" spans="6:23" ht="45" customHeight="1">
      <c r="F59" s="1398"/>
      <c r="G59" s="1384"/>
      <c r="H59" s="907">
        <v>17.2</v>
      </c>
      <c r="I59" s="907" t="s">
        <v>823</v>
      </c>
      <c r="J59" s="906" t="s">
        <v>882</v>
      </c>
      <c r="K59" s="913">
        <v>1</v>
      </c>
      <c r="L59" s="1040"/>
      <c r="M59" s="1036"/>
      <c r="N59" s="1042"/>
      <c r="O59" s="1042"/>
      <c r="P59" s="1006"/>
      <c r="Q59" s="135" t="str">
        <f t="shared" si="6"/>
        <v/>
      </c>
      <c r="R59" s="135" t="str">
        <f t="shared" si="6"/>
        <v/>
      </c>
      <c r="S59" s="164"/>
      <c r="T59" s="164"/>
      <c r="U59" s="892"/>
      <c r="V59" s="821"/>
      <c r="W59" s="821"/>
    </row>
    <row r="60" spans="6:23" ht="45" customHeight="1">
      <c r="F60" s="1398"/>
      <c r="G60" s="1384"/>
      <c r="H60" s="907">
        <v>17.3</v>
      </c>
      <c r="I60" s="907" t="s">
        <v>811</v>
      </c>
      <c r="J60" s="906" t="s">
        <v>883</v>
      </c>
      <c r="K60" s="913">
        <v>1</v>
      </c>
      <c r="L60" s="1040"/>
      <c r="M60" s="1036"/>
      <c r="N60" s="1042"/>
      <c r="O60" s="1042"/>
      <c r="P60" s="1006"/>
      <c r="Q60" s="135" t="str">
        <f t="shared" si="6"/>
        <v/>
      </c>
      <c r="R60" s="135" t="str">
        <f t="shared" si="6"/>
        <v/>
      </c>
      <c r="S60" s="164"/>
      <c r="T60" s="164"/>
      <c r="U60" s="892"/>
      <c r="V60" s="821"/>
      <c r="W60" s="821"/>
    </row>
    <row r="61" spans="6:23" ht="45" customHeight="1">
      <c r="F61" s="1398"/>
      <c r="G61" s="1384"/>
      <c r="H61" s="907">
        <v>17.399999999999999</v>
      </c>
      <c r="I61" s="907" t="s">
        <v>811</v>
      </c>
      <c r="J61" s="906" t="s">
        <v>884</v>
      </c>
      <c r="K61" s="913">
        <v>1</v>
      </c>
      <c r="L61" s="1040"/>
      <c r="M61" s="1036"/>
      <c r="N61" s="1042"/>
      <c r="O61" s="1042"/>
      <c r="P61" s="1006"/>
      <c r="Q61" s="135" t="str">
        <f t="shared" si="6"/>
        <v/>
      </c>
      <c r="R61" s="135" t="str">
        <f t="shared" si="6"/>
        <v/>
      </c>
      <c r="S61" s="164"/>
      <c r="T61" s="164"/>
      <c r="U61" s="892"/>
      <c r="V61" s="821"/>
      <c r="W61" s="821"/>
    </row>
    <row r="62" spans="6:23" ht="45" customHeight="1">
      <c r="F62" s="1398" t="s">
        <v>885</v>
      </c>
      <c r="G62" s="1384" t="s">
        <v>886</v>
      </c>
      <c r="H62" s="907">
        <v>18.100000000000001</v>
      </c>
      <c r="I62" s="907" t="s">
        <v>811</v>
      </c>
      <c r="J62" s="906" t="s">
        <v>887</v>
      </c>
      <c r="K62" s="913">
        <v>1</v>
      </c>
      <c r="L62" s="1040"/>
      <c r="M62" s="1036"/>
      <c r="N62" s="1042"/>
      <c r="O62" s="1042"/>
      <c r="P62" s="1006"/>
      <c r="Q62" s="135" t="str">
        <f t="shared" si="6"/>
        <v/>
      </c>
      <c r="R62" s="135" t="str">
        <f t="shared" si="6"/>
        <v/>
      </c>
      <c r="S62" s="164"/>
      <c r="T62" s="164"/>
      <c r="U62" s="892"/>
      <c r="V62" s="821"/>
      <c r="W62" s="821"/>
    </row>
    <row r="63" spans="6:23" ht="45" customHeight="1">
      <c r="F63" s="1398"/>
      <c r="G63" s="1384"/>
      <c r="H63" s="907">
        <v>18.2</v>
      </c>
      <c r="I63" s="907" t="s">
        <v>837</v>
      </c>
      <c r="J63" s="906" t="s">
        <v>888</v>
      </c>
      <c r="K63" s="913">
        <v>2</v>
      </c>
      <c r="L63" s="1040"/>
      <c r="M63" s="1036"/>
      <c r="N63" s="1042"/>
      <c r="O63" s="1042"/>
      <c r="P63" s="1006"/>
      <c r="Q63" s="135" t="str">
        <f t="shared" si="6"/>
        <v/>
      </c>
      <c r="R63" s="135" t="str">
        <f t="shared" si="6"/>
        <v/>
      </c>
      <c r="S63" s="164"/>
      <c r="T63" s="164"/>
      <c r="U63" s="892"/>
      <c r="V63" s="821"/>
      <c r="W63" s="821"/>
    </row>
    <row r="64" spans="6:23" ht="45" customHeight="1">
      <c r="F64" s="11" t="s">
        <v>305</v>
      </c>
      <c r="G64" s="11"/>
      <c r="H64" s="11"/>
      <c r="I64" s="11"/>
      <c r="J64" s="11"/>
      <c r="K64" s="7">
        <f>SUM(K58:K63)</f>
        <v>7</v>
      </c>
      <c r="L64" s="1049">
        <f>SUM(L58:L63)</f>
        <v>0</v>
      </c>
      <c r="M64" s="1050"/>
      <c r="N64" s="1044"/>
      <c r="O64" s="1044"/>
      <c r="P64" s="1003"/>
      <c r="Q64" s="19"/>
      <c r="R64" s="19"/>
      <c r="S64" s="164"/>
      <c r="T64" s="164"/>
      <c r="U64" s="892"/>
      <c r="V64" s="821"/>
      <c r="W64" s="821"/>
    </row>
    <row r="65" spans="1:23" ht="45" customHeight="1">
      <c r="A65" s="821"/>
      <c r="B65" s="821"/>
      <c r="C65" s="846"/>
      <c r="D65" s="821"/>
      <c r="E65" s="821"/>
      <c r="F65" s="540"/>
      <c r="G65" s="31"/>
      <c r="H65" s="30"/>
      <c r="I65" s="30"/>
      <c r="J65" s="31"/>
      <c r="K65" s="32"/>
      <c r="L65" s="1045"/>
      <c r="M65" s="1036"/>
      <c r="N65" s="1052"/>
      <c r="O65" s="1052"/>
      <c r="P65" s="580"/>
      <c r="Q65" s="269"/>
      <c r="R65" s="269"/>
      <c r="S65" s="164"/>
      <c r="T65" s="164"/>
      <c r="U65" s="892"/>
      <c r="V65" s="821"/>
      <c r="W65" s="821"/>
    </row>
    <row r="66" spans="1:23" ht="45" customHeight="1">
      <c r="A66" s="821"/>
      <c r="B66" s="821"/>
      <c r="C66" s="846"/>
      <c r="D66" s="821"/>
      <c r="E66" s="821"/>
      <c r="F66" s="57" t="s">
        <v>353</v>
      </c>
      <c r="G66" s="57"/>
      <c r="H66" s="57"/>
      <c r="I66" s="57"/>
      <c r="J66" s="57"/>
      <c r="K66" s="57"/>
      <c r="L66" s="1047"/>
      <c r="M66" s="1036"/>
      <c r="N66" s="1048"/>
      <c r="O66" s="1048"/>
      <c r="P66" s="1037"/>
      <c r="Q66" s="21"/>
      <c r="R66" s="21"/>
      <c r="S66" s="164"/>
      <c r="T66" s="164"/>
      <c r="U66" s="892"/>
      <c r="V66" s="821"/>
      <c r="W66" s="821"/>
    </row>
    <row r="67" spans="1:23" ht="45" customHeight="1">
      <c r="A67" s="821"/>
      <c r="B67" s="821"/>
      <c r="C67" s="846"/>
      <c r="D67" s="821"/>
      <c r="E67" s="821"/>
      <c r="F67" s="1399" t="s">
        <v>354</v>
      </c>
      <c r="G67" s="1331" t="s">
        <v>889</v>
      </c>
      <c r="H67" s="915" t="s">
        <v>890</v>
      </c>
      <c r="I67" s="905" t="s">
        <v>837</v>
      </c>
      <c r="J67" s="916" t="s">
        <v>891</v>
      </c>
      <c r="K67" s="913">
        <f>IF($G$67=W67,10,0)</f>
        <v>10</v>
      </c>
      <c r="L67" s="1040"/>
      <c r="M67" s="1036"/>
      <c r="N67" s="1042"/>
      <c r="O67" s="1042"/>
      <c r="P67" s="1006"/>
      <c r="Q67" s="135" t="str">
        <f t="shared" ref="Q67:R70" si="7">IF(ISBLANK($L67)=FALSE,IF(N67="","No","Yes"),"")</f>
        <v/>
      </c>
      <c r="R67" s="135" t="str">
        <f t="shared" si="7"/>
        <v/>
      </c>
      <c r="S67" s="164"/>
      <c r="T67" s="164"/>
      <c r="U67" s="892"/>
      <c r="V67" s="821"/>
      <c r="W67" s="908" t="s">
        <v>889</v>
      </c>
    </row>
    <row r="68" spans="1:23" ht="45" customHeight="1">
      <c r="A68" s="821"/>
      <c r="B68" s="821"/>
      <c r="C68" s="846"/>
      <c r="D68" s="821"/>
      <c r="E68" s="821"/>
      <c r="F68" s="1400"/>
      <c r="G68" s="1332"/>
      <c r="H68" s="915" t="s">
        <v>892</v>
      </c>
      <c r="I68" s="905" t="s">
        <v>837</v>
      </c>
      <c r="J68" s="916" t="str">
        <f>IF($G$5=$W$6,"Potable Water Benchmarks","Industry Developed Potable Water Benchmarks")</f>
        <v>Potable Water Benchmarks</v>
      </c>
      <c r="K68" s="913">
        <f>IF($G$67=W68,10,0)</f>
        <v>0</v>
      </c>
      <c r="L68" s="1040"/>
      <c r="M68" s="1036"/>
      <c r="N68" s="1042"/>
      <c r="O68" s="1042"/>
      <c r="P68" s="1006"/>
      <c r="Q68" s="135" t="str">
        <f t="shared" si="7"/>
        <v/>
      </c>
      <c r="R68" s="135" t="str">
        <f t="shared" si="7"/>
        <v/>
      </c>
      <c r="S68" s="164"/>
      <c r="T68" s="164"/>
      <c r="U68" s="892"/>
      <c r="V68" s="821"/>
      <c r="W68" s="798" t="s">
        <v>893</v>
      </c>
    </row>
    <row r="69" spans="1:23" ht="45" customHeight="1">
      <c r="A69" s="821"/>
      <c r="B69" s="821"/>
      <c r="C69" s="846"/>
      <c r="D69" s="821"/>
      <c r="E69" s="821"/>
      <c r="F69" s="1400"/>
      <c r="G69" s="1332"/>
      <c r="H69" s="915" t="s">
        <v>894</v>
      </c>
      <c r="I69" s="905" t="s">
        <v>837</v>
      </c>
      <c r="J69" s="916" t="s">
        <v>895</v>
      </c>
      <c r="K69" s="913">
        <f>IF($G$67=W69,10,0)</f>
        <v>0</v>
      </c>
      <c r="L69" s="1040"/>
      <c r="M69" s="1036"/>
      <c r="N69" s="1042"/>
      <c r="O69" s="1042"/>
      <c r="P69" s="1006"/>
      <c r="Q69" s="135" t="str">
        <f t="shared" si="7"/>
        <v/>
      </c>
      <c r="R69" s="135" t="str">
        <f t="shared" si="7"/>
        <v/>
      </c>
      <c r="S69" s="164"/>
      <c r="T69" s="164"/>
      <c r="U69" s="892"/>
      <c r="V69" s="821"/>
      <c r="W69" s="798" t="s">
        <v>870</v>
      </c>
    </row>
    <row r="70" spans="1:23" ht="45" customHeight="1">
      <c r="A70" s="821"/>
      <c r="B70" s="821"/>
      <c r="C70" s="846"/>
      <c r="D70" s="821"/>
      <c r="E70" s="821"/>
      <c r="F70" s="1401"/>
      <c r="G70" s="1323"/>
      <c r="H70" s="915" t="s">
        <v>896</v>
      </c>
      <c r="I70" s="905" t="s">
        <v>837</v>
      </c>
      <c r="J70" s="916" t="s">
        <v>897</v>
      </c>
      <c r="K70" s="913">
        <f>IF($G$67=W70,10,0)</f>
        <v>0</v>
      </c>
      <c r="L70" s="1040"/>
      <c r="M70" s="1036"/>
      <c r="N70" s="1042"/>
      <c r="O70" s="1042"/>
      <c r="P70" s="1006"/>
      <c r="Q70" s="135" t="str">
        <f t="shared" si="7"/>
        <v/>
      </c>
      <c r="R70" s="135" t="str">
        <f t="shared" si="7"/>
        <v/>
      </c>
      <c r="S70" s="164"/>
      <c r="T70" s="164"/>
      <c r="U70" s="892"/>
      <c r="V70" s="821"/>
      <c r="W70" s="909" t="s">
        <v>873</v>
      </c>
    </row>
    <row r="71" spans="1:23" ht="45" customHeight="1">
      <c r="A71" s="821">
        <v>2</v>
      </c>
      <c r="B71" s="821">
        <f>IF(C71=TRUE,A71,0)</f>
        <v>0</v>
      </c>
      <c r="C71" s="846" t="b">
        <v>0</v>
      </c>
      <c r="D71" s="821"/>
      <c r="E71" s="821"/>
      <c r="F71" s="1402" t="s">
        <v>898</v>
      </c>
      <c r="G71" s="1384" t="s">
        <v>899</v>
      </c>
      <c r="H71" s="917">
        <v>20.100000000000001</v>
      </c>
      <c r="I71" s="905" t="s">
        <v>811</v>
      </c>
      <c r="J71" s="916" t="s">
        <v>900</v>
      </c>
      <c r="K71" s="913">
        <f>IF($C$71=FALSE,1,0)</f>
        <v>1</v>
      </c>
      <c r="L71" s="1040"/>
      <c r="M71" s="1036"/>
      <c r="N71" s="1042"/>
      <c r="O71" s="1042"/>
      <c r="P71" s="1006"/>
      <c r="Q71" s="135" t="str">
        <f>IF(OR(ISBLANK($L71)=FALSE,C71=TRUE),IF(N71="","No","Yes"),"")</f>
        <v/>
      </c>
      <c r="R71" s="135" t="b">
        <f>IF(ISBLANK($L71)=FALSE,IF(O71="","No","Yes"),IF(C71=TRUE,"NA"))</f>
        <v>0</v>
      </c>
      <c r="S71" s="164"/>
      <c r="T71" s="164"/>
      <c r="U71" s="892"/>
      <c r="V71" s="821"/>
      <c r="W71" s="821"/>
    </row>
    <row r="72" spans="1:23" ht="45" customHeight="1">
      <c r="A72" s="821"/>
      <c r="B72" s="821"/>
      <c r="C72" s="846"/>
      <c r="D72" s="821"/>
      <c r="E72" s="821"/>
      <c r="F72" s="1403"/>
      <c r="G72" s="1384"/>
      <c r="H72" s="907">
        <v>20.2</v>
      </c>
      <c r="I72" s="905" t="s">
        <v>817</v>
      </c>
      <c r="J72" s="916" t="s">
        <v>901</v>
      </c>
      <c r="K72" s="913">
        <f>IF($C$71=FALSE,1,0)</f>
        <v>1</v>
      </c>
      <c r="L72" s="1040"/>
      <c r="M72" s="1036"/>
      <c r="N72" s="1042"/>
      <c r="O72" s="1042"/>
      <c r="P72" s="1006"/>
      <c r="Q72" s="135" t="str">
        <f>IF(OR(ISBLANK($L72)=FALSE,C71=TRUE),IF(N71="","No","Yes"),"")</f>
        <v/>
      </c>
      <c r="R72" s="135" t="b">
        <f>IF(ISBLANK($L72)=FALSE,IF(O72="","No","Yes"),IF(C71=TRUE,"NA"))</f>
        <v>0</v>
      </c>
      <c r="S72" s="164"/>
      <c r="T72" s="164"/>
      <c r="U72" s="892"/>
      <c r="V72" s="821"/>
      <c r="W72" s="821"/>
    </row>
    <row r="73" spans="1:23" ht="45" customHeight="1">
      <c r="A73" s="821"/>
      <c r="B73" s="821"/>
      <c r="C73" s="846"/>
      <c r="D73" s="821"/>
      <c r="E73" s="821"/>
      <c r="F73" s="11" t="s">
        <v>305</v>
      </c>
      <c r="G73" s="11"/>
      <c r="H73" s="11"/>
      <c r="I73" s="11"/>
      <c r="J73" s="11"/>
      <c r="K73" s="7">
        <f>SUM(K67:K72)</f>
        <v>12</v>
      </c>
      <c r="L73" s="1049">
        <f>SUM(L67:L72)</f>
        <v>0</v>
      </c>
      <c r="M73" s="1050"/>
      <c r="N73" s="1044"/>
      <c r="O73" s="1044"/>
      <c r="P73" s="1003"/>
      <c r="Q73" s="19"/>
      <c r="R73" s="19"/>
      <c r="S73" s="164"/>
      <c r="T73" s="164"/>
      <c r="U73" s="892"/>
      <c r="V73" s="821"/>
      <c r="W73" s="821"/>
    </row>
    <row r="74" spans="1:23" ht="45" customHeight="1">
      <c r="A74" s="821"/>
      <c r="B74" s="821"/>
      <c r="C74" s="846"/>
      <c r="D74" s="821"/>
      <c r="E74" s="821"/>
      <c r="F74" s="540"/>
      <c r="G74" s="31"/>
      <c r="H74" s="30"/>
      <c r="I74" s="30"/>
      <c r="J74" s="31"/>
      <c r="K74" s="32"/>
      <c r="L74" s="1045"/>
      <c r="M74" s="1036"/>
      <c r="N74" s="1046"/>
      <c r="O74" s="1046"/>
      <c r="P74" s="987"/>
      <c r="Q74" s="136"/>
      <c r="R74" s="136"/>
      <c r="S74" s="164"/>
      <c r="T74" s="164"/>
      <c r="U74" s="892"/>
      <c r="V74" s="821"/>
      <c r="W74" s="821"/>
    </row>
    <row r="75" spans="1:23" ht="45" customHeight="1">
      <c r="A75" s="821"/>
      <c r="B75" s="821"/>
      <c r="C75" s="846"/>
      <c r="D75" s="821"/>
      <c r="E75" s="821"/>
      <c r="F75" s="57" t="s">
        <v>367</v>
      </c>
      <c r="G75" s="57"/>
      <c r="H75" s="57"/>
      <c r="I75" s="57"/>
      <c r="J75" s="57"/>
      <c r="K75" s="57"/>
      <c r="L75" s="1047"/>
      <c r="M75" s="1036"/>
      <c r="N75" s="1048"/>
      <c r="O75" s="1048"/>
      <c r="P75" s="1037"/>
      <c r="Q75" s="21"/>
      <c r="R75" s="21"/>
      <c r="S75" s="164"/>
      <c r="T75" s="164"/>
      <c r="U75" s="892"/>
      <c r="V75" s="821"/>
      <c r="W75" s="821"/>
    </row>
    <row r="76" spans="1:23" ht="45" customHeight="1">
      <c r="A76" s="821"/>
      <c r="B76" s="821"/>
      <c r="C76" s="846"/>
      <c r="D76" s="821"/>
      <c r="E76" s="821"/>
      <c r="F76" s="1398" t="s">
        <v>902</v>
      </c>
      <c r="G76" s="1379" t="s">
        <v>903</v>
      </c>
      <c r="H76" s="907">
        <v>21.1</v>
      </c>
      <c r="I76" s="907" t="s">
        <v>823</v>
      </c>
      <c r="J76" s="906" t="s">
        <v>904</v>
      </c>
      <c r="K76" s="913">
        <v>1</v>
      </c>
      <c r="L76" s="1040"/>
      <c r="M76" s="1036"/>
      <c r="N76" s="1042"/>
      <c r="O76" s="1042"/>
      <c r="P76" s="1006"/>
      <c r="Q76" s="135" t="str">
        <f t="shared" ref="Q76:R80" si="8">IF(ISBLANK($L76)=FALSE,IF(N76="","No","Yes"),"")</f>
        <v/>
      </c>
      <c r="R76" s="135" t="str">
        <f t="shared" si="8"/>
        <v/>
      </c>
      <c r="S76" s="164"/>
      <c r="T76" s="164"/>
      <c r="U76" s="892"/>
      <c r="V76" s="821"/>
      <c r="W76" s="821"/>
    </row>
    <row r="77" spans="1:23" ht="45" customHeight="1">
      <c r="A77" s="821"/>
      <c r="B77" s="821"/>
      <c r="C77" s="846"/>
      <c r="D77" s="821"/>
      <c r="E77" s="821"/>
      <c r="F77" s="1398"/>
      <c r="G77" s="1379"/>
      <c r="H77" s="907">
        <v>21.2</v>
      </c>
      <c r="I77" s="907" t="s">
        <v>837</v>
      </c>
      <c r="J77" s="906" t="s">
        <v>905</v>
      </c>
      <c r="K77" s="913">
        <v>1</v>
      </c>
      <c r="L77" s="1040"/>
      <c r="M77" s="1036"/>
      <c r="N77" s="1042"/>
      <c r="O77" s="1042"/>
      <c r="P77" s="1006"/>
      <c r="Q77" s="135" t="str">
        <f t="shared" si="8"/>
        <v/>
      </c>
      <c r="R77" s="135" t="str">
        <f t="shared" si="8"/>
        <v/>
      </c>
      <c r="S77" s="164"/>
      <c r="T77" s="164"/>
      <c r="U77" s="892"/>
      <c r="V77" s="821"/>
      <c r="W77" s="821"/>
    </row>
    <row r="78" spans="1:23" ht="45" customHeight="1">
      <c r="A78" s="821"/>
      <c r="B78" s="821"/>
      <c r="C78" s="846"/>
      <c r="D78" s="821"/>
      <c r="E78" s="821"/>
      <c r="F78" s="1398"/>
      <c r="G78" s="1379"/>
      <c r="H78" s="907">
        <v>21.3</v>
      </c>
      <c r="I78" s="907" t="s">
        <v>837</v>
      </c>
      <c r="J78" s="906" t="s">
        <v>906</v>
      </c>
      <c r="K78" s="913">
        <v>1</v>
      </c>
      <c r="L78" s="1040"/>
      <c r="M78" s="1036"/>
      <c r="N78" s="1042"/>
      <c r="O78" s="1042"/>
      <c r="P78" s="1006"/>
      <c r="Q78" s="135" t="str">
        <f t="shared" si="8"/>
        <v/>
      </c>
      <c r="R78" s="135" t="str">
        <f t="shared" si="8"/>
        <v/>
      </c>
      <c r="S78" s="164"/>
      <c r="T78" s="164"/>
      <c r="U78" s="892"/>
      <c r="V78" s="821"/>
      <c r="W78" s="821"/>
    </row>
    <row r="79" spans="1:23" ht="45" customHeight="1">
      <c r="A79" s="821"/>
      <c r="B79" s="821"/>
      <c r="C79" s="846"/>
      <c r="D79" s="821"/>
      <c r="E79" s="821"/>
      <c r="F79" s="1398" t="s">
        <v>907</v>
      </c>
      <c r="G79" s="1379" t="s">
        <v>908</v>
      </c>
      <c r="H79" s="907">
        <v>22.1</v>
      </c>
      <c r="I79" s="907" t="s">
        <v>823</v>
      </c>
      <c r="J79" s="906" t="s">
        <v>909</v>
      </c>
      <c r="K79" s="913">
        <v>1</v>
      </c>
      <c r="L79" s="1040"/>
      <c r="M79" s="1036"/>
      <c r="N79" s="1042"/>
      <c r="O79" s="1042"/>
      <c r="P79" s="1006"/>
      <c r="Q79" s="135" t="str">
        <f t="shared" si="8"/>
        <v/>
      </c>
      <c r="R79" s="135" t="str">
        <f t="shared" si="8"/>
        <v/>
      </c>
      <c r="S79" s="164"/>
      <c r="T79" s="164"/>
      <c r="U79" s="892"/>
      <c r="V79" s="821"/>
      <c r="W79" s="821"/>
    </row>
    <row r="80" spans="1:23" ht="45" customHeight="1">
      <c r="A80" s="821"/>
      <c r="B80" s="821"/>
      <c r="C80" s="846"/>
      <c r="D80" s="821"/>
      <c r="E80" s="821"/>
      <c r="F80" s="1398"/>
      <c r="G80" s="1379"/>
      <c r="H80" s="907">
        <v>22.2</v>
      </c>
      <c r="I80" s="907" t="s">
        <v>837</v>
      </c>
      <c r="J80" s="906" t="s">
        <v>910</v>
      </c>
      <c r="K80" s="913">
        <v>3</v>
      </c>
      <c r="L80" s="1040"/>
      <c r="M80" s="1036"/>
      <c r="N80" s="1042"/>
      <c r="O80" s="1042"/>
      <c r="P80" s="1006"/>
      <c r="Q80" s="135" t="str">
        <f t="shared" si="8"/>
        <v/>
      </c>
      <c r="R80" s="135" t="str">
        <f t="shared" si="8"/>
        <v/>
      </c>
      <c r="S80" s="164"/>
      <c r="T80" s="164"/>
      <c r="U80" s="892"/>
      <c r="V80" s="821"/>
      <c r="W80" s="821"/>
    </row>
    <row r="81" spans="1:21" ht="45" customHeight="1">
      <c r="A81" s="821">
        <v>1</v>
      </c>
      <c r="B81" s="821">
        <f>IF(C81=TRUE,A81,0)</f>
        <v>0</v>
      </c>
      <c r="C81" s="846" t="b">
        <v>0</v>
      </c>
      <c r="D81" s="821"/>
      <c r="E81" s="821"/>
      <c r="F81" s="1398" t="s">
        <v>911</v>
      </c>
      <c r="G81" s="1379" t="s">
        <v>912</v>
      </c>
      <c r="H81" s="907">
        <v>23.1</v>
      </c>
      <c r="I81" s="907" t="s">
        <v>823</v>
      </c>
      <c r="J81" s="906" t="s">
        <v>913</v>
      </c>
      <c r="K81" s="913">
        <f>IF(C81=FALSE,A81,0)</f>
        <v>1</v>
      </c>
      <c r="L81" s="1040"/>
      <c r="M81" s="1036"/>
      <c r="N81" s="1042"/>
      <c r="O81" s="1042"/>
      <c r="P81" s="1006"/>
      <c r="Q81" s="135" t="str">
        <f>IF(OR(ISBLANK($L81)=FALSE,C81=TRUE),IF(N81="","No","Yes"),"")</f>
        <v/>
      </c>
      <c r="R81" s="135" t="b">
        <f>IF(ISBLANK($L81)=FALSE,IF(O81="","No","Yes"),IF(C81=TRUE,"NA"))</f>
        <v>0</v>
      </c>
      <c r="S81" s="164"/>
      <c r="T81" s="164"/>
      <c r="U81" s="892"/>
    </row>
    <row r="82" spans="1:21" ht="45" customHeight="1">
      <c r="A82" s="821">
        <v>2</v>
      </c>
      <c r="B82" s="821">
        <f>IF(C82=TRUE,A82,0)</f>
        <v>0</v>
      </c>
      <c r="C82" s="846" t="b">
        <v>0</v>
      </c>
      <c r="D82" s="821"/>
      <c r="E82" s="821"/>
      <c r="F82" s="1398"/>
      <c r="G82" s="1379"/>
      <c r="H82" s="907">
        <v>23.2</v>
      </c>
      <c r="I82" s="907" t="s">
        <v>837</v>
      </c>
      <c r="J82" s="906" t="s">
        <v>914</v>
      </c>
      <c r="K82" s="913">
        <f>IF(C82=FALSE,A82,0)</f>
        <v>2</v>
      </c>
      <c r="L82" s="1040"/>
      <c r="M82" s="1036"/>
      <c r="N82" s="1042"/>
      <c r="O82" s="1042"/>
      <c r="P82" s="1006"/>
      <c r="Q82" s="135" t="str">
        <f>IF(OR(ISBLANK($L82)=FALSE,C82=TRUE),IF(N82="","No","Yes"),"")</f>
        <v/>
      </c>
      <c r="R82" s="135" t="b">
        <f>IF(ISBLANK($L82)=FALSE,IF(O82="","No","Yes"),IF(C82=TRUE,"NA"))</f>
        <v>0</v>
      </c>
      <c r="S82" s="164"/>
      <c r="T82" s="164"/>
      <c r="U82" s="892"/>
    </row>
    <row r="83" spans="1:21" ht="45" customHeight="1">
      <c r="A83" s="821"/>
      <c r="B83" s="821"/>
      <c r="C83" s="846"/>
      <c r="D83" s="821"/>
      <c r="E83" s="821"/>
      <c r="F83" s="11" t="s">
        <v>305</v>
      </c>
      <c r="G83" s="11"/>
      <c r="H83" s="11"/>
      <c r="I83" s="11"/>
      <c r="J83" s="11"/>
      <c r="K83" s="7">
        <f>SUM(K76:K82)</f>
        <v>10</v>
      </c>
      <c r="L83" s="1049">
        <f>SUM(L76:L82)</f>
        <v>0</v>
      </c>
      <c r="M83" s="1050"/>
      <c r="N83" s="1044"/>
      <c r="O83" s="1044"/>
      <c r="P83" s="1003"/>
      <c r="Q83" s="19"/>
      <c r="R83" s="19"/>
      <c r="S83" s="164"/>
      <c r="T83" s="164"/>
      <c r="U83" s="892"/>
    </row>
    <row r="84" spans="1:21" ht="45" customHeight="1">
      <c r="A84" s="821"/>
      <c r="B84" s="821"/>
      <c r="C84" s="846"/>
      <c r="D84" s="821"/>
      <c r="E84" s="821"/>
      <c r="F84" s="540"/>
      <c r="G84" s="31"/>
      <c r="H84" s="30"/>
      <c r="I84" s="30"/>
      <c r="J84" s="31"/>
      <c r="K84" s="32"/>
      <c r="L84" s="1045"/>
      <c r="M84" s="1036"/>
      <c r="N84" s="1046"/>
      <c r="O84" s="1046"/>
      <c r="P84" s="987"/>
      <c r="Q84" s="136"/>
      <c r="R84" s="136"/>
      <c r="S84" s="164"/>
      <c r="T84" s="164"/>
      <c r="U84" s="892"/>
    </row>
    <row r="85" spans="1:21" ht="45" customHeight="1">
      <c r="A85" s="821"/>
      <c r="B85" s="821"/>
      <c r="C85" s="846"/>
      <c r="D85" s="821"/>
      <c r="E85" s="821"/>
      <c r="F85" s="57" t="s">
        <v>396</v>
      </c>
      <c r="G85" s="57"/>
      <c r="H85" s="57"/>
      <c r="I85" s="57"/>
      <c r="J85" s="57"/>
      <c r="K85" s="57"/>
      <c r="L85" s="1047"/>
      <c r="M85" s="1036"/>
      <c r="N85" s="1048"/>
      <c r="O85" s="1048"/>
      <c r="P85" s="1037"/>
      <c r="Q85" s="21"/>
      <c r="R85" s="21"/>
      <c r="S85" s="164"/>
      <c r="T85" s="164"/>
      <c r="U85" s="892"/>
    </row>
    <row r="86" spans="1:21" ht="45" customHeight="1">
      <c r="A86" s="821"/>
      <c r="B86" s="821"/>
      <c r="C86" s="846"/>
      <c r="D86" s="821"/>
      <c r="E86" s="821"/>
      <c r="F86" s="1397" t="s">
        <v>397</v>
      </c>
      <c r="G86" s="1384" t="s">
        <v>915</v>
      </c>
      <c r="H86" s="907">
        <v>24.1</v>
      </c>
      <c r="I86" s="907" t="s">
        <v>823</v>
      </c>
      <c r="J86" s="901" t="s">
        <v>916</v>
      </c>
      <c r="K86" s="913">
        <v>1</v>
      </c>
      <c r="L86" s="1040"/>
      <c r="M86" s="1036"/>
      <c r="N86" s="1042"/>
      <c r="O86" s="1042"/>
      <c r="P86" s="1006"/>
      <c r="Q86" s="135" t="str">
        <f t="shared" ref="Q86:R88" si="9">IF(ISBLANK($L86)=FALSE,IF(N86="","No","Yes"),"")</f>
        <v/>
      </c>
      <c r="R86" s="135" t="str">
        <f t="shared" si="9"/>
        <v/>
      </c>
      <c r="S86" s="164"/>
      <c r="T86" s="164"/>
      <c r="U86" s="892"/>
    </row>
    <row r="87" spans="1:21" ht="45" customHeight="1">
      <c r="A87" s="821"/>
      <c r="B87" s="821"/>
      <c r="C87" s="846"/>
      <c r="D87" s="821"/>
      <c r="E87" s="821"/>
      <c r="F87" s="1397"/>
      <c r="G87" s="1384"/>
      <c r="H87" s="907">
        <v>24.2</v>
      </c>
      <c r="I87" s="907" t="s">
        <v>817</v>
      </c>
      <c r="J87" s="901" t="s">
        <v>917</v>
      </c>
      <c r="K87" s="913">
        <v>2</v>
      </c>
      <c r="L87" s="1040"/>
      <c r="M87" s="1036"/>
      <c r="N87" s="1042"/>
      <c r="O87" s="1042"/>
      <c r="P87" s="1006"/>
      <c r="Q87" s="135" t="str">
        <f t="shared" si="9"/>
        <v/>
      </c>
      <c r="R87" s="135" t="str">
        <f t="shared" si="9"/>
        <v/>
      </c>
      <c r="S87" s="164"/>
      <c r="T87" s="164"/>
      <c r="U87" s="892"/>
    </row>
    <row r="88" spans="1:21" ht="45" customHeight="1">
      <c r="A88" s="821"/>
      <c r="B88" s="821"/>
      <c r="C88" s="846"/>
      <c r="D88" s="821"/>
      <c r="E88" s="821"/>
      <c r="F88" s="1397" t="s">
        <v>918</v>
      </c>
      <c r="G88" s="1384" t="s">
        <v>919</v>
      </c>
      <c r="H88" s="907">
        <v>25.1</v>
      </c>
      <c r="I88" s="907" t="s">
        <v>823</v>
      </c>
      <c r="J88" s="901" t="s">
        <v>920</v>
      </c>
      <c r="K88" s="913">
        <v>1</v>
      </c>
      <c r="L88" s="1040"/>
      <c r="M88" s="1036"/>
      <c r="N88" s="1042"/>
      <c r="O88" s="1042"/>
      <c r="P88" s="1006"/>
      <c r="Q88" s="135" t="str">
        <f t="shared" si="9"/>
        <v/>
      </c>
      <c r="R88" s="135" t="str">
        <f t="shared" si="9"/>
        <v/>
      </c>
      <c r="S88" s="164"/>
      <c r="T88" s="164"/>
      <c r="U88" s="892"/>
    </row>
    <row r="89" spans="1:21" ht="45" customHeight="1">
      <c r="A89" s="821">
        <v>1</v>
      </c>
      <c r="B89" s="821">
        <f>IF(C89=TRUE,A89,0)</f>
        <v>0</v>
      </c>
      <c r="C89" s="846" t="b">
        <v>0</v>
      </c>
      <c r="D89" s="821"/>
      <c r="E89" s="821"/>
      <c r="F89" s="1397"/>
      <c r="G89" s="1384"/>
      <c r="H89" s="907">
        <v>25.2</v>
      </c>
      <c r="I89" s="907" t="s">
        <v>811</v>
      </c>
      <c r="J89" s="901" t="s">
        <v>921</v>
      </c>
      <c r="K89" s="913">
        <f>IF(C89=FALSE,A89,0)</f>
        <v>1</v>
      </c>
      <c r="L89" s="1040"/>
      <c r="M89" s="1036"/>
      <c r="N89" s="1042"/>
      <c r="O89" s="1042"/>
      <c r="P89" s="1006"/>
      <c r="Q89" s="135" t="str">
        <f>IF(OR(ISBLANK($L89)=FALSE,C89=TRUE),IF(N89="","No","Yes"),"")</f>
        <v/>
      </c>
      <c r="R89" s="135" t="b">
        <f>IF(ISBLANK($L89)=FALSE,IF(O89="","No","Yes"),IF(C89=TRUE,"NA"))</f>
        <v>0</v>
      </c>
      <c r="S89" s="164"/>
      <c r="T89" s="164"/>
      <c r="U89" s="892"/>
    </row>
    <row r="90" spans="1:21" ht="45" customHeight="1">
      <c r="A90" s="821"/>
      <c r="B90" s="821"/>
      <c r="C90" s="846"/>
      <c r="D90" s="821"/>
      <c r="E90" s="821"/>
      <c r="F90" s="1397"/>
      <c r="G90" s="1384"/>
      <c r="H90" s="907">
        <v>25.3</v>
      </c>
      <c r="I90" s="907" t="s">
        <v>811</v>
      </c>
      <c r="J90" s="901" t="s">
        <v>922</v>
      </c>
      <c r="K90" s="913">
        <v>1</v>
      </c>
      <c r="L90" s="1040"/>
      <c r="M90" s="1036"/>
      <c r="N90" s="1042"/>
      <c r="O90" s="1042"/>
      <c r="P90" s="1006"/>
      <c r="Q90" s="135" t="str">
        <f>IF(ISBLANK($L90)=FALSE,IF(N90="","No","Yes"),"")</f>
        <v/>
      </c>
      <c r="R90" s="135" t="str">
        <f>IF(ISBLANK($L90)=FALSE,IF(O90="","No","Yes"),"")</f>
        <v/>
      </c>
      <c r="S90" s="164"/>
      <c r="T90" s="164"/>
      <c r="U90" s="892"/>
    </row>
    <row r="91" spans="1:21" ht="45" customHeight="1">
      <c r="A91" s="821"/>
      <c r="B91" s="821"/>
      <c r="C91" s="846"/>
      <c r="D91" s="821"/>
      <c r="E91" s="821"/>
      <c r="F91" s="11" t="s">
        <v>305</v>
      </c>
      <c r="G91" s="11"/>
      <c r="H91" s="11"/>
      <c r="I91" s="11"/>
      <c r="J91" s="11"/>
      <c r="K91" s="7">
        <f>SUM(K86:K90)</f>
        <v>6</v>
      </c>
      <c r="L91" s="1049">
        <f>SUM(L86:L90)</f>
        <v>0</v>
      </c>
      <c r="M91" s="1050"/>
      <c r="N91" s="1044"/>
      <c r="O91" s="1044"/>
      <c r="P91" s="1003"/>
      <c r="Q91" s="19"/>
      <c r="R91" s="19"/>
      <c r="S91" s="164"/>
      <c r="T91" s="164"/>
      <c r="U91" s="892"/>
    </row>
    <row r="92" spans="1:21" ht="45" customHeight="1">
      <c r="A92" s="821"/>
      <c r="B92" s="821"/>
      <c r="C92" s="846"/>
      <c r="D92" s="821"/>
      <c r="E92" s="821"/>
      <c r="F92" s="540"/>
      <c r="G92" s="31"/>
      <c r="H92" s="30"/>
      <c r="I92" s="30"/>
      <c r="J92" s="31"/>
      <c r="K92" s="32"/>
      <c r="L92" s="1045"/>
      <c r="M92" s="1036"/>
      <c r="N92" s="1052"/>
      <c r="O92" s="1052"/>
      <c r="P92" s="580"/>
      <c r="Q92" s="269"/>
      <c r="R92" s="269"/>
      <c r="S92" s="164"/>
      <c r="T92" s="164"/>
      <c r="U92" s="892"/>
    </row>
    <row r="93" spans="1:21" ht="45" customHeight="1">
      <c r="A93" s="821"/>
      <c r="B93" s="821"/>
      <c r="C93" s="846"/>
      <c r="D93" s="821"/>
      <c r="E93" s="821"/>
      <c r="F93" s="57" t="s">
        <v>404</v>
      </c>
      <c r="G93" s="57"/>
      <c r="H93" s="57"/>
      <c r="I93" s="57"/>
      <c r="J93" s="57"/>
      <c r="K93" s="57"/>
      <c r="L93" s="1047"/>
      <c r="M93" s="1036"/>
      <c r="N93" s="1048"/>
      <c r="O93" s="1048"/>
      <c r="P93" s="1037"/>
      <c r="Q93" s="21"/>
      <c r="R93" s="21"/>
      <c r="S93" s="164"/>
      <c r="T93" s="164"/>
      <c r="U93" s="892"/>
    </row>
    <row r="94" spans="1:21" ht="45" customHeight="1">
      <c r="A94" s="821"/>
      <c r="B94" s="821"/>
      <c r="C94" s="846"/>
      <c r="D94" s="821"/>
      <c r="E94" s="821"/>
      <c r="F94" s="1397" t="s">
        <v>405</v>
      </c>
      <c r="G94" s="1379" t="s">
        <v>923</v>
      </c>
      <c r="H94" s="907">
        <v>26.1</v>
      </c>
      <c r="I94" s="907" t="s">
        <v>823</v>
      </c>
      <c r="J94" s="901" t="s">
        <v>924</v>
      </c>
      <c r="K94" s="913">
        <v>1</v>
      </c>
      <c r="L94" s="1040"/>
      <c r="M94" s="1036"/>
      <c r="N94" s="1042"/>
      <c r="O94" s="1042"/>
      <c r="P94" s="1006"/>
      <c r="Q94" s="135" t="str">
        <f t="shared" ref="Q94:R96" si="10">IF(ISBLANK($L94)=FALSE,IF(N94="","No","Yes"),"")</f>
        <v/>
      </c>
      <c r="R94" s="135" t="str">
        <f t="shared" si="10"/>
        <v/>
      </c>
      <c r="S94" s="164"/>
      <c r="T94" s="164"/>
      <c r="U94" s="892"/>
    </row>
    <row r="95" spans="1:21" ht="45" customHeight="1">
      <c r="A95" s="821"/>
      <c r="B95" s="821"/>
      <c r="C95" s="846"/>
      <c r="D95" s="821"/>
      <c r="E95" s="821"/>
      <c r="F95" s="1397"/>
      <c r="G95" s="1379"/>
      <c r="H95" s="907">
        <v>26.2</v>
      </c>
      <c r="I95" s="907" t="s">
        <v>811</v>
      </c>
      <c r="J95" s="901" t="s">
        <v>925</v>
      </c>
      <c r="K95" s="913">
        <v>1</v>
      </c>
      <c r="L95" s="1040"/>
      <c r="M95" s="1036"/>
      <c r="N95" s="1042"/>
      <c r="O95" s="1042"/>
      <c r="P95" s="1006"/>
      <c r="Q95" s="135" t="str">
        <f t="shared" si="10"/>
        <v/>
      </c>
      <c r="R95" s="135" t="str">
        <f t="shared" si="10"/>
        <v/>
      </c>
      <c r="S95" s="164"/>
      <c r="T95" s="164"/>
      <c r="U95" s="892"/>
    </row>
    <row r="96" spans="1:21" ht="45" customHeight="1">
      <c r="A96" s="821"/>
      <c r="B96" s="821"/>
      <c r="C96" s="846"/>
      <c r="D96" s="821"/>
      <c r="E96" s="821"/>
      <c r="F96" s="1397" t="s">
        <v>409</v>
      </c>
      <c r="G96" s="1379" t="s">
        <v>926</v>
      </c>
      <c r="H96" s="907">
        <v>27.1</v>
      </c>
      <c r="I96" s="907" t="s">
        <v>811</v>
      </c>
      <c r="J96" s="901" t="s">
        <v>927</v>
      </c>
      <c r="K96" s="913">
        <v>1</v>
      </c>
      <c r="L96" s="1040"/>
      <c r="M96" s="1036"/>
      <c r="N96" s="1042"/>
      <c r="O96" s="1042"/>
      <c r="P96" s="1006"/>
      <c r="Q96" s="135" t="str">
        <f t="shared" si="10"/>
        <v/>
      </c>
      <c r="R96" s="135" t="str">
        <f t="shared" si="10"/>
        <v/>
      </c>
      <c r="S96" s="164"/>
      <c r="T96" s="164"/>
      <c r="U96" s="892"/>
    </row>
    <row r="97" spans="1:23" ht="45" customHeight="1">
      <c r="A97" s="821">
        <v>1</v>
      </c>
      <c r="B97" s="821">
        <f>IF(C97=TRUE,A97,0)</f>
        <v>0</v>
      </c>
      <c r="C97" s="846" t="b">
        <v>0</v>
      </c>
      <c r="D97" s="821"/>
      <c r="E97" s="821"/>
      <c r="F97" s="1397"/>
      <c r="G97" s="1379"/>
      <c r="H97" s="907">
        <v>27.2</v>
      </c>
      <c r="I97" s="907" t="s">
        <v>811</v>
      </c>
      <c r="J97" s="901" t="s">
        <v>928</v>
      </c>
      <c r="K97" s="913">
        <f>IF(C97=FALSE,A97,0)</f>
        <v>1</v>
      </c>
      <c r="L97" s="1040"/>
      <c r="M97" s="1036"/>
      <c r="N97" s="1042"/>
      <c r="O97" s="1042"/>
      <c r="P97" s="1006"/>
      <c r="Q97" s="135" t="str">
        <f>IF(OR(ISBLANK($L97)=FALSE,C97=TRUE),IF(N97="","No","Yes"),"")</f>
        <v/>
      </c>
      <c r="R97" s="135" t="b">
        <f>IF(ISBLANK($L97)=FALSE,IF(O97="","No","Yes"),IF(C97=TRUE,"NA"))</f>
        <v>0</v>
      </c>
      <c r="S97" s="164"/>
      <c r="T97" s="164"/>
      <c r="U97" s="892"/>
      <c r="V97" s="821"/>
      <c r="W97" s="821"/>
    </row>
    <row r="98" spans="1:23" ht="45" customHeight="1">
      <c r="A98" s="821"/>
      <c r="B98" s="821"/>
      <c r="C98" s="846"/>
      <c r="D98" s="821"/>
      <c r="E98" s="821"/>
      <c r="F98" s="174" t="s">
        <v>416</v>
      </c>
      <c r="G98" s="901" t="s">
        <v>520</v>
      </c>
      <c r="H98" s="907">
        <v>28.1</v>
      </c>
      <c r="I98" s="907" t="s">
        <v>817</v>
      </c>
      <c r="J98" s="901" t="s">
        <v>416</v>
      </c>
      <c r="K98" s="913">
        <v>1</v>
      </c>
      <c r="L98" s="1040"/>
      <c r="M98" s="1036"/>
      <c r="N98" s="1042"/>
      <c r="O98" s="1042"/>
      <c r="P98" s="1006"/>
      <c r="Q98" s="135" t="str">
        <f>IF(ISBLANK($L98)=FALSE,IF(N98="","No","Yes"),"")</f>
        <v/>
      </c>
      <c r="R98" s="135" t="str">
        <f>IF(ISBLANK($L98)=FALSE,IF(O98="","No","Yes"),"")</f>
        <v/>
      </c>
      <c r="S98" s="164"/>
      <c r="T98" s="164"/>
      <c r="U98" s="892"/>
      <c r="V98" s="821"/>
      <c r="W98" s="821"/>
    </row>
    <row r="99" spans="1:23" ht="45" customHeight="1">
      <c r="A99" s="821"/>
      <c r="B99" s="821"/>
      <c r="C99" s="846"/>
      <c r="D99" s="821"/>
      <c r="E99" s="821"/>
      <c r="F99" s="174" t="s">
        <v>413</v>
      </c>
      <c r="G99" s="901" t="s">
        <v>929</v>
      </c>
      <c r="H99" s="907">
        <v>29.1</v>
      </c>
      <c r="I99" s="907" t="s">
        <v>811</v>
      </c>
      <c r="J99" s="901" t="s">
        <v>413</v>
      </c>
      <c r="K99" s="913">
        <v>1</v>
      </c>
      <c r="L99" s="1040"/>
      <c r="M99" s="1036"/>
      <c r="N99" s="1042"/>
      <c r="O99" s="1042"/>
      <c r="P99" s="1006"/>
      <c r="Q99" s="135" t="str">
        <f>IF(ISBLANK($L99)=FALSE,IF(N99="","No","Yes"),"")</f>
        <v/>
      </c>
      <c r="R99" s="135" t="str">
        <f>IF(ISBLANK($L99)=FALSE,IF(O99="","No","Yes"),"")</f>
        <v/>
      </c>
      <c r="S99" s="164"/>
      <c r="T99" s="164"/>
      <c r="U99" s="892"/>
      <c r="V99" s="821"/>
      <c r="W99" s="821"/>
    </row>
    <row r="100" spans="1:23" ht="45" customHeight="1">
      <c r="A100" s="821"/>
      <c r="B100" s="821"/>
      <c r="C100" s="846"/>
      <c r="D100" s="821"/>
      <c r="E100" s="821"/>
      <c r="F100" s="11" t="s">
        <v>305</v>
      </c>
      <c r="G100" s="11"/>
      <c r="H100" s="11"/>
      <c r="I100" s="11"/>
      <c r="J100" s="11"/>
      <c r="K100" s="7">
        <f>SUM(K94:K99)</f>
        <v>6</v>
      </c>
      <c r="L100" s="1049">
        <f>SUM(L94:L99)</f>
        <v>0</v>
      </c>
      <c r="M100" s="1050"/>
      <c r="N100" s="1044"/>
      <c r="O100" s="1044"/>
      <c r="P100" s="1003"/>
      <c r="Q100" s="19"/>
      <c r="R100" s="19"/>
      <c r="S100" s="164"/>
      <c r="T100" s="164"/>
      <c r="U100" s="892"/>
      <c r="V100" s="821"/>
      <c r="W100" s="821"/>
    </row>
    <row r="101" spans="1:23" ht="45" customHeight="1">
      <c r="A101" s="821"/>
      <c r="B101" s="821"/>
      <c r="C101" s="846"/>
      <c r="D101" s="821"/>
      <c r="E101" s="821"/>
      <c r="F101" s="540"/>
      <c r="G101" s="31"/>
      <c r="H101" s="30"/>
      <c r="I101" s="30"/>
      <c r="J101" s="31"/>
      <c r="K101" s="32"/>
      <c r="L101" s="1045"/>
      <c r="M101" s="1036"/>
      <c r="N101" s="1052"/>
      <c r="O101" s="1052"/>
      <c r="P101" s="580"/>
      <c r="Q101" s="269"/>
      <c r="R101" s="269"/>
      <c r="S101" s="164"/>
      <c r="T101" s="164"/>
      <c r="U101" s="892"/>
      <c r="V101" s="821"/>
      <c r="W101" s="821"/>
    </row>
    <row r="102" spans="1:23" ht="45" customHeight="1">
      <c r="A102" s="821"/>
      <c r="B102" s="821"/>
      <c r="C102" s="846"/>
      <c r="D102" s="821"/>
      <c r="E102" s="821"/>
      <c r="F102" s="57" t="s">
        <v>419</v>
      </c>
      <c r="G102" s="57"/>
      <c r="H102" s="57"/>
      <c r="I102" s="57"/>
      <c r="J102" s="57"/>
      <c r="K102" s="57"/>
      <c r="L102" s="1047"/>
      <c r="M102" s="1036"/>
      <c r="N102" s="1048"/>
      <c r="O102" s="1048"/>
      <c r="P102" s="1053"/>
      <c r="Q102" s="20"/>
      <c r="R102" s="20"/>
      <c r="S102" s="164"/>
      <c r="T102" s="164"/>
      <c r="U102" s="892"/>
      <c r="V102" s="821"/>
      <c r="W102" s="821"/>
    </row>
    <row r="103" spans="1:23" ht="45" customHeight="1">
      <c r="A103" s="821"/>
      <c r="B103" s="821"/>
      <c r="C103" s="846"/>
      <c r="D103" s="821"/>
      <c r="E103" s="821"/>
      <c r="F103" s="1385" t="s">
        <v>419</v>
      </c>
      <c r="G103" s="1386" t="s">
        <v>930</v>
      </c>
      <c r="H103" s="905" t="s">
        <v>522</v>
      </c>
      <c r="I103" s="905" t="s">
        <v>931</v>
      </c>
      <c r="J103" s="901" t="s">
        <v>420</v>
      </c>
      <c r="K103" s="1389">
        <v>10</v>
      </c>
      <c r="L103" s="1040"/>
      <c r="M103" s="1036"/>
      <c r="N103" s="1042"/>
      <c r="O103" s="1042"/>
      <c r="P103" s="1006"/>
      <c r="Q103" s="135" t="str">
        <f t="shared" ref="Q103:R107" si="11">IF(ISBLANK($L103)=FALSE,IF(N103="","No","Yes"),"")</f>
        <v/>
      </c>
      <c r="R103" s="135" t="str">
        <f t="shared" si="11"/>
        <v/>
      </c>
      <c r="S103" s="164"/>
      <c r="T103" s="164"/>
      <c r="U103" s="892"/>
      <c r="V103" s="821"/>
      <c r="W103" s="821"/>
    </row>
    <row r="104" spans="1:23" ht="45" customHeight="1">
      <c r="A104" s="821"/>
      <c r="B104" s="821"/>
      <c r="C104" s="846"/>
      <c r="D104" s="821"/>
      <c r="E104" s="821"/>
      <c r="F104" s="1385"/>
      <c r="G104" s="1387"/>
      <c r="H104" s="905" t="s">
        <v>524</v>
      </c>
      <c r="I104" s="905" t="s">
        <v>931</v>
      </c>
      <c r="J104" s="901" t="s">
        <v>422</v>
      </c>
      <c r="K104" s="1390"/>
      <c r="L104" s="1040"/>
      <c r="M104" s="1036"/>
      <c r="N104" s="1042"/>
      <c r="O104" s="1042"/>
      <c r="P104" s="1006"/>
      <c r="Q104" s="135" t="str">
        <f t="shared" si="11"/>
        <v/>
      </c>
      <c r="R104" s="135" t="str">
        <f t="shared" si="11"/>
        <v/>
      </c>
      <c r="S104" s="164"/>
      <c r="T104" s="164"/>
      <c r="U104" s="892"/>
      <c r="V104" s="821"/>
      <c r="W104" s="821"/>
    </row>
    <row r="105" spans="1:23" ht="45" customHeight="1">
      <c r="A105" s="821"/>
      <c r="B105" s="821"/>
      <c r="C105" s="846"/>
      <c r="D105" s="821"/>
      <c r="E105" s="821"/>
      <c r="F105" s="1385"/>
      <c r="G105" s="1387"/>
      <c r="H105" s="905" t="s">
        <v>526</v>
      </c>
      <c r="I105" s="905" t="s">
        <v>931</v>
      </c>
      <c r="J105" s="901" t="s">
        <v>424</v>
      </c>
      <c r="K105" s="1390"/>
      <c r="L105" s="1040"/>
      <c r="M105" s="1036"/>
      <c r="N105" s="1042"/>
      <c r="O105" s="1042"/>
      <c r="P105" s="1006"/>
      <c r="Q105" s="135" t="str">
        <f t="shared" si="11"/>
        <v/>
      </c>
      <c r="R105" s="135" t="str">
        <f t="shared" si="11"/>
        <v/>
      </c>
      <c r="S105" s="164"/>
      <c r="T105" s="164"/>
      <c r="U105" s="892"/>
      <c r="V105" s="821"/>
      <c r="W105" s="821"/>
    </row>
    <row r="106" spans="1:23" ht="45" customHeight="1">
      <c r="A106" s="821"/>
      <c r="B106" s="821"/>
      <c r="C106" s="846"/>
      <c r="D106" s="821"/>
      <c r="E106" s="821"/>
      <c r="F106" s="1385"/>
      <c r="G106" s="1387"/>
      <c r="H106" s="905" t="s">
        <v>528</v>
      </c>
      <c r="I106" s="905" t="s">
        <v>931</v>
      </c>
      <c r="J106" s="901" t="s">
        <v>932</v>
      </c>
      <c r="K106" s="1390"/>
      <c r="L106" s="1040"/>
      <c r="M106" s="1036"/>
      <c r="N106" s="1042"/>
      <c r="O106" s="1042"/>
      <c r="P106" s="1006"/>
      <c r="Q106" s="135" t="str">
        <f t="shared" si="11"/>
        <v/>
      </c>
      <c r="R106" s="135" t="str">
        <f t="shared" si="11"/>
        <v/>
      </c>
      <c r="S106" s="164"/>
      <c r="T106" s="164"/>
      <c r="U106" s="892"/>
      <c r="V106" s="821"/>
      <c r="W106" s="821"/>
    </row>
    <row r="107" spans="1:23" ht="45" customHeight="1">
      <c r="A107" s="821"/>
      <c r="B107" s="821"/>
      <c r="C107" s="846"/>
      <c r="D107" s="821"/>
      <c r="E107" s="821"/>
      <c r="F107" s="1385"/>
      <c r="G107" s="1388"/>
      <c r="H107" s="905" t="s">
        <v>530</v>
      </c>
      <c r="I107" s="905" t="s">
        <v>931</v>
      </c>
      <c r="J107" s="901" t="s">
        <v>428</v>
      </c>
      <c r="K107" s="1391"/>
      <c r="L107" s="1040"/>
      <c r="M107" s="1036"/>
      <c r="N107" s="1042"/>
      <c r="O107" s="1042"/>
      <c r="P107" s="1006"/>
      <c r="Q107" s="135" t="str">
        <f t="shared" si="11"/>
        <v/>
      </c>
      <c r="R107" s="135" t="str">
        <f t="shared" si="11"/>
        <v/>
      </c>
      <c r="S107" s="164"/>
      <c r="T107" s="164"/>
      <c r="U107" s="892"/>
      <c r="V107" s="821"/>
      <c r="W107" s="821"/>
    </row>
    <row r="108" spans="1:23" ht="45" customHeight="1">
      <c r="A108" s="821"/>
      <c r="B108" s="821"/>
      <c r="C108" s="846"/>
      <c r="D108" s="821"/>
      <c r="E108" s="821"/>
      <c r="F108" s="11" t="s">
        <v>305</v>
      </c>
      <c r="G108" s="11"/>
      <c r="H108" s="11"/>
      <c r="I108" s="11"/>
      <c r="J108" s="11"/>
      <c r="K108" s="7">
        <v>10</v>
      </c>
      <c r="L108" s="1029">
        <f>IF(SUM(L103:L107)&gt;10,10,SUM(L103:L107))</f>
        <v>0</v>
      </c>
      <c r="M108" s="1050"/>
      <c r="N108" s="1017"/>
      <c r="O108" s="1017"/>
      <c r="P108" s="1003"/>
      <c r="Q108" s="19"/>
      <c r="R108" s="19"/>
      <c r="S108" s="164"/>
      <c r="T108" s="164"/>
      <c r="U108" s="821"/>
      <c r="V108" s="821"/>
      <c r="W108" s="821"/>
    </row>
    <row r="109" spans="1:23" ht="30" customHeight="1">
      <c r="A109" s="821"/>
      <c r="B109" s="821"/>
      <c r="C109" s="846"/>
      <c r="D109" s="821"/>
      <c r="E109" s="821"/>
      <c r="F109" s="828"/>
      <c r="G109" s="828"/>
      <c r="H109" s="817"/>
      <c r="I109" s="817"/>
      <c r="J109" s="828"/>
      <c r="K109" s="817"/>
      <c r="L109" s="1027"/>
      <c r="M109" s="1054"/>
      <c r="N109" s="990"/>
      <c r="O109" s="990"/>
      <c r="P109" s="990"/>
      <c r="Q109" s="192"/>
      <c r="R109" s="192"/>
      <c r="S109" s="164"/>
      <c r="T109" s="164"/>
      <c r="U109" s="65"/>
      <c r="V109" s="821"/>
      <c r="W109" s="821"/>
    </row>
    <row r="110" spans="1:23" ht="37.5" hidden="1" customHeight="1">
      <c r="A110" s="821"/>
      <c r="B110" s="62" t="s">
        <v>430</v>
      </c>
      <c r="C110" s="846"/>
      <c r="D110" s="821"/>
      <c r="E110" s="821"/>
      <c r="F110" s="63"/>
      <c r="G110" s="40"/>
      <c r="H110" s="41"/>
      <c r="I110" s="41"/>
      <c r="J110" s="42" t="s">
        <v>431</v>
      </c>
      <c r="K110" s="7" t="s">
        <v>432</v>
      </c>
      <c r="L110" s="1029" t="s">
        <v>433</v>
      </c>
      <c r="M110" s="1055"/>
      <c r="N110" s="990"/>
      <c r="O110" s="990"/>
      <c r="P110" s="990"/>
      <c r="Q110" s="192"/>
      <c r="R110" s="192"/>
      <c r="S110" s="164"/>
      <c r="T110" s="164"/>
      <c r="U110" s="65"/>
      <c r="V110" s="821"/>
      <c r="W110" s="821"/>
    </row>
    <row r="111" spans="1:23" ht="37.5" hidden="1" customHeight="1">
      <c r="A111" s="821"/>
      <c r="B111" s="62">
        <f>SUM(B28:B99)</f>
        <v>0</v>
      </c>
      <c r="C111" s="846"/>
      <c r="D111" s="821"/>
      <c r="E111" s="821"/>
      <c r="F111" s="63"/>
      <c r="G111" s="40"/>
      <c r="H111" s="41"/>
      <c r="I111" s="41"/>
      <c r="J111" s="11" t="s">
        <v>434</v>
      </c>
      <c r="K111" s="423">
        <f>100-B111</f>
        <v>100</v>
      </c>
      <c r="L111" s="1056">
        <f>L26+L45+L55+L64+L73+L83+L91+L100</f>
        <v>0</v>
      </c>
      <c r="M111" s="1057"/>
      <c r="N111" s="990"/>
      <c r="O111" s="990"/>
      <c r="P111" s="990"/>
      <c r="Q111" s="192"/>
      <c r="R111" s="192"/>
      <c r="S111" s="164"/>
      <c r="T111" s="164"/>
      <c r="U111" s="892"/>
      <c r="V111" s="821"/>
      <c r="W111" s="821"/>
    </row>
    <row r="112" spans="1:23" ht="37.5" hidden="1" customHeight="1">
      <c r="A112" s="821"/>
      <c r="B112" s="821"/>
      <c r="C112" s="846"/>
      <c r="D112" s="821"/>
      <c r="E112" s="821"/>
      <c r="F112" s="823"/>
      <c r="G112" s="823"/>
      <c r="H112" s="817"/>
      <c r="I112" s="817"/>
      <c r="J112" s="11" t="s">
        <v>601</v>
      </c>
      <c r="K112" s="44"/>
      <c r="L112" s="1058">
        <f>L111/K111*100</f>
        <v>0</v>
      </c>
      <c r="M112" s="1059"/>
      <c r="N112" s="990"/>
      <c r="O112" s="990"/>
      <c r="P112" s="990"/>
      <c r="Q112" s="192"/>
      <c r="R112" s="192"/>
      <c r="S112" s="164"/>
      <c r="T112" s="164"/>
      <c r="U112" s="892"/>
      <c r="V112" s="821"/>
      <c r="W112" s="821"/>
    </row>
    <row r="113" spans="5:18" ht="37.5" hidden="1" customHeight="1">
      <c r="E113" s="821"/>
      <c r="F113" s="823"/>
      <c r="G113" s="823"/>
      <c r="H113" s="817"/>
      <c r="I113" s="817"/>
      <c r="J113" s="11" t="s">
        <v>436</v>
      </c>
      <c r="K113" s="423">
        <v>10</v>
      </c>
      <c r="L113" s="1056">
        <f>L108</f>
        <v>0</v>
      </c>
      <c r="M113" s="1059"/>
      <c r="N113" s="990"/>
      <c r="O113" s="990"/>
      <c r="P113" s="990"/>
      <c r="Q113" s="192"/>
      <c r="R113" s="192"/>
    </row>
    <row r="114" spans="5:18" ht="37.5" hidden="1" customHeight="1">
      <c r="E114" s="821"/>
      <c r="F114" s="814"/>
      <c r="G114" s="814"/>
      <c r="H114" s="538"/>
      <c r="I114" s="538"/>
      <c r="J114" s="11" t="s">
        <v>237</v>
      </c>
      <c r="K114" s="47"/>
      <c r="L114" s="1058">
        <f>L112+L113</f>
        <v>0</v>
      </c>
      <c r="M114" s="1031"/>
      <c r="N114" s="990"/>
      <c r="O114" s="990"/>
      <c r="P114" s="990"/>
      <c r="Q114" s="192"/>
      <c r="R114" s="192"/>
    </row>
    <row r="115" spans="5:18" ht="45" hidden="1" customHeight="1">
      <c r="E115" s="821"/>
      <c r="F115" s="814"/>
      <c r="G115" s="814"/>
      <c r="H115" s="538"/>
      <c r="I115" s="538"/>
      <c r="J115" s="814"/>
      <c r="K115" s="538"/>
      <c r="L115" s="1033"/>
      <c r="M115" s="1031"/>
      <c r="N115" s="580"/>
      <c r="O115" s="580"/>
      <c r="P115" s="580"/>
      <c r="Q115" s="164"/>
      <c r="R115" s="164"/>
    </row>
    <row r="116" spans="5:18" ht="45" customHeight="1">
      <c r="E116" s="821"/>
      <c r="F116" s="814"/>
      <c r="G116" s="814"/>
      <c r="H116" s="164"/>
      <c r="I116" s="164"/>
      <c r="J116" s="176" t="s">
        <v>933</v>
      </c>
      <c r="K116" s="424"/>
      <c r="L116" s="1060"/>
      <c r="M116" s="1031"/>
      <c r="N116" s="1061" t="s">
        <v>438</v>
      </c>
      <c r="O116" s="1061" t="s">
        <v>439</v>
      </c>
      <c r="P116" s="580"/>
      <c r="Q116" s="164"/>
      <c r="R116" s="164"/>
    </row>
    <row r="117" spans="5:18" ht="45" customHeight="1">
      <c r="E117" s="821"/>
      <c r="F117" s="814"/>
      <c r="G117" s="814"/>
      <c r="H117" s="164"/>
      <c r="I117" s="425"/>
      <c r="J117" s="426" t="s">
        <v>934</v>
      </c>
      <c r="K117" s="66"/>
      <c r="L117" s="1062"/>
      <c r="M117" s="1031"/>
      <c r="N117" s="1063">
        <f>SUMIF(Q10:Q107,"Yes",N10:N107)</f>
        <v>0</v>
      </c>
      <c r="O117" s="1063">
        <f>SUMIF(R10:R107,"Yes",O10:O107)</f>
        <v>0</v>
      </c>
      <c r="P117" s="580"/>
      <c r="Q117" s="164"/>
      <c r="R117" s="164"/>
    </row>
    <row r="118" spans="5:18" ht="45" customHeight="1">
      <c r="E118" s="821"/>
      <c r="F118" s="814"/>
      <c r="G118" s="814"/>
      <c r="H118" s="164"/>
      <c r="I118" s="425"/>
      <c r="J118" s="427" t="s">
        <v>442</v>
      </c>
      <c r="K118" s="428"/>
      <c r="L118" s="1064">
        <f>L117</f>
        <v>0</v>
      </c>
      <c r="M118" s="1031"/>
      <c r="N118" s="580"/>
      <c r="O118" s="580"/>
      <c r="P118" s="580"/>
      <c r="Q118" s="164"/>
      <c r="R118" s="164"/>
    </row>
    <row r="119" spans="5:18" ht="45" customHeight="1">
      <c r="E119" s="821"/>
      <c r="F119" s="814"/>
      <c r="G119" s="814"/>
      <c r="H119" s="164"/>
      <c r="I119" s="425"/>
      <c r="J119" s="426" t="s">
        <v>443</v>
      </c>
      <c r="K119" s="66"/>
      <c r="L119" s="1062"/>
      <c r="M119" s="1031"/>
      <c r="N119" s="580"/>
      <c r="O119" s="580"/>
      <c r="P119" s="580"/>
      <c r="Q119" s="164"/>
      <c r="R119" s="164"/>
    </row>
    <row r="120" spans="5:18" ht="45" customHeight="1">
      <c r="E120" s="821"/>
      <c r="F120" s="814"/>
      <c r="G120" s="814"/>
      <c r="H120" s="164"/>
      <c r="I120" s="425"/>
      <c r="J120" s="427" t="s">
        <v>107</v>
      </c>
      <c r="K120" s="66"/>
      <c r="L120" s="1065">
        <f>N117</f>
        <v>0</v>
      </c>
      <c r="M120" s="1031"/>
      <c r="N120" s="580"/>
      <c r="O120" s="580"/>
      <c r="P120" s="580"/>
      <c r="Q120" s="164"/>
      <c r="R120" s="164"/>
    </row>
    <row r="121" spans="5:18" ht="45" customHeight="1">
      <c r="E121" s="821"/>
      <c r="F121" s="814"/>
      <c r="G121" s="814"/>
      <c r="H121" s="164"/>
      <c r="I121" s="425"/>
      <c r="J121" s="427" t="s">
        <v>444</v>
      </c>
      <c r="K121" s="66"/>
      <c r="L121" s="1065">
        <f>O117</f>
        <v>0</v>
      </c>
      <c r="M121" s="1031"/>
      <c r="N121" s="580"/>
      <c r="O121" s="580"/>
      <c r="P121" s="580"/>
      <c r="Q121" s="164"/>
      <c r="R121" s="164"/>
    </row>
    <row r="122" spans="5:18" ht="45" customHeight="1">
      <c r="E122" s="821"/>
      <c r="F122" s="814"/>
      <c r="G122" s="814"/>
      <c r="H122" s="164"/>
      <c r="I122" s="425"/>
      <c r="J122" s="427" t="s">
        <v>935</v>
      </c>
      <c r="K122" s="66"/>
      <c r="L122" s="1064">
        <f>SUM(L119:L121)</f>
        <v>0</v>
      </c>
      <c r="M122" s="1031"/>
      <c r="N122" s="580"/>
      <c r="O122" s="580"/>
      <c r="P122" s="580"/>
      <c r="Q122" s="164"/>
      <c r="R122" s="164"/>
    </row>
    <row r="123" spans="5:18" ht="45" customHeight="1">
      <c r="E123" s="821"/>
      <c r="F123" s="814"/>
      <c r="G123" s="814"/>
      <c r="H123" s="164"/>
      <c r="I123" s="918"/>
      <c r="J123" s="427" t="s">
        <v>936</v>
      </c>
      <c r="K123" s="66"/>
      <c r="L123" s="1066">
        <f>IFERROR(L122/L118,0)</f>
        <v>0</v>
      </c>
      <c r="M123" s="1031"/>
      <c r="N123" s="580"/>
      <c r="O123" s="580"/>
      <c r="P123" s="580"/>
      <c r="Q123" s="164"/>
      <c r="R123" s="164"/>
    </row>
    <row r="124" spans="5:18" ht="30" customHeight="1">
      <c r="E124" s="821"/>
      <c r="F124" s="814"/>
      <c r="G124" s="814"/>
      <c r="H124" s="538"/>
      <c r="I124" s="538"/>
      <c r="J124" s="814"/>
      <c r="K124" s="538"/>
      <c r="L124" s="1033"/>
      <c r="M124" s="1031"/>
      <c r="N124" s="580"/>
      <c r="O124" s="580"/>
      <c r="P124" s="580"/>
      <c r="Q124" s="164"/>
      <c r="R124" s="164"/>
    </row>
    <row r="125" spans="5:18" ht="30" customHeight="1">
      <c r="E125" s="142"/>
      <c r="F125" s="814"/>
      <c r="G125" s="814"/>
      <c r="H125" s="538"/>
      <c r="I125" s="538"/>
      <c r="J125" s="230" t="s">
        <v>101</v>
      </c>
      <c r="K125" s="243"/>
      <c r="L125" s="1067" t="s">
        <v>602</v>
      </c>
      <c r="M125" s="981"/>
      <c r="N125" s="580"/>
      <c r="O125" s="580"/>
      <c r="P125" s="580"/>
      <c r="Q125" s="164"/>
      <c r="R125" s="164"/>
    </row>
    <row r="126" spans="5:18" ht="35.1" customHeight="1">
      <c r="E126" s="142"/>
      <c r="F126" s="814"/>
      <c r="G126" s="814"/>
      <c r="H126" s="538"/>
      <c r="I126" s="538"/>
      <c r="J126" s="121" t="s">
        <v>447</v>
      </c>
      <c r="K126" s="919" t="s">
        <v>937</v>
      </c>
      <c r="L126" s="1179" t="str">
        <f>IF(K126="Yes","No Issues", IF(K126="No","Contact project team","Check scorecard points"))</f>
        <v>Check scorecard points</v>
      </c>
      <c r="M126" s="1179"/>
      <c r="N126" s="580"/>
      <c r="O126" s="580"/>
      <c r="P126" s="580"/>
      <c r="Q126" s="164"/>
      <c r="R126" s="164"/>
    </row>
    <row r="127" spans="5:18" ht="35.1" customHeight="1">
      <c r="E127" s="142"/>
      <c r="F127" s="814"/>
      <c r="G127" s="814"/>
      <c r="H127" s="538"/>
      <c r="I127" s="538"/>
      <c r="J127" s="121" t="s">
        <v>604</v>
      </c>
      <c r="K127" s="919">
        <f>COUNTA(L10:L25,L29:L44,L48:L54,L58:L63,L67:L72,L76:L82,L86:L90,L94:L99,L103:L107)+COUNTIF(C9:C107,TRUE)</f>
        <v>0</v>
      </c>
      <c r="L127" s="1179" t="str">
        <f>IF(K127=0,"No credits entered","No Issues")</f>
        <v>No credits entered</v>
      </c>
      <c r="M127" s="1179"/>
      <c r="N127" s="580"/>
      <c r="O127" s="580"/>
      <c r="P127" s="580"/>
      <c r="Q127" s="164"/>
      <c r="R127" s="164"/>
    </row>
    <row r="128" spans="5:18" ht="34.5" customHeight="1">
      <c r="E128" s="142"/>
      <c r="F128" s="814"/>
      <c r="G128" s="814"/>
      <c r="H128" s="538"/>
      <c r="I128" s="538"/>
      <c r="J128" s="121" t="s">
        <v>450</v>
      </c>
      <c r="K128" s="919">
        <f>COUNTIF(C10:C107,TRUE)</f>
        <v>0</v>
      </c>
      <c r="L128" s="1294" t="str">
        <f>IF(K128=0,"No Issues - No NA credits claimed",CONCATENATE("No Issues - ",K128," Implementation Costs not needed"))</f>
        <v>No Issues - No NA credits claimed</v>
      </c>
      <c r="M128" s="1294"/>
      <c r="N128" s="1032"/>
      <c r="O128" s="580"/>
      <c r="P128" s="580"/>
      <c r="Q128" s="164"/>
      <c r="R128" s="164"/>
    </row>
    <row r="129" spans="5:15" ht="60" customHeight="1">
      <c r="E129" s="142"/>
      <c r="F129" s="814"/>
      <c r="G129" s="814"/>
      <c r="H129" s="538"/>
      <c r="I129" s="538"/>
      <c r="J129" s="121" t="s">
        <v>451</v>
      </c>
      <c r="K129" s="919">
        <f>COUNTIF(Q10:Q107,"Yes")</f>
        <v>0</v>
      </c>
      <c r="L129" s="1179" t="str">
        <f>IF(K129&lt;K127,CONCATENATE(K127-K129," documentation costs missing"),IF(K129=0,"No credits entered",IF(COUNTIF(N10:N107,0)&gt;0,CONCATENATE(COUNTIF(N10:N107,0)," $0 cost(s) provided. Enter a value or explain the $0 value in the Comments column."),"No Issues")))</f>
        <v>No credits entered</v>
      </c>
      <c r="M129" s="1179"/>
      <c r="N129" s="1068"/>
      <c r="O129" s="1069"/>
    </row>
    <row r="130" spans="5:15" ht="60" customHeight="1">
      <c r="E130" s="142"/>
      <c r="F130" s="814"/>
      <c r="G130" s="814"/>
      <c r="H130" s="538"/>
      <c r="I130" s="538"/>
      <c r="J130" s="121" t="s">
        <v>452</v>
      </c>
      <c r="K130" s="919">
        <f>COUNTIF(R10:R107,"Yes")</f>
        <v>0</v>
      </c>
      <c r="L130" s="1179" t="str">
        <f>IF(K130&lt;(K127-K128),CONCATENATE(K127-K130-K128," implementation costs missing"),IF(K130=0,"No credits entered",IF(COUNTIF(O10:O107,0)&gt;ROUND(0.25*K127,0),CONCATENATE(COUNTIF(O10:O107,0)," $0 cost(s) provided. Enter a value or explain the $0 value in the Comments column."),"No Issues")))</f>
        <v>No credits entered</v>
      </c>
      <c r="M130" s="1179"/>
      <c r="N130" s="1068"/>
      <c r="O130" s="1069"/>
    </row>
    <row r="131" spans="5:15" ht="35.1" customHeight="1">
      <c r="E131" s="142"/>
      <c r="F131" s="814"/>
      <c r="G131" s="814"/>
      <c r="H131" s="538"/>
      <c r="I131" s="538"/>
      <c r="J131" s="121" t="s">
        <v>938</v>
      </c>
      <c r="K131" s="919" t="str">
        <f>IF(L117&gt;0,"Yes","No")</f>
        <v>No</v>
      </c>
      <c r="L131" s="1179" t="str">
        <f>IF(K131="No","Yearly Operational Budget missing","No Issues")</f>
        <v>Yearly Operational Budget missing</v>
      </c>
      <c r="M131" s="1179"/>
      <c r="N131" s="580"/>
      <c r="O131" s="580"/>
    </row>
    <row r="132" spans="5:15" ht="35.1" customHeight="1">
      <c r="E132" s="142"/>
      <c r="F132" s="814"/>
      <c r="G132" s="814"/>
      <c r="H132" s="538"/>
      <c r="I132" s="538"/>
      <c r="J132" s="121" t="s">
        <v>455</v>
      </c>
      <c r="K132" s="919" t="str">
        <f>IF(L119&gt;0,"Yes","No")</f>
        <v>No</v>
      </c>
      <c r="L132" s="1179" t="str">
        <f>IF(K132="No","Green Star Certification Fees missing","No Issues")</f>
        <v>Green Star Certification Fees missing</v>
      </c>
      <c r="M132" s="1179"/>
      <c r="N132" s="580"/>
      <c r="O132" s="580"/>
    </row>
    <row r="133" spans="5:15" ht="35.1" hidden="1" customHeight="1">
      <c r="E133" s="142" t="s">
        <v>14</v>
      </c>
      <c r="F133" s="814"/>
      <c r="G133" s="814"/>
      <c r="H133" s="538"/>
      <c r="I133" s="538"/>
      <c r="J133" s="586" t="s">
        <v>188</v>
      </c>
      <c r="K133" s="587"/>
      <c r="L133" s="1180" t="s">
        <v>652</v>
      </c>
      <c r="M133" s="1180"/>
      <c r="N133" s="580"/>
      <c r="O133" s="580"/>
    </row>
    <row r="134" spans="5:15" ht="45" hidden="1" customHeight="1">
      <c r="E134" s="142" t="s">
        <v>14</v>
      </c>
      <c r="F134" s="814"/>
      <c r="G134" s="814"/>
      <c r="H134" s="538"/>
      <c r="I134" s="538"/>
      <c r="J134" s="115" t="s">
        <v>457</v>
      </c>
      <c r="K134" s="1175" t="str">
        <f>IF(OR(COUNTIF(L126:M132,"No Issues*")=7,L133="YES"),"1 POINT AWARDED","1 POINT NOT AWARDED")</f>
        <v>1 POINT NOT AWARDED</v>
      </c>
      <c r="L134" s="1175"/>
      <c r="M134" s="1175"/>
      <c r="N134" s="580"/>
      <c r="O134" s="580"/>
    </row>
  </sheetData>
  <sheetProtection algorithmName="SHA-512" hashValue="zEkytnkJwxYQCOtMyy7At5AIJdrxbqE3Qy1B3nlhrNfMgX0xRaG21EaZghujE7SucgkC0FILc9lXDWh35FOiuQ==" saltValue="Z7otzhUgis6liNgr8e7VhA==" spinCount="100000" sheet="1" objects="1" scenarios="1"/>
  <dataConsolidate/>
  <customSheetViews>
    <customSheetView guid="{CEACA748-A46A-4C8B-98CF-30E51B671B84}" scale="80" showGridLines="0" fitToPage="1" hiddenRows="1" hiddenColumns="1" topLeftCell="E1">
      <pane ySplit="8" topLeftCell="A126" activePane="bottomLeft" state="frozen"/>
      <selection pane="bottomLeft" activeCell="K135" sqref="K135"/>
      <pageMargins left="0" right="0" top="0" bottom="0" header="0" footer="0"/>
      <pageSetup paperSize="9" scale="55" orientation="portrait" horizontalDpi="1200" verticalDpi="1200" r:id="rId1"/>
    </customSheetView>
  </customSheetViews>
  <mergeCells count="68">
    <mergeCell ref="F11:F12"/>
    <mergeCell ref="G11:G12"/>
    <mergeCell ref="F13:F14"/>
    <mergeCell ref="G13:G14"/>
    <mergeCell ref="F15:F16"/>
    <mergeCell ref="G15:G16"/>
    <mergeCell ref="F17:F19"/>
    <mergeCell ref="G17:G19"/>
    <mergeCell ref="F20:F22"/>
    <mergeCell ref="G20:G22"/>
    <mergeCell ref="F23:F25"/>
    <mergeCell ref="G23:G25"/>
    <mergeCell ref="F29:F31"/>
    <mergeCell ref="G29:G31"/>
    <mergeCell ref="F32:F33"/>
    <mergeCell ref="G32:G33"/>
    <mergeCell ref="F34:F35"/>
    <mergeCell ref="G34:G35"/>
    <mergeCell ref="F36:F37"/>
    <mergeCell ref="G36:G37"/>
    <mergeCell ref="F58:F61"/>
    <mergeCell ref="G58:G61"/>
    <mergeCell ref="F62:F63"/>
    <mergeCell ref="G62:G63"/>
    <mergeCell ref="F38:F41"/>
    <mergeCell ref="G38:G41"/>
    <mergeCell ref="F43:F44"/>
    <mergeCell ref="G43:G44"/>
    <mergeCell ref="F48:F51"/>
    <mergeCell ref="G48:G51"/>
    <mergeCell ref="F67:F70"/>
    <mergeCell ref="G67:G70"/>
    <mergeCell ref="F71:F72"/>
    <mergeCell ref="G71:G72"/>
    <mergeCell ref="F76:F78"/>
    <mergeCell ref="G76:G78"/>
    <mergeCell ref="F103:F107"/>
    <mergeCell ref="G103:G107"/>
    <mergeCell ref="K103:K107"/>
    <mergeCell ref="G2:H2"/>
    <mergeCell ref="F52:F54"/>
    <mergeCell ref="G52:G54"/>
    <mergeCell ref="F88:F90"/>
    <mergeCell ref="G88:G90"/>
    <mergeCell ref="F94:F95"/>
    <mergeCell ref="G94:G95"/>
    <mergeCell ref="F96:F97"/>
    <mergeCell ref="G96:G97"/>
    <mergeCell ref="F79:F80"/>
    <mergeCell ref="G79:G80"/>
    <mergeCell ref="F81:F82"/>
    <mergeCell ref="F86:F87"/>
    <mergeCell ref="K134:M134"/>
    <mergeCell ref="L132:M132"/>
    <mergeCell ref="G3:H3"/>
    <mergeCell ref="N7:O7"/>
    <mergeCell ref="L127:M127"/>
    <mergeCell ref="L129:M129"/>
    <mergeCell ref="L130:M130"/>
    <mergeCell ref="L131:M131"/>
    <mergeCell ref="G81:G82"/>
    <mergeCell ref="G4:H4"/>
    <mergeCell ref="G5:H5"/>
    <mergeCell ref="L126:M126"/>
    <mergeCell ref="G6:H6"/>
    <mergeCell ref="L128:M128"/>
    <mergeCell ref="G86:G87"/>
    <mergeCell ref="L133:M133"/>
  </mergeCells>
  <conditionalFormatting sqref="H32:L32">
    <cfRule type="expression" dxfId="118" priority="23">
      <formula>$C$32=TRUE</formula>
    </cfRule>
  </conditionalFormatting>
  <conditionalFormatting sqref="H33:L33">
    <cfRule type="expression" dxfId="117" priority="126">
      <formula>$C$33=TRUE</formula>
    </cfRule>
  </conditionalFormatting>
  <conditionalFormatting sqref="F71:L72">
    <cfRule type="expression" dxfId="116" priority="135">
      <formula>$C$71=TRUE</formula>
    </cfRule>
  </conditionalFormatting>
  <conditionalFormatting sqref="H82:L82">
    <cfRule type="expression" dxfId="115" priority="137">
      <formula>$C$82=TRUE</formula>
    </cfRule>
  </conditionalFormatting>
  <conditionalFormatting sqref="H89:L89">
    <cfRule type="expression" dxfId="114" priority="138">
      <formula>$C$89=TRUE</formula>
    </cfRule>
  </conditionalFormatting>
  <conditionalFormatting sqref="H97:L97">
    <cfRule type="expression" dxfId="113" priority="139">
      <formula>$C$97=TRUE</formula>
    </cfRule>
  </conditionalFormatting>
  <conditionalFormatting sqref="H81:L81">
    <cfRule type="expression" dxfId="112" priority="136">
      <formula>$C$81=TRUE</formula>
    </cfRule>
  </conditionalFormatting>
  <conditionalFormatting sqref="G2:G6">
    <cfRule type="containsText" dxfId="111" priority="22" operator="containsText" text="Please">
      <formula>NOT(ISERROR(SEARCH("Please",G2)))</formula>
    </cfRule>
  </conditionalFormatting>
  <conditionalFormatting sqref="N7:P7">
    <cfRule type="containsText" dxfId="110" priority="21" operator="containsText" text="Select">
      <formula>NOT(ISERROR(SEARCH("Select",N7)))</formula>
    </cfRule>
  </conditionalFormatting>
  <conditionalFormatting sqref="H48:L48 H50:L51">
    <cfRule type="expression" dxfId="109" priority="459">
      <formula>$G$48=$W$49</formula>
    </cfRule>
  </conditionalFormatting>
  <conditionalFormatting sqref="H38:L39">
    <cfRule type="expression" dxfId="108" priority="454">
      <formula>$G$38=$W$38</formula>
    </cfRule>
  </conditionalFormatting>
  <conditionalFormatting sqref="H40:L41">
    <cfRule type="expression" dxfId="107" priority="140">
      <formula>$G$38=$W$37</formula>
    </cfRule>
  </conditionalFormatting>
  <conditionalFormatting sqref="H53:L54">
    <cfRule type="expression" dxfId="106" priority="464">
      <formula>$G$52=$W$52</formula>
    </cfRule>
  </conditionalFormatting>
  <conditionalFormatting sqref="H68:L70">
    <cfRule type="expression" dxfId="105" priority="726">
      <formula>$G$67=$W$67</formula>
    </cfRule>
  </conditionalFormatting>
  <conditionalFormatting sqref="H67:L67 H69:L70">
    <cfRule type="expression" dxfId="104" priority="727">
      <formula>$G$67=$W$68</formula>
    </cfRule>
  </conditionalFormatting>
  <conditionalFormatting sqref="H67:L68 H70:L70">
    <cfRule type="expression" dxfId="103" priority="729">
      <formula>$G$67=$W$69</formula>
    </cfRule>
  </conditionalFormatting>
  <conditionalFormatting sqref="H52:L52 H54:L54">
    <cfRule type="expression" dxfId="102" priority="465">
      <formula>$G$52=$W$53</formula>
    </cfRule>
  </conditionalFormatting>
  <conditionalFormatting sqref="N103:R107 N10:R25 N29:R44 N48:R54 N58:R63 N67:R72 N76:R82 N86:R90 N94:R99">
    <cfRule type="expression" dxfId="101" priority="15">
      <formula>$L10=""</formula>
    </cfRule>
  </conditionalFormatting>
  <conditionalFormatting sqref="N10:N107 P10:Q107">
    <cfRule type="expression" dxfId="100" priority="13">
      <formula>$C10=TRUE</formula>
    </cfRule>
  </conditionalFormatting>
  <conditionalFormatting sqref="R32:R33 R71:R72 R81:R82 R89 R97">
    <cfRule type="cellIs" dxfId="99" priority="9" operator="equal">
      <formula>"NA"</formula>
    </cfRule>
  </conditionalFormatting>
  <conditionalFormatting sqref="L126:M132">
    <cfRule type="containsText" dxfId="98" priority="3" operator="containsText" text="No Issues">
      <formula>NOT(ISERROR(SEARCH("No Issues",L126)))</formula>
    </cfRule>
  </conditionalFormatting>
  <conditionalFormatting sqref="H49:L51">
    <cfRule type="expression" dxfId="97" priority="455">
      <formula>$G$48=$W$48</formula>
    </cfRule>
  </conditionalFormatting>
  <conditionalFormatting sqref="H48:L50">
    <cfRule type="expression" dxfId="96" priority="463">
      <formula>$G$48=$W$51</formula>
    </cfRule>
  </conditionalFormatting>
  <conditionalFormatting sqref="H48:L49 H51:L51">
    <cfRule type="expression" dxfId="95" priority="462">
      <formula>$G$48=$W$50</formula>
    </cfRule>
  </conditionalFormatting>
  <conditionalFormatting sqref="H67:L69">
    <cfRule type="expression" dxfId="94" priority="733">
      <formula>$G$67=$W$70</formula>
    </cfRule>
  </conditionalFormatting>
  <conditionalFormatting sqref="H52:L53">
    <cfRule type="expression" dxfId="93" priority="466">
      <formula>$G$52=$W$54</formula>
    </cfRule>
  </conditionalFormatting>
  <conditionalFormatting sqref="F10:L107">
    <cfRule type="expression" dxfId="92" priority="2">
      <formula>$J10="-"</formula>
    </cfRule>
  </conditionalFormatting>
  <conditionalFormatting sqref="L133">
    <cfRule type="cellIs" dxfId="91" priority="1" operator="equal">
      <formula>"YES"</formula>
    </cfRule>
  </conditionalFormatting>
  <dataValidations count="15">
    <dataValidation type="list" allowBlank="1" showInputMessage="1" showErrorMessage="1" promptTitle="Selection Required" prompt="Please select the project's desired pathway." sqref="G38:G41" xr:uid="{00000000-0002-0000-0700-000000000000}">
      <formula1>$W$37:$W$38</formula1>
    </dataValidation>
    <dataValidation type="decimal" operator="lessThanOrEqual" allowBlank="1" showInputMessage="1" showErrorMessage="1" sqref="L29:L44 L10:L25 L58:L63 L67:L72 L76:L82 L86:L90 L94:L99 L103:L107 L48:L54" xr:uid="{00000000-0002-0000-0700-000001000000}">
      <formula1>K10</formula1>
    </dataValidation>
    <dataValidation allowBlank="1" showInputMessage="1" showErrorMessage="1" promptTitle="Project number" prompt="Please enter the Green Star number" sqref="G2:H2" xr:uid="{00000000-0002-0000-0700-000002000000}"/>
    <dataValidation allowBlank="1" showInputMessage="1" showErrorMessage="1" promptTitle="Project Name" prompt="Please enter the project name" sqref="G3:H3" xr:uid="{00000000-0002-0000-0700-000003000000}"/>
    <dataValidation type="list" allowBlank="1" showInputMessage="1" showErrorMessage="1" sqref="P7" xr:uid="{00000000-0002-0000-0700-000004000000}">
      <formula1>$U$2:$U$4</formula1>
    </dataValidation>
    <dataValidation type="list" allowBlank="1" showInputMessage="1" showErrorMessage="1" promptTitle="Rating Tool Version" prompt="Please select the project's rating tool version" sqref="G5:H5" xr:uid="{00000000-0002-0000-0700-000005000000}">
      <formula1>$W$2:$W$6</formula1>
    </dataValidation>
    <dataValidation type="list" allowBlank="1" showInputMessage="1" showErrorMessage="1" sqref="N7:O7" xr:uid="{00000000-0002-0000-0700-000006000000}">
      <formula1>$T$2:$T$6</formula1>
    </dataValidation>
    <dataValidation type="list" allowBlank="1" showInputMessage="1" showErrorMessage="1" sqref="K126" xr:uid="{00000000-0002-0000-0700-000007000000}">
      <formula1>"Please select, Yes, No"</formula1>
    </dataValidation>
    <dataValidation allowBlank="1" showInputMessage="1" showErrorMessage="1" promptTitle="Performance Period" prompt="Please enter the project's performance period_x000a_DD/MM/YYYY-DD/MM/YYYY" sqref="G6:H6" xr:uid="{00000000-0002-0000-0700-000008000000}"/>
    <dataValidation type="list" allowBlank="1" showInputMessage="1" showErrorMessage="1" promptTitle="Green Star Rating" prompt="Please select the project's targeted rating" sqref="G4:H4" xr:uid="{00000000-0002-0000-0700-000009000000}">
      <formula1>$X$2:$X$8</formula1>
    </dataValidation>
    <dataValidation type="decimal" operator="greaterThanOrEqual" allowBlank="1" showInputMessage="1" showErrorMessage="1" sqref="N10:O107 L117 L119" xr:uid="{00000000-0002-0000-0700-00000A000000}">
      <formula1>0</formula1>
    </dataValidation>
    <dataValidation type="list" allowBlank="1" showInputMessage="1" showErrorMessage="1" promptTitle="Selection Required" prompt="Please select the project's desired pathway." sqref="G48:G51" xr:uid="{00000000-0002-0000-0700-00000B000000}">
      <formula1>$W$48:$W$51</formula1>
    </dataValidation>
    <dataValidation type="list" allowBlank="1" showInputMessage="1" showErrorMessage="1" promptTitle="Selection Required" prompt="Please select the project's desired pathway." sqref="G52:G54" xr:uid="{00000000-0002-0000-0700-00000C000000}">
      <formula1>$W$52:$W$54</formula1>
    </dataValidation>
    <dataValidation type="list" allowBlank="1" showInputMessage="1" showErrorMessage="1" promptTitle="Selection Required" prompt="Please select the project's desired pathway." sqref="G67:G70" xr:uid="{00000000-0002-0000-0700-00000D000000}">
      <formula1>$W$67:$W$70</formula1>
    </dataValidation>
    <dataValidation type="list" allowBlank="1" showInputMessage="1" showErrorMessage="1" sqref="L133:M133" xr:uid="{00000000-0002-0000-0700-00000E000000}">
      <formula1>"YES/NO, YES, NO"</formula1>
    </dataValidation>
  </dataValidations>
  <pageMargins left="0.70866141732283472" right="0.70866141732283472" top="0.74803149606299213" bottom="0.74803149606299213" header="0.31496062992125984" footer="0.31496062992125984"/>
  <pageSetup paperSize="9" scale="13" orientation="portrait" horizontalDpi="1200" verticalDpi="1200" r:id="rId2"/>
  <ignoredErrors>
    <ignoredError sqref="Q9:R31 Q34:R70 Q32 Q97 Q90:R96 Q89 Q83:R88 Q81:Q82 Q73:R80 Q71 Q33"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4</xdr:col>
                    <xdr:colOff>57150</xdr:colOff>
                    <xdr:row>31</xdr:row>
                    <xdr:rowOff>165100</xdr:rowOff>
                  </from>
                  <to>
                    <xdr:col>5</xdr:col>
                    <xdr:colOff>590550</xdr:colOff>
                    <xdr:row>31</xdr:row>
                    <xdr:rowOff>374650</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4</xdr:col>
                    <xdr:colOff>57150</xdr:colOff>
                    <xdr:row>32</xdr:row>
                    <xdr:rowOff>165100</xdr:rowOff>
                  </from>
                  <to>
                    <xdr:col>5</xdr:col>
                    <xdr:colOff>590550</xdr:colOff>
                    <xdr:row>32</xdr:row>
                    <xdr:rowOff>374650</xdr:rowOff>
                  </to>
                </anchor>
              </controlPr>
            </control>
          </mc:Choice>
        </mc:AlternateContent>
        <mc:AlternateContent xmlns:mc="http://schemas.openxmlformats.org/markup-compatibility/2006">
          <mc:Choice Requires="x14">
            <control shapeId="48131" r:id="rId7" name="Check Box 3">
              <controlPr defaultSize="0" autoFill="0" autoLine="0" autoPict="0">
                <anchor moveWithCells="1">
                  <from>
                    <xdr:col>4</xdr:col>
                    <xdr:colOff>57150</xdr:colOff>
                    <xdr:row>70</xdr:row>
                    <xdr:rowOff>469900</xdr:rowOff>
                  </from>
                  <to>
                    <xdr:col>5</xdr:col>
                    <xdr:colOff>590550</xdr:colOff>
                    <xdr:row>71</xdr:row>
                    <xdr:rowOff>107950</xdr:rowOff>
                  </to>
                </anchor>
              </controlPr>
            </control>
          </mc:Choice>
        </mc:AlternateContent>
        <mc:AlternateContent xmlns:mc="http://schemas.openxmlformats.org/markup-compatibility/2006">
          <mc:Choice Requires="x14">
            <control shapeId="48132" r:id="rId8" name="Check Box 4">
              <controlPr defaultSize="0" autoFill="0" autoLine="0" autoPict="0">
                <anchor moveWithCells="1">
                  <from>
                    <xdr:col>4</xdr:col>
                    <xdr:colOff>57150</xdr:colOff>
                    <xdr:row>81</xdr:row>
                    <xdr:rowOff>165100</xdr:rowOff>
                  </from>
                  <to>
                    <xdr:col>5</xdr:col>
                    <xdr:colOff>590550</xdr:colOff>
                    <xdr:row>81</xdr:row>
                    <xdr:rowOff>374650</xdr:rowOff>
                  </to>
                </anchor>
              </controlPr>
            </control>
          </mc:Choice>
        </mc:AlternateContent>
        <mc:AlternateContent xmlns:mc="http://schemas.openxmlformats.org/markup-compatibility/2006">
          <mc:Choice Requires="x14">
            <control shapeId="48133" r:id="rId9" name="Check Box 5">
              <controlPr defaultSize="0" autoFill="0" autoLine="0" autoPict="0">
                <anchor moveWithCells="1">
                  <from>
                    <xdr:col>4</xdr:col>
                    <xdr:colOff>57150</xdr:colOff>
                    <xdr:row>88</xdr:row>
                    <xdr:rowOff>165100</xdr:rowOff>
                  </from>
                  <to>
                    <xdr:col>5</xdr:col>
                    <xdr:colOff>590550</xdr:colOff>
                    <xdr:row>88</xdr:row>
                    <xdr:rowOff>374650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4</xdr:col>
                    <xdr:colOff>57150</xdr:colOff>
                    <xdr:row>96</xdr:row>
                    <xdr:rowOff>165100</xdr:rowOff>
                  </from>
                  <to>
                    <xdr:col>5</xdr:col>
                    <xdr:colOff>590550</xdr:colOff>
                    <xdr:row>96</xdr:row>
                    <xdr:rowOff>374650</xdr:rowOff>
                  </to>
                </anchor>
              </controlPr>
            </control>
          </mc:Choice>
        </mc:AlternateContent>
        <mc:AlternateContent xmlns:mc="http://schemas.openxmlformats.org/markup-compatibility/2006">
          <mc:Choice Requires="x14">
            <control shapeId="48135" r:id="rId11" name="Check Box 7">
              <controlPr defaultSize="0" autoFill="0" autoLine="0" autoPict="0">
                <anchor moveWithCells="1">
                  <from>
                    <xdr:col>4</xdr:col>
                    <xdr:colOff>57150</xdr:colOff>
                    <xdr:row>80</xdr:row>
                    <xdr:rowOff>165100</xdr:rowOff>
                  </from>
                  <to>
                    <xdr:col>5</xdr:col>
                    <xdr:colOff>590550</xdr:colOff>
                    <xdr:row>80</xdr:row>
                    <xdr:rowOff>374650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EB9C"/>
  </sheetPr>
  <dimension ref="A1:P116"/>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1"/>
  <cols>
    <col min="1" max="1" width="4.7109375" style="178" customWidth="1"/>
    <col min="2" max="2" width="30.7109375" style="100" customWidth="1"/>
    <col min="3" max="3" width="55.7109375" style="310" customWidth="1"/>
    <col min="4" max="5" width="15.7109375" style="178" customWidth="1"/>
    <col min="6" max="6" width="10.7109375" style="178" customWidth="1"/>
    <col min="7" max="8" width="26.7109375" style="178" customWidth="1"/>
    <col min="9" max="9" width="45.7109375" style="178" customWidth="1"/>
    <col min="10" max="11" width="19.7109375" style="178" hidden="1" customWidth="1"/>
    <col min="12" max="12" width="9.140625" style="178"/>
    <col min="13" max="13" width="31.28515625" style="178" hidden="1" customWidth="1"/>
    <col min="14" max="14" width="9.5703125" style="178" hidden="1" customWidth="1"/>
    <col min="15" max="15" width="23.85546875" style="178" bestFit="1" customWidth="1"/>
    <col min="16" max="16384" width="9.140625" style="178"/>
  </cols>
  <sheetData>
    <row r="1" spans="1:16" s="100" customFormat="1" ht="37.5" customHeight="1">
      <c r="B1" s="184" t="s">
        <v>0</v>
      </c>
      <c r="C1" s="184"/>
      <c r="D1" s="184"/>
      <c r="E1" s="184"/>
      <c r="J1" s="143" t="s">
        <v>14</v>
      </c>
      <c r="K1" s="143" t="s">
        <v>14</v>
      </c>
      <c r="L1" s="143"/>
      <c r="M1" s="143" t="s">
        <v>14</v>
      </c>
      <c r="N1" s="143" t="s">
        <v>14</v>
      </c>
      <c r="O1" s="192"/>
      <c r="P1" s="192"/>
    </row>
    <row r="2" spans="1:16" s="100" customFormat="1" ht="37.5" customHeight="1">
      <c r="B2" s="22" t="s">
        <v>227</v>
      </c>
      <c r="C2" s="1265" t="s">
        <v>228</v>
      </c>
      <c r="D2" s="1266"/>
      <c r="E2" s="6"/>
      <c r="G2" s="7" t="s">
        <v>532</v>
      </c>
      <c r="M2" s="100" t="s">
        <v>235</v>
      </c>
      <c r="O2" s="192"/>
      <c r="P2" s="192"/>
    </row>
    <row r="3" spans="1:16" s="100" customFormat="1" ht="37.5" customHeight="1">
      <c r="B3" s="23" t="s">
        <v>229</v>
      </c>
      <c r="C3" s="1267" t="s">
        <v>531</v>
      </c>
      <c r="D3" s="1268"/>
      <c r="E3" s="6"/>
      <c r="G3" s="69">
        <f>SUM(E27,E54,E59,E66,E70,E80,E84,E90,E94)</f>
        <v>0</v>
      </c>
      <c r="M3" s="100" t="s">
        <v>256</v>
      </c>
      <c r="O3" s="192"/>
      <c r="P3" s="192"/>
    </row>
    <row r="4" spans="1:16" s="100" customFormat="1" ht="37.5" customHeight="1">
      <c r="B4" s="23" t="s">
        <v>234</v>
      </c>
      <c r="C4" s="1260" t="s">
        <v>235</v>
      </c>
      <c r="D4" s="1261"/>
      <c r="E4" s="9"/>
      <c r="M4" s="100" t="s">
        <v>260</v>
      </c>
      <c r="O4" s="192"/>
      <c r="P4" s="192"/>
    </row>
    <row r="5" spans="1:16" s="100" customFormat="1" ht="37.5" customHeight="1">
      <c r="B5" s="24" t="s">
        <v>487</v>
      </c>
      <c r="C5" s="1416" t="s">
        <v>142</v>
      </c>
      <c r="D5" s="1417"/>
      <c r="E5" s="9"/>
      <c r="M5" s="100" t="s">
        <v>269</v>
      </c>
      <c r="O5" s="192"/>
      <c r="P5" s="192"/>
    </row>
    <row r="6" spans="1:16" ht="24.95" customHeight="1">
      <c r="A6" s="496"/>
      <c r="C6" s="542"/>
      <c r="D6" s="496"/>
      <c r="E6" s="496"/>
      <c r="F6" s="404"/>
      <c r="G6" s="1317" t="s">
        <v>255</v>
      </c>
      <c r="H6" s="1317"/>
      <c r="I6" s="170" t="s">
        <v>241</v>
      </c>
      <c r="J6" s="192"/>
      <c r="K6" s="192"/>
      <c r="L6" s="496"/>
      <c r="M6" s="496" t="s">
        <v>255</v>
      </c>
      <c r="N6" s="496" t="s">
        <v>241</v>
      </c>
      <c r="O6" s="192"/>
      <c r="P6" s="192"/>
    </row>
    <row r="7" spans="1:16" ht="45" customHeight="1">
      <c r="A7" s="85" t="s">
        <v>242</v>
      </c>
      <c r="B7" s="74" t="s">
        <v>939</v>
      </c>
      <c r="C7" s="74" t="s">
        <v>246</v>
      </c>
      <c r="D7" s="271" t="s">
        <v>247</v>
      </c>
      <c r="E7" s="271" t="s">
        <v>248</v>
      </c>
      <c r="F7" s="163"/>
      <c r="G7" s="203" t="s">
        <v>940</v>
      </c>
      <c r="H7" s="202" t="s">
        <v>941</v>
      </c>
      <c r="I7" s="202" t="s">
        <v>25</v>
      </c>
      <c r="J7" s="7" t="s">
        <v>252</v>
      </c>
      <c r="K7" s="7" t="s">
        <v>253</v>
      </c>
      <c r="L7" s="496"/>
      <c r="M7" s="496" t="s">
        <v>240</v>
      </c>
      <c r="N7" s="496" t="s">
        <v>259</v>
      </c>
      <c r="O7" s="192"/>
      <c r="P7" s="192"/>
    </row>
    <row r="8" spans="1:16" ht="45" customHeight="1">
      <c r="A8" s="920"/>
      <c r="B8" s="1409" t="s">
        <v>254</v>
      </c>
      <c r="C8" s="1410"/>
      <c r="D8" s="105"/>
      <c r="E8" s="105"/>
      <c r="F8" s="95"/>
      <c r="G8" s="94"/>
      <c r="H8" s="94"/>
      <c r="I8" s="94"/>
      <c r="J8" s="94"/>
      <c r="K8" s="94"/>
      <c r="L8" s="496"/>
      <c r="M8" s="496" t="s">
        <v>267</v>
      </c>
      <c r="N8" s="496" t="s">
        <v>268</v>
      </c>
      <c r="O8" s="192"/>
      <c r="P8" s="192"/>
    </row>
    <row r="9" spans="1:16" ht="45" customHeight="1">
      <c r="A9" s="496"/>
      <c r="B9" s="175" t="s">
        <v>257</v>
      </c>
      <c r="C9" s="91" t="s">
        <v>942</v>
      </c>
      <c r="D9" s="92">
        <v>1</v>
      </c>
      <c r="E9" s="405"/>
      <c r="F9" s="406"/>
      <c r="G9" s="407"/>
      <c r="H9" s="407"/>
      <c r="I9" s="408"/>
      <c r="J9" s="409" t="str">
        <f t="shared" ref="J9:J26" si="0">IF(ISBLANK($E9)=FALSE,IF(G9="","No","Yes"),"")</f>
        <v/>
      </c>
      <c r="K9" s="409" t="str">
        <f t="shared" ref="K9:K26" si="1">IF(ISBLANK($E9)=FALSE,IF(H9="","No","Yes"),"")</f>
        <v/>
      </c>
      <c r="L9" s="496"/>
      <c r="M9" s="496"/>
      <c r="N9" s="496"/>
      <c r="O9" s="192"/>
      <c r="P9" s="192"/>
    </row>
    <row r="10" spans="1:16" ht="45" customHeight="1">
      <c r="A10" s="496"/>
      <c r="B10" s="1411" t="s">
        <v>943</v>
      </c>
      <c r="C10" s="103" t="s">
        <v>944</v>
      </c>
      <c r="D10" s="104">
        <v>1</v>
      </c>
      <c r="E10" s="405"/>
      <c r="F10" s="406"/>
      <c r="G10" s="407"/>
      <c r="H10" s="407"/>
      <c r="I10" s="408"/>
      <c r="J10" s="409" t="str">
        <f t="shared" si="0"/>
        <v/>
      </c>
      <c r="K10" s="409" t="str">
        <f t="shared" si="1"/>
        <v/>
      </c>
      <c r="L10" s="496"/>
      <c r="M10" s="496"/>
      <c r="N10" s="496"/>
      <c r="O10" s="192"/>
      <c r="P10" s="192"/>
    </row>
    <row r="11" spans="1:16" ht="45" customHeight="1">
      <c r="A11" s="496"/>
      <c r="B11" s="1412"/>
      <c r="C11" s="91" t="s">
        <v>945</v>
      </c>
      <c r="D11" s="92">
        <v>1</v>
      </c>
      <c r="E11" s="405"/>
      <c r="F11" s="406"/>
      <c r="G11" s="407"/>
      <c r="H11" s="407"/>
      <c r="I11" s="408"/>
      <c r="J11" s="409" t="str">
        <f t="shared" si="0"/>
        <v/>
      </c>
      <c r="K11" s="409" t="str">
        <f t="shared" si="1"/>
        <v/>
      </c>
      <c r="L11" s="496"/>
      <c r="M11" s="496" t="s">
        <v>266</v>
      </c>
      <c r="N11" s="496"/>
      <c r="O11" s="496"/>
      <c r="P11" s="496"/>
    </row>
    <row r="12" spans="1:16" ht="45" customHeight="1">
      <c r="A12" s="496"/>
      <c r="B12" s="1413"/>
      <c r="C12" s="91" t="s">
        <v>946</v>
      </c>
      <c r="D12" s="92">
        <v>1</v>
      </c>
      <c r="E12" s="405"/>
      <c r="F12" s="406"/>
      <c r="G12" s="407"/>
      <c r="H12" s="407"/>
      <c r="I12" s="408"/>
      <c r="J12" s="409" t="str">
        <f t="shared" si="0"/>
        <v/>
      </c>
      <c r="K12" s="409" t="str">
        <f t="shared" si="1"/>
        <v/>
      </c>
      <c r="L12" s="496"/>
      <c r="M12" s="496" t="s">
        <v>274</v>
      </c>
      <c r="N12" s="496"/>
      <c r="O12" s="496"/>
      <c r="P12" s="496"/>
    </row>
    <row r="13" spans="1:16" ht="45" customHeight="1">
      <c r="A13" s="496"/>
      <c r="B13" s="1414" t="s">
        <v>947</v>
      </c>
      <c r="C13" s="91" t="s">
        <v>948</v>
      </c>
      <c r="D13" s="92" t="s">
        <v>264</v>
      </c>
      <c r="E13" s="405"/>
      <c r="F13" s="406"/>
      <c r="G13" s="407"/>
      <c r="H13" s="407"/>
      <c r="I13" s="408"/>
      <c r="J13" s="409" t="str">
        <f t="shared" si="0"/>
        <v/>
      </c>
      <c r="K13" s="409" t="str">
        <f t="shared" si="1"/>
        <v/>
      </c>
      <c r="L13" s="496"/>
      <c r="M13" s="496"/>
      <c r="N13" s="496"/>
      <c r="O13" s="496"/>
      <c r="P13" s="496"/>
    </row>
    <row r="14" spans="1:16" ht="45" customHeight="1">
      <c r="A14" s="496"/>
      <c r="B14" s="1414"/>
      <c r="C14" s="91" t="s">
        <v>270</v>
      </c>
      <c r="D14" s="92">
        <v>1</v>
      </c>
      <c r="E14" s="405"/>
      <c r="F14" s="406"/>
      <c r="G14" s="407"/>
      <c r="H14" s="407"/>
      <c r="I14" s="408"/>
      <c r="J14" s="409" t="str">
        <f t="shared" si="0"/>
        <v/>
      </c>
      <c r="K14" s="409" t="str">
        <f t="shared" si="1"/>
        <v/>
      </c>
      <c r="L14" s="496"/>
      <c r="M14" s="496"/>
      <c r="N14" s="496"/>
      <c r="O14" s="496"/>
      <c r="P14" s="496"/>
    </row>
    <row r="15" spans="1:16" ht="45" customHeight="1">
      <c r="A15" s="496"/>
      <c r="B15" s="1414"/>
      <c r="C15" s="91" t="s">
        <v>949</v>
      </c>
      <c r="D15" s="92">
        <v>1</v>
      </c>
      <c r="E15" s="405"/>
      <c r="F15" s="406"/>
      <c r="G15" s="407"/>
      <c r="H15" s="407"/>
      <c r="I15" s="408"/>
      <c r="J15" s="409" t="str">
        <f t="shared" si="0"/>
        <v/>
      </c>
      <c r="K15" s="409" t="str">
        <f t="shared" si="1"/>
        <v/>
      </c>
      <c r="L15" s="496"/>
      <c r="M15" s="496"/>
      <c r="N15" s="496"/>
      <c r="O15" s="496"/>
      <c r="P15" s="496"/>
    </row>
    <row r="16" spans="1:16" ht="45" customHeight="1">
      <c r="A16" s="496"/>
      <c r="B16" s="1414"/>
      <c r="C16" s="91" t="s">
        <v>950</v>
      </c>
      <c r="D16" s="92">
        <v>1</v>
      </c>
      <c r="E16" s="405"/>
      <c r="F16" s="406"/>
      <c r="G16" s="407"/>
      <c r="H16" s="407"/>
      <c r="I16" s="408"/>
      <c r="J16" s="409" t="str">
        <f t="shared" si="0"/>
        <v/>
      </c>
      <c r="K16" s="409" t="str">
        <f t="shared" si="1"/>
        <v/>
      </c>
      <c r="L16" s="496"/>
      <c r="M16" s="496"/>
      <c r="N16" s="496"/>
      <c r="O16" s="496"/>
      <c r="P16" s="496"/>
    </row>
    <row r="17" spans="2:11" ht="45" customHeight="1">
      <c r="B17" s="1415"/>
      <c r="C17" s="91" t="s">
        <v>951</v>
      </c>
      <c r="D17" s="92">
        <v>1</v>
      </c>
      <c r="E17" s="405"/>
      <c r="F17" s="406"/>
      <c r="G17" s="407"/>
      <c r="H17" s="407"/>
      <c r="I17" s="408"/>
      <c r="J17" s="409" t="str">
        <f t="shared" si="0"/>
        <v/>
      </c>
      <c r="K17" s="409" t="str">
        <f t="shared" si="1"/>
        <v/>
      </c>
    </row>
    <row r="18" spans="2:11" ht="45" customHeight="1">
      <c r="B18" s="1412" t="s">
        <v>49</v>
      </c>
      <c r="C18" s="91" t="s">
        <v>952</v>
      </c>
      <c r="D18" s="92">
        <v>1</v>
      </c>
      <c r="E18" s="405"/>
      <c r="F18" s="406"/>
      <c r="G18" s="407"/>
      <c r="H18" s="407"/>
      <c r="I18" s="408"/>
      <c r="J18" s="409" t="str">
        <f t="shared" si="0"/>
        <v/>
      </c>
      <c r="K18" s="409" t="str">
        <f t="shared" si="1"/>
        <v/>
      </c>
    </row>
    <row r="19" spans="2:11" ht="45" customHeight="1">
      <c r="B19" s="1413"/>
      <c r="C19" s="91" t="s">
        <v>953</v>
      </c>
      <c r="D19" s="92">
        <v>1</v>
      </c>
      <c r="E19" s="405"/>
      <c r="F19" s="406"/>
      <c r="G19" s="407"/>
      <c r="H19" s="407"/>
      <c r="I19" s="408"/>
      <c r="J19" s="409" t="str">
        <f t="shared" si="0"/>
        <v/>
      </c>
      <c r="K19" s="409" t="str">
        <f t="shared" si="1"/>
        <v/>
      </c>
    </row>
    <row r="20" spans="2:11" ht="45" customHeight="1">
      <c r="B20" s="1407" t="s">
        <v>292</v>
      </c>
      <c r="C20" s="91" t="s">
        <v>954</v>
      </c>
      <c r="D20" s="92" t="s">
        <v>264</v>
      </c>
      <c r="E20" s="405"/>
      <c r="F20" s="406"/>
      <c r="G20" s="407"/>
      <c r="H20" s="407"/>
      <c r="I20" s="408"/>
      <c r="J20" s="409" t="str">
        <f t="shared" si="0"/>
        <v/>
      </c>
      <c r="K20" s="409" t="str">
        <f t="shared" si="1"/>
        <v/>
      </c>
    </row>
    <row r="21" spans="2:11" ht="45" customHeight="1">
      <c r="B21" s="1407"/>
      <c r="C21" s="91" t="s">
        <v>955</v>
      </c>
      <c r="D21" s="92">
        <v>1</v>
      </c>
      <c r="E21" s="405"/>
      <c r="F21" s="406"/>
      <c r="G21" s="407"/>
      <c r="H21" s="407"/>
      <c r="I21" s="408"/>
      <c r="J21" s="409" t="str">
        <f t="shared" si="0"/>
        <v/>
      </c>
      <c r="K21" s="409" t="str">
        <f t="shared" si="1"/>
        <v/>
      </c>
    </row>
    <row r="22" spans="2:11" ht="45" customHeight="1">
      <c r="B22" s="1408"/>
      <c r="C22" s="91" t="s">
        <v>956</v>
      </c>
      <c r="D22" s="92">
        <v>2</v>
      </c>
      <c r="E22" s="405"/>
      <c r="F22" s="406"/>
      <c r="G22" s="407"/>
      <c r="H22" s="407"/>
      <c r="I22" s="408"/>
      <c r="J22" s="409" t="str">
        <f t="shared" si="0"/>
        <v/>
      </c>
      <c r="K22" s="409" t="str">
        <f t="shared" si="1"/>
        <v/>
      </c>
    </row>
    <row r="23" spans="2:11" ht="45" customHeight="1">
      <c r="B23" s="175" t="s">
        <v>957</v>
      </c>
      <c r="C23" s="91" t="s">
        <v>958</v>
      </c>
      <c r="D23" s="92">
        <v>1</v>
      </c>
      <c r="E23" s="405"/>
      <c r="F23" s="406"/>
      <c r="G23" s="407"/>
      <c r="H23" s="407"/>
      <c r="I23" s="408"/>
      <c r="J23" s="409" t="str">
        <f t="shared" si="0"/>
        <v/>
      </c>
      <c r="K23" s="409" t="str">
        <f t="shared" si="1"/>
        <v/>
      </c>
    </row>
    <row r="24" spans="2:11" ht="45" customHeight="1">
      <c r="B24" s="1414" t="s">
        <v>959</v>
      </c>
      <c r="C24" s="91" t="s">
        <v>960</v>
      </c>
      <c r="D24" s="92">
        <v>1</v>
      </c>
      <c r="E24" s="405"/>
      <c r="F24" s="406"/>
      <c r="G24" s="407"/>
      <c r="H24" s="407"/>
      <c r="I24" s="408"/>
      <c r="J24" s="409" t="str">
        <f t="shared" si="0"/>
        <v/>
      </c>
      <c r="K24" s="409" t="str">
        <f t="shared" si="1"/>
        <v/>
      </c>
    </row>
    <row r="25" spans="2:11" ht="45" customHeight="1">
      <c r="B25" s="1418"/>
      <c r="C25" s="91" t="s">
        <v>961</v>
      </c>
      <c r="D25" s="92">
        <v>1</v>
      </c>
      <c r="E25" s="405"/>
      <c r="F25" s="406"/>
      <c r="G25" s="407"/>
      <c r="H25" s="407"/>
      <c r="I25" s="408"/>
      <c r="J25" s="409" t="str">
        <f t="shared" si="0"/>
        <v/>
      </c>
      <c r="K25" s="409" t="str">
        <f t="shared" si="1"/>
        <v/>
      </c>
    </row>
    <row r="26" spans="2:11" ht="45" customHeight="1">
      <c r="B26" s="1419"/>
      <c r="C26" s="91" t="s">
        <v>962</v>
      </c>
      <c r="D26" s="92">
        <v>1</v>
      </c>
      <c r="E26" s="405"/>
      <c r="F26" s="406"/>
      <c r="G26" s="407"/>
      <c r="H26" s="407"/>
      <c r="I26" s="408"/>
      <c r="J26" s="409" t="str">
        <f t="shared" si="0"/>
        <v/>
      </c>
      <c r="K26" s="409" t="str">
        <f t="shared" si="1"/>
        <v/>
      </c>
    </row>
    <row r="27" spans="2:11" ht="45" customHeight="1">
      <c r="B27" s="1420" t="s">
        <v>963</v>
      </c>
      <c r="C27" s="1421"/>
      <c r="D27" s="85">
        <v>17</v>
      </c>
      <c r="E27" s="86">
        <f>SUM(E9:E26)</f>
        <v>0</v>
      </c>
      <c r="F27" s="87"/>
      <c r="G27" s="85"/>
      <c r="H27" s="85"/>
      <c r="I27" s="85"/>
      <c r="J27" s="85"/>
      <c r="K27" s="85"/>
    </row>
    <row r="28" spans="2:11" ht="45" customHeight="1">
      <c r="C28" s="96"/>
      <c r="D28" s="97"/>
      <c r="E28" s="97"/>
      <c r="F28" s="97"/>
      <c r="G28" s="97"/>
      <c r="H28" s="97"/>
      <c r="I28" s="97"/>
      <c r="J28" s="97"/>
      <c r="K28" s="97"/>
    </row>
    <row r="29" spans="2:11" ht="45" customHeight="1">
      <c r="B29" s="1409" t="s">
        <v>306</v>
      </c>
      <c r="C29" s="1422"/>
      <c r="D29" s="177"/>
      <c r="E29" s="177"/>
      <c r="F29" s="99"/>
      <c r="G29" s="98"/>
      <c r="H29" s="98"/>
      <c r="I29" s="98"/>
      <c r="J29" s="98"/>
      <c r="K29" s="98"/>
    </row>
    <row r="30" spans="2:11" ht="45" customHeight="1">
      <c r="B30" s="1412" t="s">
        <v>964</v>
      </c>
      <c r="C30" s="91" t="s">
        <v>965</v>
      </c>
      <c r="D30" s="92">
        <v>1</v>
      </c>
      <c r="E30" s="405"/>
      <c r="F30" s="406"/>
      <c r="G30" s="407"/>
      <c r="H30" s="407"/>
      <c r="I30" s="408"/>
      <c r="J30" s="409" t="str">
        <f t="shared" ref="J30:K34" si="2">IF(ISBLANK($E30)=FALSE,IF(G30="","No","Yes"),"")</f>
        <v/>
      </c>
      <c r="K30" s="409" t="str">
        <f t="shared" si="2"/>
        <v/>
      </c>
    </row>
    <row r="31" spans="2:11" ht="45" customHeight="1">
      <c r="B31" s="1412"/>
      <c r="C31" s="91" t="s">
        <v>966</v>
      </c>
      <c r="D31" s="92">
        <v>1</v>
      </c>
      <c r="E31" s="405"/>
      <c r="F31" s="406"/>
      <c r="G31" s="407"/>
      <c r="H31" s="407"/>
      <c r="I31" s="408"/>
      <c r="J31" s="409" t="str">
        <f t="shared" si="2"/>
        <v/>
      </c>
      <c r="K31" s="409" t="str">
        <f t="shared" si="2"/>
        <v/>
      </c>
    </row>
    <row r="32" spans="2:11" ht="45" customHeight="1">
      <c r="B32" s="1412"/>
      <c r="C32" s="91" t="s">
        <v>967</v>
      </c>
      <c r="D32" s="92">
        <v>1</v>
      </c>
      <c r="E32" s="405"/>
      <c r="F32" s="406"/>
      <c r="G32" s="407"/>
      <c r="H32" s="407"/>
      <c r="I32" s="408"/>
      <c r="J32" s="409" t="str">
        <f t="shared" si="2"/>
        <v/>
      </c>
      <c r="K32" s="409" t="str">
        <f t="shared" si="2"/>
        <v/>
      </c>
    </row>
    <row r="33" spans="2:14" ht="45" customHeight="1">
      <c r="B33" s="1413"/>
      <c r="C33" s="91" t="s">
        <v>968</v>
      </c>
      <c r="D33" s="92">
        <v>1</v>
      </c>
      <c r="E33" s="405"/>
      <c r="F33" s="406"/>
      <c r="G33" s="407"/>
      <c r="H33" s="407"/>
      <c r="I33" s="408"/>
      <c r="J33" s="409" t="str">
        <f t="shared" si="2"/>
        <v/>
      </c>
      <c r="K33" s="409" t="str">
        <f t="shared" si="2"/>
        <v/>
      </c>
      <c r="L33" s="496"/>
      <c r="M33" s="496"/>
      <c r="N33" s="496"/>
    </row>
    <row r="34" spans="2:14" ht="45" customHeight="1">
      <c r="B34" s="1412" t="s">
        <v>332</v>
      </c>
      <c r="C34" s="91" t="s">
        <v>969</v>
      </c>
      <c r="D34" s="92">
        <v>1</v>
      </c>
      <c r="E34" s="405"/>
      <c r="F34" s="406"/>
      <c r="G34" s="407"/>
      <c r="H34" s="407"/>
      <c r="I34" s="408"/>
      <c r="J34" s="409" t="str">
        <f t="shared" si="2"/>
        <v/>
      </c>
      <c r="K34" s="409" t="str">
        <f t="shared" si="2"/>
        <v/>
      </c>
      <c r="L34" s="496"/>
      <c r="M34" s="496"/>
      <c r="N34" s="496"/>
    </row>
    <row r="35" spans="2:14" ht="45" customHeight="1">
      <c r="B35" s="1413"/>
      <c r="C35" s="91" t="s">
        <v>970</v>
      </c>
      <c r="D35" s="92">
        <v>1</v>
      </c>
      <c r="E35" s="405"/>
      <c r="F35" s="406"/>
      <c r="G35" s="407"/>
      <c r="H35" s="407"/>
      <c r="I35" s="408"/>
      <c r="J35" s="409" t="str">
        <f>IF(OR(ISBLANK($E35)=FALSE,N36=TRUE),IF(G35="","No","Yes"),"")</f>
        <v/>
      </c>
      <c r="K35" s="135" t="b">
        <f>IF(ISBLANK($E35)=FALSE,IF(H35="","No","Yes"),IF(N36=TRUE,"NA"))</f>
        <v>0</v>
      </c>
      <c r="L35" s="496"/>
      <c r="M35" s="496"/>
      <c r="N35" s="496"/>
    </row>
    <row r="36" spans="2:14" ht="45" customHeight="1">
      <c r="B36" s="1412" t="s">
        <v>317</v>
      </c>
      <c r="C36" s="91" t="s">
        <v>948</v>
      </c>
      <c r="D36" s="92" t="s">
        <v>264</v>
      </c>
      <c r="E36" s="405"/>
      <c r="F36" s="406"/>
      <c r="G36" s="407"/>
      <c r="H36" s="407"/>
      <c r="I36" s="408"/>
      <c r="J36" s="409" t="str">
        <f t="shared" ref="J36:J53" si="3">IF(ISBLANK($E36)=FALSE,IF(G36="","No","Yes"),"")</f>
        <v/>
      </c>
      <c r="K36" s="409" t="str">
        <f>IF(ISBLANK($E36)=FALSE,IF(H36="","No","Yes"),"")</f>
        <v/>
      </c>
      <c r="L36" s="496"/>
      <c r="M36" s="496" t="s">
        <v>971</v>
      </c>
      <c r="N36" s="496" t="b">
        <v>0</v>
      </c>
    </row>
    <row r="37" spans="2:14" ht="45" customHeight="1">
      <c r="B37" s="1412"/>
      <c r="C37" s="91" t="s">
        <v>972</v>
      </c>
      <c r="D37" s="92">
        <v>1</v>
      </c>
      <c r="E37" s="405"/>
      <c r="F37" s="406"/>
      <c r="G37" s="407"/>
      <c r="H37" s="407"/>
      <c r="I37" s="408"/>
      <c r="J37" s="409" t="str">
        <f t="shared" si="3"/>
        <v/>
      </c>
      <c r="K37" s="409" t="str">
        <f>IF(ISBLANK($E37)=FALSE,IF(H37="","No","Yes"),"")</f>
        <v/>
      </c>
      <c r="L37" s="496"/>
      <c r="M37" s="496"/>
      <c r="N37" s="496"/>
    </row>
    <row r="38" spans="2:14" ht="45" customHeight="1">
      <c r="B38" s="1412"/>
      <c r="C38" s="91" t="s">
        <v>973</v>
      </c>
      <c r="D38" s="92">
        <v>1</v>
      </c>
      <c r="E38" s="405"/>
      <c r="F38" s="406"/>
      <c r="G38" s="407"/>
      <c r="H38" s="407"/>
      <c r="I38" s="408"/>
      <c r="J38" s="409" t="str">
        <f>IF(OR(ISBLANK($E38)=FALSE,N39=TRUE),IF(G38="","No","Yes"),"")</f>
        <v/>
      </c>
      <c r="K38" s="135" t="b">
        <f>IF(ISBLANK($E38)=FALSE,IF(H38="","No","Yes"),IF(N39=TRUE,"NA"))</f>
        <v>0</v>
      </c>
      <c r="L38" s="496"/>
      <c r="M38" s="496"/>
      <c r="N38" s="496"/>
    </row>
    <row r="39" spans="2:14" ht="45" customHeight="1">
      <c r="B39" s="1412"/>
      <c r="C39" s="91" t="s">
        <v>974</v>
      </c>
      <c r="D39" s="92">
        <v>1</v>
      </c>
      <c r="E39" s="405"/>
      <c r="F39" s="406"/>
      <c r="G39" s="407"/>
      <c r="H39" s="407"/>
      <c r="I39" s="408"/>
      <c r="J39" s="409" t="str">
        <f t="shared" si="3"/>
        <v/>
      </c>
      <c r="K39" s="409" t="str">
        <f t="shared" ref="K39:K46" si="4">IF(ISBLANK($E39)=FALSE,IF(H39="","No","Yes"),"")</f>
        <v/>
      </c>
      <c r="L39" s="496"/>
      <c r="M39" s="496" t="s">
        <v>971</v>
      </c>
      <c r="N39" s="496" t="b">
        <v>0</v>
      </c>
    </row>
    <row r="40" spans="2:14" ht="45" customHeight="1">
      <c r="B40" s="1413"/>
      <c r="C40" s="91" t="s">
        <v>321</v>
      </c>
      <c r="D40" s="92">
        <v>2</v>
      </c>
      <c r="E40" s="405"/>
      <c r="F40" s="406"/>
      <c r="G40" s="407"/>
      <c r="H40" s="407"/>
      <c r="I40" s="408"/>
      <c r="J40" s="409" t="str">
        <f t="shared" si="3"/>
        <v/>
      </c>
      <c r="K40" s="409" t="str">
        <f t="shared" si="4"/>
        <v/>
      </c>
      <c r="L40" s="496"/>
      <c r="M40" s="496"/>
      <c r="N40" s="496"/>
    </row>
    <row r="41" spans="2:14" ht="45" customHeight="1">
      <c r="B41" s="1412" t="s">
        <v>323</v>
      </c>
      <c r="C41" s="91" t="s">
        <v>494</v>
      </c>
      <c r="D41" s="92" t="s">
        <v>264</v>
      </c>
      <c r="E41" s="405"/>
      <c r="F41" s="406"/>
      <c r="G41" s="407"/>
      <c r="H41" s="407"/>
      <c r="I41" s="408"/>
      <c r="J41" s="409" t="str">
        <f t="shared" si="3"/>
        <v/>
      </c>
      <c r="K41" s="409" t="str">
        <f t="shared" si="4"/>
        <v/>
      </c>
      <c r="L41" s="496"/>
      <c r="M41" s="496"/>
      <c r="N41" s="496"/>
    </row>
    <row r="42" spans="2:14" ht="45" customHeight="1">
      <c r="B42" s="1412"/>
      <c r="C42" s="91" t="s">
        <v>326</v>
      </c>
      <c r="D42" s="92">
        <v>1</v>
      </c>
      <c r="E42" s="405"/>
      <c r="F42" s="406"/>
      <c r="G42" s="407"/>
      <c r="H42" s="407"/>
      <c r="I42" s="408"/>
      <c r="J42" s="409" t="str">
        <f t="shared" si="3"/>
        <v/>
      </c>
      <c r="K42" s="409" t="str">
        <f t="shared" si="4"/>
        <v/>
      </c>
      <c r="L42" s="496"/>
      <c r="M42" s="496"/>
      <c r="N42" s="496"/>
    </row>
    <row r="43" spans="2:14" ht="45" customHeight="1">
      <c r="B43" s="1413"/>
      <c r="C43" s="91" t="s">
        <v>327</v>
      </c>
      <c r="D43" s="92">
        <v>1</v>
      </c>
      <c r="E43" s="405"/>
      <c r="F43" s="406"/>
      <c r="G43" s="407"/>
      <c r="H43" s="407"/>
      <c r="I43" s="408"/>
      <c r="J43" s="409" t="str">
        <f t="shared" si="3"/>
        <v/>
      </c>
      <c r="K43" s="409" t="str">
        <f t="shared" si="4"/>
        <v/>
      </c>
      <c r="L43" s="496"/>
      <c r="M43" s="496"/>
      <c r="N43" s="496"/>
    </row>
    <row r="44" spans="2:14" ht="45" customHeight="1">
      <c r="B44" s="1412" t="s">
        <v>975</v>
      </c>
      <c r="C44" s="91" t="s">
        <v>314</v>
      </c>
      <c r="D44" s="92">
        <v>1</v>
      </c>
      <c r="E44" s="405"/>
      <c r="F44" s="406"/>
      <c r="G44" s="407"/>
      <c r="H44" s="407"/>
      <c r="I44" s="408"/>
      <c r="J44" s="409" t="str">
        <f t="shared" si="3"/>
        <v/>
      </c>
      <c r="K44" s="409" t="str">
        <f t="shared" si="4"/>
        <v/>
      </c>
      <c r="L44" s="496"/>
      <c r="M44" s="496"/>
      <c r="N44" s="496"/>
    </row>
    <row r="45" spans="2:14" ht="45" customHeight="1">
      <c r="B45" s="1412"/>
      <c r="C45" s="91" t="s">
        <v>315</v>
      </c>
      <c r="D45" s="92">
        <v>1</v>
      </c>
      <c r="E45" s="405"/>
      <c r="F45" s="406"/>
      <c r="G45" s="407"/>
      <c r="H45" s="407"/>
      <c r="I45" s="408"/>
      <c r="J45" s="409" t="str">
        <f t="shared" si="3"/>
        <v/>
      </c>
      <c r="K45" s="409" t="str">
        <f t="shared" si="4"/>
        <v/>
      </c>
      <c r="L45" s="496"/>
      <c r="M45" s="496"/>
      <c r="N45" s="496"/>
    </row>
    <row r="46" spans="2:14" ht="45" customHeight="1">
      <c r="B46" s="1413"/>
      <c r="C46" s="91" t="s">
        <v>976</v>
      </c>
      <c r="D46" s="92">
        <v>1</v>
      </c>
      <c r="E46" s="405"/>
      <c r="F46" s="406"/>
      <c r="G46" s="407"/>
      <c r="H46" s="407"/>
      <c r="I46" s="408"/>
      <c r="J46" s="409" t="str">
        <f t="shared" si="3"/>
        <v/>
      </c>
      <c r="K46" s="409" t="str">
        <f t="shared" si="4"/>
        <v/>
      </c>
      <c r="L46" s="496"/>
      <c r="M46" s="496"/>
      <c r="N46" s="496"/>
    </row>
    <row r="47" spans="2:14" ht="45" customHeight="1">
      <c r="B47" s="175" t="s">
        <v>597</v>
      </c>
      <c r="C47" s="91" t="s">
        <v>977</v>
      </c>
      <c r="D47" s="92">
        <v>1</v>
      </c>
      <c r="E47" s="405"/>
      <c r="F47" s="406"/>
      <c r="G47" s="407"/>
      <c r="H47" s="407"/>
      <c r="I47" s="408"/>
      <c r="J47" s="409" t="str">
        <f>IF(OR(ISBLANK($E47)=FALSE,N48=TRUE),IF(G47="","No","Yes"),"")</f>
        <v/>
      </c>
      <c r="K47" s="135" t="b">
        <f>IF(ISBLANK($E47)=FALSE,IF(H47="","No","Yes"),IF(N48=TRUE,"NA"))</f>
        <v>0</v>
      </c>
      <c r="L47" s="496"/>
      <c r="M47" s="496"/>
      <c r="N47" s="496"/>
    </row>
    <row r="48" spans="2:14" ht="45" customHeight="1">
      <c r="B48" s="1412" t="s">
        <v>978</v>
      </c>
      <c r="C48" s="91" t="s">
        <v>979</v>
      </c>
      <c r="D48" s="92">
        <v>2</v>
      </c>
      <c r="E48" s="405"/>
      <c r="F48" s="406"/>
      <c r="G48" s="407"/>
      <c r="H48" s="407"/>
      <c r="I48" s="408"/>
      <c r="J48" s="409" t="str">
        <f t="shared" si="3"/>
        <v/>
      </c>
      <c r="K48" s="409" t="str">
        <f t="shared" ref="K48:K53" si="5">IF(ISBLANK($E48)=FALSE,IF(H48="","No","Yes"),"")</f>
        <v/>
      </c>
      <c r="L48" s="496"/>
      <c r="M48" s="496" t="s">
        <v>971</v>
      </c>
      <c r="N48" s="496"/>
    </row>
    <row r="49" spans="2:11" ht="45" customHeight="1">
      <c r="B49" s="1412"/>
      <c r="C49" s="91" t="s">
        <v>980</v>
      </c>
      <c r="D49" s="92">
        <v>2</v>
      </c>
      <c r="E49" s="405"/>
      <c r="F49" s="406"/>
      <c r="G49" s="407"/>
      <c r="H49" s="407"/>
      <c r="I49" s="408"/>
      <c r="J49" s="409" t="str">
        <f t="shared" si="3"/>
        <v/>
      </c>
      <c r="K49" s="409" t="str">
        <f t="shared" si="5"/>
        <v/>
      </c>
    </row>
    <row r="50" spans="2:11" ht="45" customHeight="1">
      <c r="B50" s="1412"/>
      <c r="C50" s="91" t="s">
        <v>981</v>
      </c>
      <c r="D50" s="92">
        <v>2</v>
      </c>
      <c r="E50" s="405"/>
      <c r="F50" s="406"/>
      <c r="G50" s="407"/>
      <c r="H50" s="407"/>
      <c r="I50" s="408"/>
      <c r="J50" s="409" t="str">
        <f t="shared" si="3"/>
        <v/>
      </c>
      <c r="K50" s="409" t="str">
        <f t="shared" si="5"/>
        <v/>
      </c>
    </row>
    <row r="51" spans="2:11" ht="45" customHeight="1">
      <c r="B51" s="1413"/>
      <c r="C51" s="91" t="s">
        <v>982</v>
      </c>
      <c r="D51" s="92">
        <v>1</v>
      </c>
      <c r="E51" s="405"/>
      <c r="F51" s="406"/>
      <c r="G51" s="407"/>
      <c r="H51" s="407"/>
      <c r="I51" s="408"/>
      <c r="J51" s="409" t="str">
        <f t="shared" si="3"/>
        <v/>
      </c>
      <c r="K51" s="409" t="str">
        <f t="shared" si="5"/>
        <v/>
      </c>
    </row>
    <row r="52" spans="2:11" ht="45" customHeight="1">
      <c r="B52" s="175" t="s">
        <v>557</v>
      </c>
      <c r="C52" s="91" t="s">
        <v>983</v>
      </c>
      <c r="D52" s="92">
        <v>1</v>
      </c>
      <c r="E52" s="405"/>
      <c r="F52" s="406"/>
      <c r="G52" s="407"/>
      <c r="H52" s="407"/>
      <c r="I52" s="408"/>
      <c r="J52" s="409" t="str">
        <f t="shared" si="3"/>
        <v/>
      </c>
      <c r="K52" s="409" t="str">
        <f t="shared" si="5"/>
        <v/>
      </c>
    </row>
    <row r="53" spans="2:11" ht="45" customHeight="1">
      <c r="B53" s="175" t="s">
        <v>562</v>
      </c>
      <c r="C53" s="91" t="s">
        <v>984</v>
      </c>
      <c r="D53" s="92">
        <v>1</v>
      </c>
      <c r="E53" s="405"/>
      <c r="F53" s="406"/>
      <c r="G53" s="407"/>
      <c r="H53" s="407"/>
      <c r="I53" s="408"/>
      <c r="J53" s="409" t="str">
        <f t="shared" si="3"/>
        <v/>
      </c>
      <c r="K53" s="409" t="str">
        <f t="shared" si="5"/>
        <v/>
      </c>
    </row>
    <row r="54" spans="2:11" ht="45" customHeight="1">
      <c r="B54" s="1420" t="s">
        <v>963</v>
      </c>
      <c r="C54" s="1420"/>
      <c r="D54" s="85">
        <v>26</v>
      </c>
      <c r="E54" s="86">
        <f>SUM(E30:E53)</f>
        <v>0</v>
      </c>
      <c r="F54" s="88"/>
      <c r="G54" s="85"/>
      <c r="H54" s="85"/>
      <c r="I54" s="85"/>
      <c r="J54" s="85"/>
      <c r="K54" s="85"/>
    </row>
    <row r="55" spans="2:11" ht="45" customHeight="1">
      <c r="B55" s="101"/>
      <c r="C55" s="96"/>
      <c r="D55" s="97"/>
      <c r="E55" s="97"/>
      <c r="F55" s="97"/>
      <c r="G55" s="97"/>
      <c r="H55" s="97"/>
      <c r="I55" s="97"/>
      <c r="J55" s="97"/>
      <c r="K55" s="97"/>
    </row>
    <row r="56" spans="2:11" ht="45" customHeight="1">
      <c r="B56" s="1409" t="s">
        <v>335</v>
      </c>
      <c r="C56" s="1409"/>
      <c r="D56" s="106"/>
      <c r="E56" s="106"/>
      <c r="F56" s="90"/>
      <c r="G56" s="89"/>
      <c r="H56" s="89"/>
      <c r="I56" s="89"/>
      <c r="J56" s="89"/>
      <c r="K56" s="89"/>
    </row>
    <row r="57" spans="2:11" ht="45" customHeight="1">
      <c r="B57" s="1412" t="s">
        <v>336</v>
      </c>
      <c r="C57" s="91" t="s">
        <v>338</v>
      </c>
      <c r="D57" s="92" t="s">
        <v>264</v>
      </c>
      <c r="E57" s="405"/>
      <c r="F57" s="406"/>
      <c r="G57" s="407"/>
      <c r="H57" s="407"/>
      <c r="I57" s="408"/>
      <c r="J57" s="409" t="str">
        <f>IF(ISBLANK($E57)=FALSE,IF(G57="","No","Yes"),"")</f>
        <v/>
      </c>
      <c r="K57" s="409" t="str">
        <f>IF(ISBLANK($E57)=FALSE,IF(H57="","No","Yes"),"")</f>
        <v/>
      </c>
    </row>
    <row r="58" spans="2:11" ht="45" customHeight="1">
      <c r="B58" s="1423"/>
      <c r="C58" s="91" t="s">
        <v>336</v>
      </c>
      <c r="D58" s="92">
        <v>20</v>
      </c>
      <c r="E58" s="405"/>
      <c r="F58" s="406"/>
      <c r="G58" s="407"/>
      <c r="H58" s="407"/>
      <c r="I58" s="408"/>
      <c r="J58" s="409" t="str">
        <f>IF(ISBLANK($E58)=FALSE,IF(G58="","No","Yes"),"")</f>
        <v/>
      </c>
      <c r="K58" s="409" t="str">
        <f>IF(ISBLANK($E58)=FALSE,IF(H58="","No","Yes"),"")</f>
        <v/>
      </c>
    </row>
    <row r="59" spans="2:11" ht="45" customHeight="1">
      <c r="B59" s="1420" t="s">
        <v>963</v>
      </c>
      <c r="C59" s="1420"/>
      <c r="D59" s="85">
        <v>20</v>
      </c>
      <c r="E59" s="86">
        <f>SUM(E57:E58)</f>
        <v>0</v>
      </c>
      <c r="F59" s="88"/>
      <c r="G59" s="85"/>
      <c r="H59" s="85"/>
      <c r="I59" s="85"/>
      <c r="J59" s="85"/>
      <c r="K59" s="85"/>
    </row>
    <row r="60" spans="2:11" ht="45" customHeight="1">
      <c r="B60" s="101"/>
      <c r="C60" s="96"/>
      <c r="D60" s="97"/>
      <c r="E60" s="97"/>
      <c r="F60" s="97"/>
      <c r="G60" s="97"/>
      <c r="H60" s="97"/>
      <c r="I60" s="97"/>
      <c r="J60" s="97"/>
      <c r="K60" s="97"/>
    </row>
    <row r="61" spans="2:11" ht="45" customHeight="1">
      <c r="B61" s="1409" t="s">
        <v>345</v>
      </c>
      <c r="C61" s="1422"/>
      <c r="D61" s="106"/>
      <c r="E61" s="106"/>
      <c r="F61" s="90"/>
      <c r="G61" s="89"/>
      <c r="H61" s="89"/>
      <c r="I61" s="89"/>
      <c r="J61" s="89"/>
      <c r="K61" s="89"/>
    </row>
    <row r="62" spans="2:11" ht="45" customHeight="1">
      <c r="B62" s="175" t="s">
        <v>985</v>
      </c>
      <c r="C62" s="91" t="s">
        <v>986</v>
      </c>
      <c r="D62" s="92">
        <v>5</v>
      </c>
      <c r="E62" s="405"/>
      <c r="F62" s="406"/>
      <c r="G62" s="407"/>
      <c r="H62" s="407"/>
      <c r="I62" s="408"/>
      <c r="J62" s="409" t="str">
        <f t="shared" ref="J62:K64" si="6">IF(ISBLANK($E62)=FALSE,IF(G62="","No","Yes"),"")</f>
        <v/>
      </c>
      <c r="K62" s="409" t="str">
        <f t="shared" si="6"/>
        <v/>
      </c>
    </row>
    <row r="63" spans="2:11" ht="45" customHeight="1">
      <c r="B63" s="175" t="s">
        <v>352</v>
      </c>
      <c r="C63" s="91" t="s">
        <v>987</v>
      </c>
      <c r="D63" s="92">
        <v>1</v>
      </c>
      <c r="E63" s="405"/>
      <c r="F63" s="406"/>
      <c r="G63" s="407"/>
      <c r="H63" s="407"/>
      <c r="I63" s="408"/>
      <c r="J63" s="409" t="str">
        <f t="shared" si="6"/>
        <v/>
      </c>
      <c r="K63" s="409" t="str">
        <f t="shared" si="6"/>
        <v/>
      </c>
    </row>
    <row r="64" spans="2:11" ht="45" customHeight="1">
      <c r="B64" s="1412" t="s">
        <v>988</v>
      </c>
      <c r="C64" s="103" t="s">
        <v>989</v>
      </c>
      <c r="D64" s="104">
        <v>1</v>
      </c>
      <c r="E64" s="405"/>
      <c r="F64" s="406"/>
      <c r="G64" s="407"/>
      <c r="H64" s="407"/>
      <c r="I64" s="408"/>
      <c r="J64" s="409" t="str">
        <f t="shared" si="6"/>
        <v/>
      </c>
      <c r="K64" s="409" t="str">
        <f t="shared" si="6"/>
        <v/>
      </c>
    </row>
    <row r="65" spans="2:14" ht="45" customHeight="1">
      <c r="B65" s="1423"/>
      <c r="C65" s="91" t="s">
        <v>990</v>
      </c>
      <c r="D65" s="92">
        <v>1</v>
      </c>
      <c r="E65" s="405"/>
      <c r="F65" s="406"/>
      <c r="G65" s="407"/>
      <c r="H65" s="407"/>
      <c r="I65" s="408"/>
      <c r="J65" s="409" t="str">
        <f>IF(OR(ISBLANK($E65)=FALSE,N66=TRUE),IF(G65="","No","Yes"),"")</f>
        <v/>
      </c>
      <c r="K65" s="135" t="b">
        <f>IF(ISBLANK($E65)=FALSE,IF(H65="","No","Yes"),IF(N66=TRUE,"NA"))</f>
        <v>0</v>
      </c>
      <c r="L65" s="496"/>
      <c r="M65" s="496"/>
      <c r="N65" s="496"/>
    </row>
    <row r="66" spans="2:14" ht="45" customHeight="1">
      <c r="B66" s="1420" t="s">
        <v>963</v>
      </c>
      <c r="C66" s="1420"/>
      <c r="D66" s="85">
        <v>8</v>
      </c>
      <c r="E66" s="86">
        <f>SUM(E62:E65)</f>
        <v>0</v>
      </c>
      <c r="F66" s="88"/>
      <c r="G66" s="85"/>
      <c r="H66" s="85"/>
      <c r="I66" s="85"/>
      <c r="J66" s="85"/>
      <c r="K66" s="85"/>
      <c r="L66" s="496"/>
      <c r="M66" s="496" t="s">
        <v>971</v>
      </c>
      <c r="N66" s="496"/>
    </row>
    <row r="67" spans="2:14" ht="45" customHeight="1">
      <c r="B67" s="101"/>
      <c r="C67" s="96"/>
      <c r="D67" s="97"/>
      <c r="E67" s="97"/>
      <c r="F67" s="97"/>
      <c r="G67" s="97"/>
      <c r="H67" s="97"/>
      <c r="I67" s="97"/>
      <c r="J67" s="97"/>
      <c r="K67" s="97"/>
      <c r="L67" s="496"/>
      <c r="M67" s="496"/>
      <c r="N67" s="496"/>
    </row>
    <row r="68" spans="2:14" ht="45" customHeight="1">
      <c r="B68" s="1409" t="s">
        <v>353</v>
      </c>
      <c r="C68" s="1409"/>
      <c r="D68" s="106"/>
      <c r="E68" s="106"/>
      <c r="F68" s="90"/>
      <c r="G68" s="89"/>
      <c r="H68" s="89"/>
      <c r="I68" s="89"/>
      <c r="J68" s="89"/>
      <c r="K68" s="89"/>
      <c r="L68" s="496"/>
      <c r="M68" s="496"/>
      <c r="N68" s="496"/>
    </row>
    <row r="69" spans="2:14" ht="45" customHeight="1">
      <c r="B69" s="175" t="s">
        <v>354</v>
      </c>
      <c r="C69" s="91" t="s">
        <v>354</v>
      </c>
      <c r="D69" s="92">
        <v>10</v>
      </c>
      <c r="E69" s="405"/>
      <c r="F69" s="406"/>
      <c r="G69" s="407"/>
      <c r="H69" s="407"/>
      <c r="I69" s="408"/>
      <c r="J69" s="409" t="str">
        <f>IF(ISBLANK($E69)=FALSE,IF(G69="","No","Yes"),"")</f>
        <v/>
      </c>
      <c r="K69" s="409" t="str">
        <f>IF(ISBLANK($E69)=FALSE,IF(H69="","No","Yes"),"")</f>
        <v/>
      </c>
      <c r="L69" s="496"/>
      <c r="M69" s="496"/>
      <c r="N69" s="496"/>
    </row>
    <row r="70" spans="2:14" ht="45" customHeight="1">
      <c r="B70" s="1420" t="s">
        <v>963</v>
      </c>
      <c r="C70" s="1420"/>
      <c r="D70" s="85">
        <v>10</v>
      </c>
      <c r="E70" s="86">
        <f>E69</f>
        <v>0</v>
      </c>
      <c r="F70" s="88"/>
      <c r="G70" s="85"/>
      <c r="H70" s="85"/>
      <c r="I70" s="85"/>
      <c r="J70" s="85"/>
      <c r="K70" s="85"/>
      <c r="L70" s="496"/>
      <c r="M70" s="496"/>
      <c r="N70" s="496"/>
    </row>
    <row r="71" spans="2:14" ht="45" customHeight="1">
      <c r="B71" s="101"/>
      <c r="C71" s="96"/>
      <c r="D71" s="97"/>
      <c r="E71" s="97"/>
      <c r="F71" s="97"/>
      <c r="G71" s="97"/>
      <c r="H71" s="97"/>
      <c r="I71" s="97"/>
      <c r="J71" s="97"/>
      <c r="K71" s="97"/>
      <c r="L71" s="496"/>
      <c r="M71" s="496"/>
      <c r="N71" s="496"/>
    </row>
    <row r="72" spans="2:14" ht="45" customHeight="1">
      <c r="B72" s="1409" t="s">
        <v>367</v>
      </c>
      <c r="C72" s="1409"/>
      <c r="D72" s="106"/>
      <c r="E72" s="106"/>
      <c r="F72" s="90"/>
      <c r="G72" s="89"/>
      <c r="H72" s="89"/>
      <c r="I72" s="89"/>
      <c r="J72" s="89"/>
      <c r="K72" s="89"/>
      <c r="L72" s="496"/>
      <c r="M72" s="496"/>
      <c r="N72" s="496"/>
    </row>
    <row r="73" spans="2:14" ht="45" customHeight="1">
      <c r="B73" s="175" t="s">
        <v>391</v>
      </c>
      <c r="C73" s="91" t="s">
        <v>391</v>
      </c>
      <c r="D73" s="92">
        <v>5</v>
      </c>
      <c r="E73" s="405"/>
      <c r="F73" s="406"/>
      <c r="G73" s="407"/>
      <c r="H73" s="407"/>
      <c r="I73" s="408"/>
      <c r="J73" s="409" t="str">
        <f>IF(ISBLANK($E73)=FALSE,IF(G73="","No","Yes"),"")</f>
        <v/>
      </c>
      <c r="K73" s="409" t="str">
        <f>IF(ISBLANK($E73)=FALSE,IF(H73="","No","Yes"),"")</f>
        <v/>
      </c>
      <c r="L73" s="496"/>
      <c r="M73" s="496"/>
      <c r="N73" s="496"/>
    </row>
    <row r="74" spans="2:14" ht="45" customHeight="1">
      <c r="B74" s="102" t="s">
        <v>991</v>
      </c>
      <c r="C74" s="921" t="s">
        <v>991</v>
      </c>
      <c r="D74" s="92">
        <v>6</v>
      </c>
      <c r="E74" s="405"/>
      <c r="F74" s="406"/>
      <c r="G74" s="407"/>
      <c r="H74" s="407"/>
      <c r="I74" s="408"/>
      <c r="J74" s="409" t="str">
        <f>IF(OR(ISBLANK($E74)=FALSE,N75=TRUE),IF(G74="","No","Yes"),"")</f>
        <v/>
      </c>
      <c r="K74" s="135" t="b">
        <f>IF(ISBLANK($E74)=FALSE,IF(H74="","No","Yes"),IF(N75=TRUE,"NA"))</f>
        <v>0</v>
      </c>
      <c r="L74" s="496"/>
      <c r="M74" s="496"/>
      <c r="N74" s="496"/>
    </row>
    <row r="75" spans="2:14" ht="45" customHeight="1">
      <c r="B75" s="175" t="s">
        <v>992</v>
      </c>
      <c r="C75" s="91" t="s">
        <v>992</v>
      </c>
      <c r="D75" s="92">
        <v>6</v>
      </c>
      <c r="E75" s="405"/>
      <c r="F75" s="406"/>
      <c r="G75" s="407"/>
      <c r="H75" s="407"/>
      <c r="I75" s="408"/>
      <c r="J75" s="409" t="str">
        <f>IF(OR(ISBLANK($E75)=FALSE,N76=TRUE),IF(G75="","No","Yes"),"")</f>
        <v/>
      </c>
      <c r="K75" s="135" t="b">
        <f>IF(ISBLANK($E75)=FALSE,IF(H75="","No","Yes"),IF(N76=TRUE,"NA"))</f>
        <v>0</v>
      </c>
      <c r="L75" s="496"/>
      <c r="M75" s="496" t="s">
        <v>971</v>
      </c>
      <c r="N75" s="496" t="b">
        <v>0</v>
      </c>
    </row>
    <row r="76" spans="2:14" ht="45" customHeight="1">
      <c r="B76" s="175" t="s">
        <v>993</v>
      </c>
      <c r="C76" s="91" t="s">
        <v>993</v>
      </c>
      <c r="D76" s="92">
        <v>7</v>
      </c>
      <c r="E76" s="405"/>
      <c r="F76" s="406"/>
      <c r="G76" s="407"/>
      <c r="H76" s="407"/>
      <c r="I76" s="408"/>
      <c r="J76" s="409" t="str">
        <f>IF(OR(ISBLANK($E76)=FALSE,N77=TRUE),IF(G76="","No","Yes"),"")</f>
        <v/>
      </c>
      <c r="K76" s="135" t="b">
        <f>IF(ISBLANK($E76)=FALSE,IF(H76="","No","Yes"),IF(N77=TRUE,"NA"))</f>
        <v>0</v>
      </c>
      <c r="L76" s="496"/>
      <c r="M76" s="496" t="s">
        <v>971</v>
      </c>
      <c r="N76" s="496" t="b">
        <v>0</v>
      </c>
    </row>
    <row r="77" spans="2:14" ht="45" customHeight="1">
      <c r="B77" s="175" t="s">
        <v>994</v>
      </c>
      <c r="C77" s="91" t="s">
        <v>995</v>
      </c>
      <c r="D77" s="92">
        <v>1</v>
      </c>
      <c r="E77" s="405"/>
      <c r="F77" s="406"/>
      <c r="G77" s="407"/>
      <c r="H77" s="407"/>
      <c r="I77" s="408"/>
      <c r="J77" s="409" t="str">
        <f t="shared" ref="J77:K79" si="7">IF(ISBLANK($E77)=FALSE,IF(G77="","No","Yes"),"")</f>
        <v/>
      </c>
      <c r="K77" s="409" t="str">
        <f t="shared" si="7"/>
        <v/>
      </c>
      <c r="L77" s="496"/>
      <c r="M77" s="496" t="s">
        <v>971</v>
      </c>
      <c r="N77" s="496" t="b">
        <v>0</v>
      </c>
    </row>
    <row r="78" spans="2:14" ht="45" customHeight="1">
      <c r="B78" s="175" t="s">
        <v>589</v>
      </c>
      <c r="C78" s="91" t="s">
        <v>996</v>
      </c>
      <c r="D78" s="92">
        <v>1</v>
      </c>
      <c r="E78" s="405"/>
      <c r="F78" s="406"/>
      <c r="G78" s="407"/>
      <c r="H78" s="407"/>
      <c r="I78" s="408"/>
      <c r="J78" s="409" t="str">
        <f t="shared" si="7"/>
        <v/>
      </c>
      <c r="K78" s="409" t="str">
        <f t="shared" si="7"/>
        <v/>
      </c>
      <c r="L78" s="496"/>
      <c r="M78" s="496"/>
      <c r="N78" s="496"/>
    </row>
    <row r="79" spans="2:14" ht="45" customHeight="1">
      <c r="B79" s="175" t="s">
        <v>997</v>
      </c>
      <c r="C79" s="91" t="s">
        <v>997</v>
      </c>
      <c r="D79" s="92">
        <v>1</v>
      </c>
      <c r="E79" s="405"/>
      <c r="F79" s="406"/>
      <c r="G79" s="407"/>
      <c r="H79" s="407"/>
      <c r="I79" s="408"/>
      <c r="J79" s="409" t="str">
        <f t="shared" si="7"/>
        <v/>
      </c>
      <c r="K79" s="409" t="str">
        <f t="shared" si="7"/>
        <v/>
      </c>
      <c r="L79" s="496"/>
      <c r="M79" s="496"/>
      <c r="N79" s="496"/>
    </row>
    <row r="80" spans="2:14" ht="45" customHeight="1">
      <c r="B80" s="1420" t="s">
        <v>963</v>
      </c>
      <c r="C80" s="1421"/>
      <c r="D80" s="85">
        <v>27</v>
      </c>
      <c r="E80" s="86">
        <f>SUM(E73:E79)</f>
        <v>0</v>
      </c>
      <c r="F80" s="88"/>
      <c r="G80" s="85"/>
      <c r="H80" s="85"/>
      <c r="I80" s="85"/>
      <c r="J80" s="85"/>
      <c r="K80" s="85"/>
      <c r="L80" s="496"/>
      <c r="M80" s="496"/>
      <c r="N80" s="496"/>
    </row>
    <row r="81" spans="2:14" ht="45" customHeight="1">
      <c r="B81" s="101"/>
      <c r="C81" s="96"/>
      <c r="D81" s="97"/>
      <c r="E81" s="97"/>
      <c r="F81" s="97"/>
      <c r="G81" s="97"/>
      <c r="H81" s="97"/>
      <c r="I81" s="97"/>
      <c r="J81" s="97"/>
      <c r="K81" s="97"/>
      <c r="L81" s="496"/>
      <c r="M81" s="496"/>
      <c r="N81" s="496"/>
    </row>
    <row r="82" spans="2:14" ht="45" customHeight="1">
      <c r="B82" s="1409" t="s">
        <v>998</v>
      </c>
      <c r="C82" s="1409"/>
      <c r="D82" s="106"/>
      <c r="E82" s="106"/>
      <c r="F82" s="90"/>
      <c r="G82" s="89"/>
      <c r="H82" s="89"/>
      <c r="I82" s="89"/>
      <c r="J82" s="89"/>
      <c r="K82" s="89"/>
      <c r="L82" s="496"/>
      <c r="M82" s="496"/>
      <c r="N82" s="496"/>
    </row>
    <row r="83" spans="2:14" ht="45" customHeight="1">
      <c r="B83" s="175" t="s">
        <v>999</v>
      </c>
      <c r="C83" s="91" t="s">
        <v>1000</v>
      </c>
      <c r="D83" s="92">
        <v>6</v>
      </c>
      <c r="E83" s="405"/>
      <c r="F83" s="406"/>
      <c r="G83" s="407"/>
      <c r="H83" s="407"/>
      <c r="I83" s="408"/>
      <c r="J83" s="409" t="str">
        <f>IF(ISBLANK($E83)=FALSE,IF(G83="","No","Yes"),"")</f>
        <v/>
      </c>
      <c r="K83" s="409" t="str">
        <f>IF(ISBLANK($E83)=FALSE,IF(H83="","No","Yes"),"")</f>
        <v/>
      </c>
      <c r="L83" s="496"/>
      <c r="M83" s="496"/>
      <c r="N83" s="496"/>
    </row>
    <row r="84" spans="2:14" ht="45" customHeight="1">
      <c r="B84" s="1420" t="s">
        <v>963</v>
      </c>
      <c r="C84" s="1420"/>
      <c r="D84" s="86">
        <v>6</v>
      </c>
      <c r="E84" s="86">
        <f>E83</f>
        <v>0</v>
      </c>
      <c r="F84" s="88"/>
      <c r="G84" s="85"/>
      <c r="H84" s="85"/>
      <c r="I84" s="85"/>
      <c r="J84" s="85"/>
      <c r="K84" s="85"/>
      <c r="L84" s="496"/>
      <c r="M84" s="496"/>
      <c r="N84" s="496"/>
    </row>
    <row r="85" spans="2:14" ht="45" customHeight="1">
      <c r="B85" s="101"/>
      <c r="C85" s="96"/>
      <c r="D85" s="97"/>
      <c r="E85" s="97"/>
      <c r="F85" s="97"/>
      <c r="G85" s="97"/>
      <c r="H85" s="97"/>
      <c r="I85" s="97"/>
      <c r="J85" s="97"/>
      <c r="K85" s="97"/>
      <c r="L85" s="496"/>
      <c r="M85" s="496"/>
      <c r="N85" s="496"/>
    </row>
    <row r="86" spans="2:14" ht="45" customHeight="1">
      <c r="B86" s="1409" t="s">
        <v>404</v>
      </c>
      <c r="C86" s="1422"/>
      <c r="D86" s="106"/>
      <c r="E86" s="106"/>
      <c r="F86" s="90"/>
      <c r="G86" s="89"/>
      <c r="H86" s="89"/>
      <c r="I86" s="89"/>
      <c r="J86" s="89"/>
      <c r="K86" s="89"/>
      <c r="L86" s="496"/>
      <c r="M86" s="496"/>
      <c r="N86" s="496"/>
    </row>
    <row r="87" spans="2:14" ht="45" customHeight="1">
      <c r="B87" s="1412" t="s">
        <v>1001</v>
      </c>
      <c r="C87" s="91" t="s">
        <v>1002</v>
      </c>
      <c r="D87" s="92" t="s">
        <v>264</v>
      </c>
      <c r="E87" s="405"/>
      <c r="F87" s="406"/>
      <c r="G87" s="407"/>
      <c r="H87" s="407"/>
      <c r="I87" s="408"/>
      <c r="J87" s="409" t="str">
        <f t="shared" ref="J87:K89" si="8">IF(ISBLANK($E87)=FALSE,IF(G87="","No","Yes"),"")</f>
        <v/>
      </c>
      <c r="K87" s="409" t="str">
        <f t="shared" si="8"/>
        <v/>
      </c>
      <c r="L87" s="496"/>
      <c r="M87" s="496"/>
      <c r="N87" s="496"/>
    </row>
    <row r="88" spans="2:14" ht="45" customHeight="1">
      <c r="B88" s="1413"/>
      <c r="C88" s="91" t="s">
        <v>1003</v>
      </c>
      <c r="D88" s="92">
        <v>1</v>
      </c>
      <c r="E88" s="405"/>
      <c r="F88" s="406"/>
      <c r="G88" s="407"/>
      <c r="H88" s="407"/>
      <c r="I88" s="408"/>
      <c r="J88" s="409" t="str">
        <f t="shared" si="8"/>
        <v/>
      </c>
      <c r="K88" s="409" t="str">
        <f t="shared" si="8"/>
        <v/>
      </c>
      <c r="L88" s="496"/>
      <c r="M88" s="496"/>
      <c r="N88" s="496"/>
    </row>
    <row r="89" spans="2:14" ht="45" customHeight="1">
      <c r="B89" s="175" t="s">
        <v>409</v>
      </c>
      <c r="C89" s="91" t="s">
        <v>409</v>
      </c>
      <c r="D89" s="92">
        <v>1</v>
      </c>
      <c r="E89" s="405"/>
      <c r="F89" s="406"/>
      <c r="G89" s="407"/>
      <c r="H89" s="407"/>
      <c r="I89" s="408"/>
      <c r="J89" s="409" t="str">
        <f t="shared" si="8"/>
        <v/>
      </c>
      <c r="K89" s="409" t="str">
        <f t="shared" si="8"/>
        <v/>
      </c>
      <c r="L89" s="496"/>
      <c r="M89" s="496"/>
      <c r="N89" s="496"/>
    </row>
    <row r="90" spans="2:14" ht="45" customHeight="1">
      <c r="B90" s="1420" t="s">
        <v>963</v>
      </c>
      <c r="C90" s="1420"/>
      <c r="D90" s="85">
        <v>2</v>
      </c>
      <c r="E90" s="86">
        <f>SUM(E87:E89)</f>
        <v>0</v>
      </c>
      <c r="F90" s="88"/>
      <c r="G90" s="85"/>
      <c r="H90" s="85"/>
      <c r="I90" s="85"/>
      <c r="J90" s="85"/>
      <c r="K90" s="85"/>
      <c r="L90" s="496"/>
      <c r="M90" s="496"/>
      <c r="N90" s="496"/>
    </row>
    <row r="91" spans="2:14" ht="45" customHeight="1">
      <c r="B91" s="101"/>
      <c r="C91" s="96"/>
      <c r="D91" s="97"/>
      <c r="E91" s="97"/>
      <c r="F91" s="97"/>
      <c r="G91" s="97"/>
      <c r="H91" s="97"/>
      <c r="I91" s="97"/>
      <c r="J91" s="97"/>
      <c r="K91" s="97"/>
      <c r="L91" s="496"/>
      <c r="M91" s="496"/>
      <c r="N91" s="496"/>
    </row>
    <row r="92" spans="2:14" ht="45" customHeight="1">
      <c r="B92" s="1409" t="s">
        <v>419</v>
      </c>
      <c r="C92" s="1409"/>
      <c r="D92" s="106"/>
      <c r="E92" s="106"/>
      <c r="F92" s="90"/>
      <c r="G92" s="89"/>
      <c r="H92" s="89"/>
      <c r="I92" s="89"/>
      <c r="J92" s="89"/>
      <c r="K92" s="89"/>
      <c r="L92" s="496"/>
      <c r="M92" s="496"/>
      <c r="N92" s="496"/>
    </row>
    <row r="93" spans="2:14" ht="45" customHeight="1">
      <c r="B93" s="175" t="s">
        <v>419</v>
      </c>
      <c r="C93" s="91" t="s">
        <v>1004</v>
      </c>
      <c r="D93" s="92">
        <v>10</v>
      </c>
      <c r="E93" s="405"/>
      <c r="F93" s="406"/>
      <c r="G93" s="407"/>
      <c r="H93" s="407"/>
      <c r="I93" s="408"/>
      <c r="J93" s="409" t="str">
        <f>IF(ISBLANK($E93)=FALSE,IF(G93="","No","Yes"),"")</f>
        <v/>
      </c>
      <c r="K93" s="409" t="str">
        <f>IF(ISBLANK($E93)=FALSE,IF(H93="","No","Yes"),"")</f>
        <v/>
      </c>
      <c r="L93" s="496"/>
      <c r="M93" s="496"/>
      <c r="N93" s="496"/>
    </row>
    <row r="94" spans="2:14" ht="45" customHeight="1">
      <c r="B94" s="176"/>
      <c r="C94" s="93"/>
      <c r="D94" s="85">
        <v>10</v>
      </c>
      <c r="E94" s="86">
        <f>IF(E93&gt;10,10,E93)</f>
        <v>0</v>
      </c>
      <c r="F94" s="88"/>
      <c r="G94" s="85"/>
      <c r="H94" s="85"/>
      <c r="I94" s="85"/>
      <c r="J94" s="85"/>
      <c r="K94" s="85"/>
      <c r="L94" s="496"/>
      <c r="M94" s="496"/>
      <c r="N94" s="496"/>
    </row>
    <row r="95" spans="2:14" s="192" customFormat="1" ht="45" customHeight="1">
      <c r="M95" s="496"/>
      <c r="N95" s="496"/>
    </row>
    <row r="96" spans="2:14" ht="45" customHeight="1">
      <c r="B96" s="192"/>
      <c r="C96" s="230" t="s">
        <v>437</v>
      </c>
      <c r="D96" s="176"/>
      <c r="E96" s="410"/>
      <c r="F96" s="335"/>
      <c r="G96" s="203" t="s">
        <v>599</v>
      </c>
      <c r="H96" s="201" t="s">
        <v>600</v>
      </c>
      <c r="I96" s="192"/>
      <c r="J96" s="192"/>
      <c r="K96" s="192"/>
      <c r="L96" s="496"/>
      <c r="M96" s="192"/>
      <c r="N96" s="192"/>
    </row>
    <row r="97" spans="1:11" ht="45" customHeight="1">
      <c r="A97" s="496"/>
      <c r="B97" s="192"/>
      <c r="C97" s="411" t="s">
        <v>440</v>
      </c>
      <c r="D97" s="412"/>
      <c r="E97" s="413"/>
      <c r="F97" s="414"/>
      <c r="G97" s="485">
        <f>SUMIF(J9:J93,"Yes",G9:G93)</f>
        <v>0</v>
      </c>
      <c r="H97" s="485">
        <f>SUMIF(K9:K93,"Yes",H9:H93)</f>
        <v>0</v>
      </c>
      <c r="I97" s="192"/>
      <c r="J97" s="192"/>
      <c r="K97" s="192"/>
    </row>
    <row r="98" spans="1:11" ht="45" customHeight="1">
      <c r="A98" s="496"/>
      <c r="B98" s="192"/>
      <c r="C98" s="411" t="s">
        <v>441</v>
      </c>
      <c r="D98" s="412"/>
      <c r="E98" s="413"/>
      <c r="F98" s="415"/>
      <c r="G98" s="496"/>
      <c r="H98" s="496"/>
      <c r="I98" s="496"/>
      <c r="J98" s="496"/>
      <c r="K98" s="496"/>
    </row>
    <row r="99" spans="1:11" ht="45" customHeight="1">
      <c r="A99" s="496"/>
      <c r="B99" s="192"/>
      <c r="C99" s="416" t="s">
        <v>442</v>
      </c>
      <c r="D99" s="417"/>
      <c r="E99" s="418">
        <f>E98+E97</f>
        <v>0</v>
      </c>
      <c r="F99" s="415"/>
      <c r="G99" s="419"/>
      <c r="H99" s="496"/>
      <c r="I99" s="496"/>
      <c r="J99" s="496"/>
      <c r="K99" s="496"/>
    </row>
    <row r="100" spans="1:11" ht="45" customHeight="1">
      <c r="A100" s="496"/>
      <c r="B100" s="192"/>
      <c r="C100" s="411" t="s">
        <v>443</v>
      </c>
      <c r="D100" s="412"/>
      <c r="E100" s="413"/>
      <c r="F100" s="415"/>
      <c r="G100" s="496"/>
      <c r="H100" s="496"/>
      <c r="I100" s="496"/>
      <c r="J100" s="496"/>
      <c r="K100" s="496"/>
    </row>
    <row r="101" spans="1:11" ht="45" customHeight="1">
      <c r="A101" s="496"/>
      <c r="B101" s="192"/>
      <c r="C101" s="416" t="s">
        <v>107</v>
      </c>
      <c r="D101" s="412"/>
      <c r="E101" s="418">
        <f>G97</f>
        <v>0</v>
      </c>
      <c r="F101" s="415"/>
      <c r="G101" s="496"/>
      <c r="H101" s="496"/>
      <c r="I101" s="496"/>
      <c r="J101" s="496"/>
      <c r="K101" s="496"/>
    </row>
    <row r="102" spans="1:11" ht="45" customHeight="1">
      <c r="A102" s="496"/>
      <c r="B102" s="192"/>
      <c r="C102" s="416" t="s">
        <v>444</v>
      </c>
      <c r="D102" s="412"/>
      <c r="E102" s="418">
        <f>H97</f>
        <v>0</v>
      </c>
      <c r="F102" s="420"/>
      <c r="G102" s="496"/>
      <c r="H102" s="496"/>
      <c r="I102" s="496"/>
      <c r="J102" s="496"/>
      <c r="K102" s="496"/>
    </row>
    <row r="103" spans="1:11" ht="45" customHeight="1">
      <c r="A103" s="496"/>
      <c r="B103" s="192"/>
      <c r="C103" s="416" t="s">
        <v>1005</v>
      </c>
      <c r="D103" s="417"/>
      <c r="E103" s="418">
        <f>SUM(E100:E102)</f>
        <v>0</v>
      </c>
      <c r="F103" s="420"/>
      <c r="G103" s="496"/>
      <c r="H103" s="496"/>
      <c r="I103" s="496"/>
      <c r="J103" s="496"/>
      <c r="K103" s="496"/>
    </row>
    <row r="104" spans="1:11" ht="45" customHeight="1">
      <c r="A104" s="496"/>
      <c r="C104" s="416" t="s">
        <v>112</v>
      </c>
      <c r="D104" s="417"/>
      <c r="E104" s="421">
        <f>IFERROR(E103/E99,0)</f>
        <v>0</v>
      </c>
      <c r="F104" s="414"/>
      <c r="G104" s="496"/>
      <c r="H104" s="496"/>
      <c r="I104" s="496"/>
      <c r="J104" s="496"/>
      <c r="K104" s="496"/>
    </row>
    <row r="105" spans="1:11">
      <c r="A105" s="496"/>
      <c r="C105" s="542"/>
      <c r="D105" s="496"/>
      <c r="E105" s="496"/>
      <c r="F105" s="422"/>
      <c r="G105" s="496"/>
      <c r="H105" s="496"/>
      <c r="I105" s="496"/>
      <c r="J105" s="496"/>
      <c r="K105" s="496"/>
    </row>
    <row r="106" spans="1:11" ht="35.1" customHeight="1">
      <c r="A106" s="142"/>
      <c r="C106" s="230" t="s">
        <v>101</v>
      </c>
      <c r="D106" s="243"/>
      <c r="E106" s="244" t="s">
        <v>602</v>
      </c>
      <c r="F106" s="243"/>
      <c r="G106" s="496"/>
      <c r="H106" s="496"/>
      <c r="I106" s="496"/>
      <c r="J106" s="496"/>
      <c r="K106" s="496"/>
    </row>
    <row r="107" spans="1:11" ht="35.1" customHeight="1">
      <c r="A107" s="142"/>
      <c r="C107" s="117" t="s">
        <v>447</v>
      </c>
      <c r="D107" s="797" t="s">
        <v>937</v>
      </c>
      <c r="E107" s="1227" t="str">
        <f>IF(D107="Yes","No Issues", IF(D107="No","Contact project team","Check scorecard points"))</f>
        <v>Check scorecard points</v>
      </c>
      <c r="F107" s="1227"/>
      <c r="G107" s="496"/>
      <c r="H107" s="496"/>
      <c r="I107" s="496"/>
      <c r="J107" s="496"/>
      <c r="K107" s="496"/>
    </row>
    <row r="108" spans="1:11" ht="35.1" customHeight="1">
      <c r="A108" s="142"/>
      <c r="C108" s="117" t="s">
        <v>604</v>
      </c>
      <c r="D108" s="922">
        <f>COUNTA(E9:E26,E30:E53,E57:E58,E62:E65,E69,E73:E79,E83,E87:E89,E93)+COUNTIF(N10:N94,TRUE)</f>
        <v>0</v>
      </c>
      <c r="E108" s="1227" t="str">
        <f>IF(D108=0,"No credits entered","No Issues")</f>
        <v>No credits entered</v>
      </c>
      <c r="F108" s="1227"/>
      <c r="G108" s="496"/>
      <c r="H108" s="496"/>
      <c r="I108" s="496"/>
      <c r="J108" s="496"/>
      <c r="K108" s="496"/>
    </row>
    <row r="109" spans="1:11" ht="35.1" customHeight="1">
      <c r="A109" s="142"/>
      <c r="C109" s="117" t="s">
        <v>450</v>
      </c>
      <c r="D109" s="922">
        <f>COUNTIF(N10:N94,TRUE)</f>
        <v>0</v>
      </c>
      <c r="E109" s="1304" t="str">
        <f>IF(D109=0,"No Issues - No NA credits claimed",CONCATENATE("No Issues - ",D109," Implementation Costs not needed"))</f>
        <v>No Issues - No NA credits claimed</v>
      </c>
      <c r="F109" s="1304"/>
      <c r="G109" s="496"/>
      <c r="H109" s="496"/>
      <c r="I109" s="496"/>
      <c r="J109" s="496"/>
      <c r="K109" s="496"/>
    </row>
    <row r="110" spans="1:11" ht="60" customHeight="1">
      <c r="A110" s="142"/>
      <c r="C110" s="117" t="s">
        <v>451</v>
      </c>
      <c r="D110" s="797">
        <f>COUNTIF(J9:J94,"Yes")</f>
        <v>0</v>
      </c>
      <c r="E110" s="1229" t="str">
        <f>IF(D110&lt;D108,CONCATENATE(D108-D110," documentation costs missing"),IF(D110=0,"No credits entered",IF(COUNTIF(G9:G93,0)&gt;0,CONCATENATE(COUNTIF(G9:G93,0)," $0 cost(s) provided. Enter a value or explain the $0 value in the Comments column."),"No Issues")))</f>
        <v>No credits entered</v>
      </c>
      <c r="F110" s="1229"/>
      <c r="G110" s="454"/>
      <c r="H110" s="593"/>
      <c r="I110" s="496"/>
      <c r="J110" s="496"/>
      <c r="K110" s="496"/>
    </row>
    <row r="111" spans="1:11" ht="60" customHeight="1">
      <c r="A111" s="142"/>
      <c r="C111" s="117" t="s">
        <v>452</v>
      </c>
      <c r="D111" s="797">
        <f>COUNTIF(K9:K94,"Yes")</f>
        <v>0</v>
      </c>
      <c r="E111" s="1229" t="str">
        <f>IF(D111&lt;(D108-D109),CONCATENATE(D108-D111-D109," implementation costs missing"),IF(D111=0,"No credits entered",IF(COUNTIF(H9:H93,0)&gt;ROUND(0.25*D108,0),CONCATENATE(COUNTIF(H9:H93,0)," $0 cost(s) provided. Enter a value or explain the $0 value in the Comments column."),"No Issues")))</f>
        <v>No credits entered</v>
      </c>
      <c r="F111" s="1229"/>
      <c r="G111" s="454"/>
      <c r="H111" s="593"/>
      <c r="I111" s="496"/>
      <c r="J111" s="496"/>
      <c r="K111" s="496"/>
    </row>
    <row r="112" spans="1:11" ht="35.1" customHeight="1">
      <c r="A112" s="142"/>
      <c r="C112" s="117" t="s">
        <v>453</v>
      </c>
      <c r="D112" s="797" t="str">
        <f>IF(E97&gt;0,"Yes","No")</f>
        <v>No</v>
      </c>
      <c r="E112" s="1229" t="str">
        <f>IF(D112="No","Total Design Cost missing","No Issues")</f>
        <v>Total Design Cost missing</v>
      </c>
      <c r="F112" s="1229"/>
      <c r="G112" s="496"/>
      <c r="H112" s="496"/>
      <c r="I112" s="496"/>
      <c r="J112" s="496"/>
      <c r="K112" s="496"/>
    </row>
    <row r="113" spans="1:6" ht="35.1" customHeight="1">
      <c r="A113" s="142"/>
      <c r="C113" s="117" t="s">
        <v>454</v>
      </c>
      <c r="D113" s="797" t="str">
        <f>IF(E98&gt;0,"Yes","No")</f>
        <v>No</v>
      </c>
      <c r="E113" s="1229" t="str">
        <f>IF(D113="No","Total Construction Cost missing","No Issues")</f>
        <v>Total Construction Cost missing</v>
      </c>
      <c r="F113" s="1229"/>
    </row>
    <row r="114" spans="1:6" ht="35.1" customHeight="1">
      <c r="A114" s="142"/>
      <c r="C114" s="117" t="s">
        <v>455</v>
      </c>
      <c r="D114" s="797" t="str">
        <f>IF(E100&gt;0,"Yes","No")</f>
        <v>No</v>
      </c>
      <c r="E114" s="1229" t="str">
        <f>IF(D114="No","Green Star Certification Fees missing","No Issues")</f>
        <v>Green Star Certification Fees missing</v>
      </c>
      <c r="F114" s="1229"/>
    </row>
    <row r="115" spans="1:6" ht="35.1" hidden="1" customHeight="1">
      <c r="A115" s="142" t="s">
        <v>14</v>
      </c>
      <c r="C115" s="582" t="s">
        <v>188</v>
      </c>
      <c r="D115" s="588"/>
      <c r="E115" s="1230" t="s">
        <v>652</v>
      </c>
      <c r="F115" s="1230"/>
    </row>
    <row r="116" spans="1:6" ht="45" hidden="1" customHeight="1">
      <c r="A116" s="143" t="s">
        <v>14</v>
      </c>
      <c r="C116" s="116" t="s">
        <v>457</v>
      </c>
      <c r="D116" s="1303" t="str">
        <f>IF(OR(COUNTIF(E107:F114,"No Issues*")=8,E115="YES"),"1 POINT AWARDED","1 POINT NOT AWARDED")</f>
        <v>1 POINT NOT AWARDED</v>
      </c>
      <c r="E116" s="1303"/>
      <c r="F116" s="1303"/>
    </row>
  </sheetData>
  <sheetProtection algorithmName="SHA-512" hashValue="Zcwv+1xCfgU8cp1C7WanPFWDNDPKcdD2/8ESYyZvgYQHZFzI/+sqkmcBRvdaZY3PA/JmRyGbZw+HPDo19djoUA==" saltValue="+GZnCMADd1/U3XcuPiUK6A==" spinCount="100000" sheet="1" objects="1" scenarios="1"/>
  <customSheetViews>
    <customSheetView guid="{CEACA748-A46A-4C8B-98CF-30E51B671B84}" scale="80" showGridLines="0" hiddenColumns="1">
      <pane ySplit="7" topLeftCell="A104" activePane="bottomLeft" state="frozen"/>
      <selection pane="bottomLeft" activeCell="D117" sqref="D117"/>
      <pageMargins left="0" right="0" top="0" bottom="0" header="0" footer="0"/>
      <pageSetup paperSize="9" orientation="portrait" r:id="rId1"/>
    </customSheetView>
    <customSheetView guid="{2ED91B50-D126-4494-B9B8-889B5F8EA715}" showGridLines="0" showRowCol="0">
      <selection activeCell="E6" sqref="E6"/>
      <pageMargins left="0" right="0" top="0" bottom="0" header="0" footer="0"/>
      <pageSetup paperSize="9" orientation="portrait" r:id="rId2"/>
    </customSheetView>
  </customSheetViews>
  <mergeCells count="46">
    <mergeCell ref="E112:F112"/>
    <mergeCell ref="E113:F113"/>
    <mergeCell ref="E114:F114"/>
    <mergeCell ref="D116:F116"/>
    <mergeCell ref="E107:F107"/>
    <mergeCell ref="E108:F108"/>
    <mergeCell ref="E110:F110"/>
    <mergeCell ref="E111:F111"/>
    <mergeCell ref="E115:F115"/>
    <mergeCell ref="B87:B88"/>
    <mergeCell ref="B90:C90"/>
    <mergeCell ref="B92:C92"/>
    <mergeCell ref="E109:F109"/>
    <mergeCell ref="B80:C80"/>
    <mergeCell ref="B82:C82"/>
    <mergeCell ref="B84:C84"/>
    <mergeCell ref="B86:C86"/>
    <mergeCell ref="B72:C72"/>
    <mergeCell ref="B56:C56"/>
    <mergeCell ref="B57:B58"/>
    <mergeCell ref="B59:C59"/>
    <mergeCell ref="B61:C61"/>
    <mergeCell ref="B64:B65"/>
    <mergeCell ref="B66:C66"/>
    <mergeCell ref="B68:C68"/>
    <mergeCell ref="B70:C70"/>
    <mergeCell ref="B36:B40"/>
    <mergeCell ref="B41:B43"/>
    <mergeCell ref="B44:B46"/>
    <mergeCell ref="B48:B51"/>
    <mergeCell ref="B54:C54"/>
    <mergeCell ref="B24:B26"/>
    <mergeCell ref="B27:C27"/>
    <mergeCell ref="B29:C29"/>
    <mergeCell ref="B30:B33"/>
    <mergeCell ref="B34:B35"/>
    <mergeCell ref="C2:D2"/>
    <mergeCell ref="C3:D3"/>
    <mergeCell ref="C4:D4"/>
    <mergeCell ref="C5:D5"/>
    <mergeCell ref="G6:H6"/>
    <mergeCell ref="B20:B22"/>
    <mergeCell ref="B8:C8"/>
    <mergeCell ref="B10:B12"/>
    <mergeCell ref="B13:B17"/>
    <mergeCell ref="B18:B19"/>
  </mergeCells>
  <conditionalFormatting sqref="C2:D2 C4:D5 C3">
    <cfRule type="containsText" dxfId="90" priority="38" operator="containsText" text="Please">
      <formula>NOT(ISERROR(SEARCH("Please",C2)))</formula>
    </cfRule>
  </conditionalFormatting>
  <conditionalFormatting sqref="G6 I6">
    <cfRule type="containsText" dxfId="89" priority="37" operator="containsText" text="Select">
      <formula>NOT(ISERROR(SEARCH("Select",G6)))</formula>
    </cfRule>
  </conditionalFormatting>
  <conditionalFormatting sqref="G57:K58 G69:K69 G83:K83 G87:K89 G93:K93 G9:K26 G30:K53 G62:K65 G73:K79">
    <cfRule type="expression" dxfId="88" priority="15">
      <formula>$E9=""</formula>
    </cfRule>
  </conditionalFormatting>
  <conditionalFormatting sqref="C35:E35 C38:E38 B47:E47 C65:E65 B74:E76">
    <cfRule type="expression" dxfId="87" priority="13">
      <formula>$N36=TRUE</formula>
    </cfRule>
  </conditionalFormatting>
  <conditionalFormatting sqref="G35 I35:K35 G38 G47 G65 I38:K38 I47:K47 I65:K65 I74:K76 G74:G76 G78">
    <cfRule type="expression" dxfId="86" priority="11">
      <formula>$N36=TRUE</formula>
    </cfRule>
  </conditionalFormatting>
  <conditionalFormatting sqref="K35 K38 K47 K65 K74:K76">
    <cfRule type="cellIs" dxfId="85" priority="4" operator="equal">
      <formula>"NA"</formula>
    </cfRule>
  </conditionalFormatting>
  <conditionalFormatting sqref="E107:F114">
    <cfRule type="containsText" dxfId="84" priority="3" operator="containsText" text="No Issues">
      <formula>NOT(ISERROR(SEARCH("No Issues",E107)))</formula>
    </cfRule>
  </conditionalFormatting>
  <conditionalFormatting sqref="E115">
    <cfRule type="cellIs" dxfId="83" priority="1" operator="equal">
      <formula>"YES"</formula>
    </cfRule>
  </conditionalFormatting>
  <dataValidations count="12">
    <dataValidation type="list" allowBlank="1" showInputMessage="1" showErrorMessage="1" sqref="F83" xr:uid="{00000000-0002-0000-0800-000000000000}">
      <formula1>$X$8:$X$14</formula1>
    </dataValidation>
    <dataValidation allowBlank="1" showErrorMessage="1" promptTitle="Rating Tool Version" prompt="Please select the project's rating tool version" sqref="C5:D5" xr:uid="{00000000-0002-0000-0800-000001000000}"/>
    <dataValidation allowBlank="1" showInputMessage="1" showErrorMessage="1" promptTitle="Project Name" prompt="Please enter the project name" sqref="C3:D3" xr:uid="{00000000-0002-0000-0800-000002000000}"/>
    <dataValidation allowBlank="1" showInputMessage="1" showErrorMessage="1" promptTitle="Project Number" prompt="Please enter the Green Star number " sqref="C2:D2" xr:uid="{00000000-0002-0000-0800-000003000000}"/>
    <dataValidation type="list" allowBlank="1" showInputMessage="1" showErrorMessage="1" promptTitle="Green Star Rating" prompt="Please select the project's targeted rating" sqref="C4:D4" xr:uid="{00000000-0002-0000-0800-000004000000}">
      <formula1>$M$2:$M$5</formula1>
    </dataValidation>
    <dataValidation type="list" allowBlank="1" showInputMessage="1" showErrorMessage="1" sqref="I6" xr:uid="{00000000-0002-0000-0800-000005000000}">
      <formula1>$N$6:$N$8</formula1>
    </dataValidation>
    <dataValidation type="list" allowBlank="1" showInputMessage="1" showErrorMessage="1" sqref="G6:H6" xr:uid="{00000000-0002-0000-0800-000006000000}">
      <formula1>$M$6:$M$8</formula1>
    </dataValidation>
    <dataValidation type="whole" allowBlank="1" showInputMessage="1" showErrorMessage="1" sqref="E93 E21:E26 E69 E62:E65 E83 E58 E9:E12 E14:E19 E88:E89 E30:E35 E37:E40 E42:E53 E73:E79" xr:uid="{00000000-0002-0000-0800-000007000000}">
      <formula1>0</formula1>
      <formula2>D9</formula2>
    </dataValidation>
    <dataValidation type="list" allowBlank="1" showInputMessage="1" showErrorMessage="1" sqref="E13 E87 E57 E41 E36 E20" xr:uid="{00000000-0002-0000-0800-000008000000}">
      <formula1>$M$11:$M$12</formula1>
    </dataValidation>
    <dataValidation type="list" allowBlank="1" showInputMessage="1" showErrorMessage="1" sqref="D107" xr:uid="{00000000-0002-0000-0800-000009000000}">
      <formula1>"Please select, Yes, No"</formula1>
    </dataValidation>
    <dataValidation type="decimal" operator="greaterThanOrEqual" allowBlank="1" showInputMessage="1" showErrorMessage="1" sqref="G9:H93 E97:E98 E100" xr:uid="{00000000-0002-0000-0800-00000A000000}">
      <formula1>0</formula1>
    </dataValidation>
    <dataValidation type="list" allowBlank="1" showInputMessage="1" showErrorMessage="1" sqref="E115:F115" xr:uid="{00000000-0002-0000-0800-00000B000000}">
      <formula1>"YES/NO, YES, NO"</formula1>
    </dataValidation>
  </dataValidation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83" r:id="rId6" name="Check Box 3">
              <controlPr defaultSize="0" autoFill="0" autoLine="0" autoPict="0">
                <anchor moveWithCells="1">
                  <from>
                    <xdr:col>0</xdr:col>
                    <xdr:colOff>50800</xdr:colOff>
                    <xdr:row>34</xdr:row>
                    <xdr:rowOff>171450</xdr:rowOff>
                  </from>
                  <to>
                    <xdr:col>1</xdr:col>
                    <xdr:colOff>107950</xdr:colOff>
                    <xdr:row>34</xdr:row>
                    <xdr:rowOff>393700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0</xdr:col>
                    <xdr:colOff>50800</xdr:colOff>
                    <xdr:row>37</xdr:row>
                    <xdr:rowOff>171450</xdr:rowOff>
                  </from>
                  <to>
                    <xdr:col>1</xdr:col>
                    <xdr:colOff>107950</xdr:colOff>
                    <xdr:row>37</xdr:row>
                    <xdr:rowOff>393700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0</xdr:col>
                    <xdr:colOff>50800</xdr:colOff>
                    <xdr:row>46</xdr:row>
                    <xdr:rowOff>171450</xdr:rowOff>
                  </from>
                  <to>
                    <xdr:col>1</xdr:col>
                    <xdr:colOff>107950</xdr:colOff>
                    <xdr:row>46</xdr:row>
                    <xdr:rowOff>393700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0</xdr:col>
                    <xdr:colOff>50800</xdr:colOff>
                    <xdr:row>64</xdr:row>
                    <xdr:rowOff>171450</xdr:rowOff>
                  </from>
                  <to>
                    <xdr:col>1</xdr:col>
                    <xdr:colOff>107950</xdr:colOff>
                    <xdr:row>64</xdr:row>
                    <xdr:rowOff>393700</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0</xdr:col>
                    <xdr:colOff>50800</xdr:colOff>
                    <xdr:row>73</xdr:row>
                    <xdr:rowOff>171450</xdr:rowOff>
                  </from>
                  <to>
                    <xdr:col>1</xdr:col>
                    <xdr:colOff>107950</xdr:colOff>
                    <xdr:row>73</xdr:row>
                    <xdr:rowOff>393700</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0</xdr:col>
                    <xdr:colOff>50800</xdr:colOff>
                    <xdr:row>74</xdr:row>
                    <xdr:rowOff>171450</xdr:rowOff>
                  </from>
                  <to>
                    <xdr:col>1</xdr:col>
                    <xdr:colOff>107950</xdr:colOff>
                    <xdr:row>74</xdr:row>
                    <xdr:rowOff>393700</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0</xdr:col>
                    <xdr:colOff>50800</xdr:colOff>
                    <xdr:row>75</xdr:row>
                    <xdr:rowOff>171450</xdr:rowOff>
                  </from>
                  <to>
                    <xdr:col>1</xdr:col>
                    <xdr:colOff>107950</xdr:colOff>
                    <xdr:row>75</xdr:row>
                    <xdr:rowOff>393700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theme="6" tint="0.39997558519241921"/>
    <pageSetUpPr fitToPage="1"/>
  </sheetPr>
  <dimension ref="A1:AI140"/>
  <sheetViews>
    <sheetView showGridLines="0" showRowColHeaders="0" topLeftCell="E1" zoomScale="80" zoomScaleNormal="80" workbookViewId="0">
      <pane ySplit="7" topLeftCell="A8" activePane="bottomLeft" state="frozen"/>
      <selection pane="bottomLeft" activeCell="D37" sqref="D37"/>
      <selection activeCell="D37" sqref="D37"/>
    </sheetView>
  </sheetViews>
  <sheetFormatPr defaultColWidth="10.28515625" defaultRowHeight="14.1"/>
  <cols>
    <col min="1" max="3" width="10.28515625" style="1" hidden="1" customWidth="1"/>
    <col min="4" max="4" width="3.140625" style="1" hidden="1" customWidth="1"/>
    <col min="5" max="5" width="4.7109375" style="1" customWidth="1"/>
    <col min="6" max="6" width="30.7109375" style="33" customWidth="1"/>
    <col min="7" max="7" width="55.7109375" style="73" customWidth="1"/>
    <col min="8" max="8" width="10.7109375" style="55" hidden="1" customWidth="1"/>
    <col min="9" max="9" width="50.7109375" style="33" customWidth="1"/>
    <col min="10" max="11" width="15.7109375" style="55" customWidth="1"/>
    <col min="12" max="12" width="10.7109375" style="55" customWidth="1"/>
    <col min="13" max="14" width="26.7109375" style="1" customWidth="1"/>
    <col min="15" max="15" width="45.7109375" style="1" customWidth="1"/>
    <col min="16" max="17" width="19.7109375" style="1" hidden="1" customWidth="1"/>
    <col min="18" max="18" width="10.28515625" style="1" customWidth="1"/>
    <col min="19" max="19" width="52.140625" style="1" hidden="1" customWidth="1"/>
    <col min="20" max="20" width="27.140625" style="1" hidden="1" customWidth="1"/>
    <col min="21" max="21" width="16.85546875" style="1" hidden="1" customWidth="1"/>
    <col min="22" max="22" width="28.140625" style="1" hidden="1" customWidth="1"/>
    <col min="23" max="23" width="31.42578125" style="1" hidden="1" customWidth="1"/>
    <col min="24" max="27" width="16.140625" style="1" customWidth="1"/>
    <col min="28" max="28" width="13.28515625" style="1" customWidth="1"/>
    <col min="29" max="30" width="16.140625" style="1" customWidth="1"/>
    <col min="31" max="31" width="10.28515625" style="1" customWidth="1"/>
    <col min="32" max="16384" width="10.28515625" style="1"/>
  </cols>
  <sheetData>
    <row r="1" spans="1:35" ht="43.5" customHeight="1">
      <c r="A1" s="142" t="s">
        <v>14</v>
      </c>
      <c r="B1" s="142" t="s">
        <v>14</v>
      </c>
      <c r="C1" s="142" t="s">
        <v>14</v>
      </c>
      <c r="D1" s="821"/>
      <c r="E1" s="821"/>
      <c r="F1" s="1440" t="s">
        <v>0</v>
      </c>
      <c r="G1" s="1440"/>
      <c r="H1" s="1440"/>
      <c r="I1" s="1440"/>
      <c r="J1" s="866"/>
      <c r="K1" s="866"/>
      <c r="L1" s="866"/>
      <c r="M1" s="892"/>
      <c r="N1" s="821"/>
      <c r="O1" s="821"/>
      <c r="P1" s="142" t="s">
        <v>14</v>
      </c>
      <c r="Q1" s="142" t="s">
        <v>14</v>
      </c>
      <c r="R1" s="821"/>
      <c r="S1" s="486" t="s">
        <v>14</v>
      </c>
      <c r="T1" s="486" t="s">
        <v>14</v>
      </c>
      <c r="U1" s="486" t="s">
        <v>14</v>
      </c>
      <c r="V1" s="486" t="s">
        <v>14</v>
      </c>
      <c r="W1" s="486" t="s">
        <v>14</v>
      </c>
      <c r="X1" s="821"/>
      <c r="Y1" s="821"/>
      <c r="Z1" s="821"/>
      <c r="AA1" s="821"/>
      <c r="AB1" s="821"/>
      <c r="AC1" s="821"/>
      <c r="AD1" s="821"/>
      <c r="AE1" s="821"/>
      <c r="AF1" s="821"/>
      <c r="AG1" s="821"/>
      <c r="AH1" s="821"/>
      <c r="AI1" s="821"/>
    </row>
    <row r="2" spans="1:35" ht="37.5" customHeight="1">
      <c r="A2" s="867" t="s">
        <v>231</v>
      </c>
      <c r="B2" s="867" t="s">
        <v>232</v>
      </c>
      <c r="C2" s="868" t="s">
        <v>233</v>
      </c>
      <c r="D2" s="821"/>
      <c r="E2" s="821"/>
      <c r="F2" s="25" t="s">
        <v>227</v>
      </c>
      <c r="G2" s="148" t="s">
        <v>1006</v>
      </c>
      <c r="H2" s="192"/>
      <c r="I2" s="6"/>
      <c r="J2" s="344" t="s">
        <v>485</v>
      </c>
      <c r="K2" s="344" t="s">
        <v>486</v>
      </c>
      <c r="L2" s="345"/>
      <c r="M2" s="346"/>
      <c r="N2" s="821"/>
      <c r="O2" s="821"/>
      <c r="P2" s="821"/>
      <c r="Q2" s="821"/>
      <c r="R2" s="821"/>
      <c r="S2" s="821"/>
      <c r="T2" s="821"/>
      <c r="U2" s="821"/>
      <c r="V2" s="821"/>
      <c r="W2" s="821"/>
      <c r="X2" s="821"/>
      <c r="Y2" s="821"/>
      <c r="Z2" s="821"/>
      <c r="AA2" s="821"/>
      <c r="AB2" s="821"/>
      <c r="AC2" s="821"/>
      <c r="AD2" s="821"/>
      <c r="AE2" s="821"/>
      <c r="AF2" s="821"/>
      <c r="AG2" s="821"/>
      <c r="AH2" s="821"/>
      <c r="AI2" s="821"/>
    </row>
    <row r="3" spans="1:35" ht="37.5" customHeight="1">
      <c r="A3" s="869"/>
      <c r="B3" s="869"/>
      <c r="C3" s="838"/>
      <c r="D3" s="821"/>
      <c r="E3" s="821"/>
      <c r="F3" s="26" t="s">
        <v>229</v>
      </c>
      <c r="G3" s="149" t="s">
        <v>531</v>
      </c>
      <c r="H3" s="192"/>
      <c r="I3" s="6"/>
      <c r="J3" s="347">
        <f>J114</f>
        <v>100</v>
      </c>
      <c r="K3" s="348">
        <f>K117</f>
        <v>0</v>
      </c>
      <c r="L3" s="345"/>
      <c r="M3" s="346"/>
      <c r="N3" s="821"/>
      <c r="O3" s="821"/>
      <c r="P3" s="821"/>
      <c r="Q3" s="821"/>
      <c r="R3" s="821"/>
      <c r="S3" s="821"/>
      <c r="T3" s="821"/>
      <c r="U3" s="821"/>
      <c r="V3" s="821"/>
      <c r="W3" s="821"/>
      <c r="X3" s="821"/>
      <c r="Y3" s="821"/>
      <c r="Z3" s="821"/>
      <c r="AA3" s="821"/>
      <c r="AB3" s="821"/>
      <c r="AC3" s="821"/>
      <c r="AD3" s="821"/>
      <c r="AE3" s="821"/>
      <c r="AF3" s="821"/>
      <c r="AG3" s="821"/>
      <c r="AH3" s="821"/>
      <c r="AI3" s="821"/>
    </row>
    <row r="4" spans="1:35" ht="37.5" customHeight="1">
      <c r="A4" s="821"/>
      <c r="B4" s="821"/>
      <c r="C4" s="821"/>
      <c r="D4" s="821"/>
      <c r="E4" s="821"/>
      <c r="F4" s="26" t="s">
        <v>234</v>
      </c>
      <c r="G4" s="150" t="s">
        <v>235</v>
      </c>
      <c r="H4" s="192"/>
      <c r="I4" s="9"/>
      <c r="J4" s="821"/>
      <c r="K4" s="923"/>
      <c r="L4" s="349"/>
      <c r="M4" s="346"/>
      <c r="N4" s="821"/>
      <c r="O4" s="821"/>
      <c r="P4" s="821"/>
      <c r="Q4" s="821"/>
      <c r="R4" s="821"/>
      <c r="S4" s="164" t="s">
        <v>255</v>
      </c>
      <c r="T4" s="164" t="s">
        <v>241</v>
      </c>
      <c r="U4" s="164" t="s">
        <v>266</v>
      </c>
      <c r="V4" s="821" t="s">
        <v>235</v>
      </c>
      <c r="W4" s="821" t="s">
        <v>488</v>
      </c>
      <c r="X4" s="821"/>
      <c r="Y4" s="821"/>
      <c r="Z4" s="821"/>
      <c r="AA4" s="821"/>
      <c r="AB4" s="821"/>
      <c r="AC4" s="821"/>
      <c r="AD4" s="821"/>
      <c r="AE4" s="821"/>
      <c r="AF4" s="821"/>
      <c r="AG4" s="821"/>
      <c r="AH4" s="821"/>
      <c r="AI4" s="821"/>
    </row>
    <row r="5" spans="1:35" ht="37.5" customHeight="1">
      <c r="A5" s="821"/>
      <c r="B5" s="821"/>
      <c r="C5" s="821"/>
      <c r="D5" s="821"/>
      <c r="E5" s="821"/>
      <c r="F5" s="27" t="s">
        <v>487</v>
      </c>
      <c r="G5" s="141" t="s">
        <v>488</v>
      </c>
      <c r="H5" s="192"/>
      <c r="I5" s="9"/>
      <c r="J5" s="164"/>
      <c r="K5" s="918"/>
      <c r="L5" s="349"/>
      <c r="M5" s="346"/>
      <c r="N5" s="821"/>
      <c r="O5" s="821"/>
      <c r="P5" s="821"/>
      <c r="Q5" s="821"/>
      <c r="R5" s="821"/>
      <c r="S5" s="164" t="s">
        <v>655</v>
      </c>
      <c r="T5" s="164" t="s">
        <v>259</v>
      </c>
      <c r="U5" s="164" t="s">
        <v>274</v>
      </c>
      <c r="V5" s="821" t="s">
        <v>256</v>
      </c>
      <c r="W5" s="821" t="s">
        <v>1007</v>
      </c>
      <c r="X5" s="821"/>
      <c r="Y5" s="821"/>
      <c r="Z5" s="821"/>
      <c r="AA5" s="821"/>
      <c r="AB5" s="821"/>
      <c r="AC5" s="821"/>
      <c r="AD5" s="821"/>
      <c r="AE5" s="821"/>
      <c r="AF5" s="821"/>
      <c r="AG5" s="821"/>
      <c r="AH5" s="821"/>
      <c r="AI5" s="821"/>
    </row>
    <row r="6" spans="1:35" ht="24.95" customHeight="1">
      <c r="A6" s="821"/>
      <c r="B6" s="821"/>
      <c r="C6" s="821"/>
      <c r="D6" s="821"/>
      <c r="E6" s="821"/>
      <c r="F6" s="814"/>
      <c r="G6" s="496"/>
      <c r="H6" s="817"/>
      <c r="I6" s="823"/>
      <c r="J6" s="866"/>
      <c r="K6" s="866"/>
      <c r="L6" s="866"/>
      <c r="M6" s="1441" t="s">
        <v>255</v>
      </c>
      <c r="N6" s="1441"/>
      <c r="O6" s="171" t="s">
        <v>241</v>
      </c>
      <c r="P6" s="164"/>
      <c r="Q6" s="164"/>
      <c r="R6" s="821"/>
      <c r="S6" s="164" t="s">
        <v>656</v>
      </c>
      <c r="T6" s="164" t="s">
        <v>268</v>
      </c>
      <c r="U6" s="821"/>
      <c r="V6" s="821" t="s">
        <v>260</v>
      </c>
      <c r="W6" s="821" t="s">
        <v>1008</v>
      </c>
      <c r="X6" s="821"/>
      <c r="Y6" s="821"/>
      <c r="Z6" s="821"/>
      <c r="AA6" s="821"/>
      <c r="AB6" s="821"/>
      <c r="AC6" s="821"/>
      <c r="AD6" s="821"/>
      <c r="AE6" s="821"/>
      <c r="AF6" s="821"/>
      <c r="AG6" s="821"/>
      <c r="AH6" s="821"/>
      <c r="AI6" s="821"/>
    </row>
    <row r="7" spans="1:35" ht="45" customHeight="1">
      <c r="A7" s="821"/>
      <c r="B7" s="821"/>
      <c r="C7" s="821"/>
      <c r="D7" s="821"/>
      <c r="E7" s="350"/>
      <c r="F7" s="351" t="s">
        <v>243</v>
      </c>
      <c r="G7" s="352" t="s">
        <v>244</v>
      </c>
      <c r="H7" s="353" t="s">
        <v>245</v>
      </c>
      <c r="I7" s="351" t="s">
        <v>246</v>
      </c>
      <c r="J7" s="353" t="s">
        <v>247</v>
      </c>
      <c r="K7" s="354" t="s">
        <v>248</v>
      </c>
      <c r="L7" s="192"/>
      <c r="M7" s="344" t="s">
        <v>657</v>
      </c>
      <c r="N7" s="344" t="s">
        <v>658</v>
      </c>
      <c r="O7" s="355" t="s">
        <v>251</v>
      </c>
      <c r="P7" s="355" t="s">
        <v>252</v>
      </c>
      <c r="Q7" s="355" t="s">
        <v>253</v>
      </c>
      <c r="R7" s="821"/>
      <c r="S7" s="821"/>
      <c r="T7" s="821"/>
      <c r="U7" s="821"/>
      <c r="V7" s="821" t="s">
        <v>269</v>
      </c>
      <c r="W7" s="821" t="s">
        <v>1009</v>
      </c>
      <c r="X7" s="821"/>
      <c r="Y7" s="821"/>
      <c r="Z7" s="821"/>
      <c r="AA7" s="821"/>
      <c r="AB7" s="821"/>
      <c r="AC7" s="821"/>
      <c r="AD7" s="821"/>
      <c r="AE7" s="821"/>
      <c r="AF7" s="821"/>
      <c r="AG7" s="821"/>
      <c r="AH7" s="821"/>
      <c r="AI7" s="821"/>
    </row>
    <row r="8" spans="1:35" ht="45" customHeight="1">
      <c r="A8" s="821"/>
      <c r="B8" s="821"/>
      <c r="C8" s="821"/>
      <c r="D8" s="821"/>
      <c r="E8" s="821"/>
      <c r="F8" s="1350" t="s">
        <v>659</v>
      </c>
      <c r="G8" s="1371"/>
      <c r="H8" s="1371"/>
      <c r="I8" s="1371"/>
      <c r="J8" s="356"/>
      <c r="K8" s="357"/>
      <c r="L8" s="192"/>
      <c r="M8" s="358"/>
      <c r="N8" s="358"/>
      <c r="O8" s="359"/>
      <c r="P8" s="359"/>
      <c r="Q8" s="359"/>
      <c r="R8" s="192"/>
      <c r="S8" s="821"/>
      <c r="T8" s="192"/>
      <c r="U8" s="192"/>
      <c r="V8" s="192"/>
      <c r="W8" s="192"/>
      <c r="X8" s="192"/>
      <c r="Y8" s="192"/>
      <c r="Z8" s="192"/>
      <c r="AA8" s="192"/>
      <c r="AB8" s="192"/>
      <c r="AC8" s="192"/>
      <c r="AD8" s="192"/>
      <c r="AE8" s="192"/>
      <c r="AF8" s="192"/>
      <c r="AG8" s="192"/>
      <c r="AH8" s="192"/>
      <c r="AI8" s="192"/>
    </row>
    <row r="9" spans="1:35" ht="45" customHeight="1">
      <c r="A9" s="821"/>
      <c r="B9" s="821"/>
      <c r="C9" s="821"/>
      <c r="D9" s="821"/>
      <c r="E9" s="821"/>
      <c r="F9" s="360" t="s">
        <v>1010</v>
      </c>
      <c r="G9" s="361" t="s">
        <v>257</v>
      </c>
      <c r="H9" s="871">
        <v>1.1000000000000001</v>
      </c>
      <c r="I9" s="872" t="s">
        <v>492</v>
      </c>
      <c r="J9" s="873">
        <v>1</v>
      </c>
      <c r="K9" s="482"/>
      <c r="L9" s="192"/>
      <c r="M9" s="810"/>
      <c r="N9" s="844"/>
      <c r="O9" s="455"/>
      <c r="P9" s="924" t="str">
        <f t="shared" ref="P9:P24" si="0">IF(ISBLANK($K9)=FALSE,IF(M9="","No","Yes"),"")</f>
        <v/>
      </c>
      <c r="Q9" s="924" t="str">
        <f t="shared" ref="Q9:Q24" si="1">IF(ISBLANK($K9)=FALSE,IF(N9="","No","Yes"),"")</f>
        <v/>
      </c>
      <c r="R9" s="192"/>
      <c r="S9" s="821"/>
      <c r="T9" s="192"/>
      <c r="U9" s="192"/>
      <c r="V9" s="192"/>
      <c r="W9" s="192"/>
      <c r="X9" s="192"/>
      <c r="Y9" s="192"/>
      <c r="Z9" s="192"/>
      <c r="AA9" s="192"/>
      <c r="AB9" s="192"/>
      <c r="AC9" s="192"/>
      <c r="AD9" s="192"/>
      <c r="AE9" s="192"/>
      <c r="AF9" s="192"/>
      <c r="AG9" s="192"/>
      <c r="AH9" s="192"/>
      <c r="AI9" s="192"/>
    </row>
    <row r="10" spans="1:35" ht="45" customHeight="1">
      <c r="A10" s="821"/>
      <c r="B10" s="821"/>
      <c r="C10" s="821"/>
      <c r="D10" s="821"/>
      <c r="E10" s="821"/>
      <c r="F10" s="1341" t="s">
        <v>1011</v>
      </c>
      <c r="G10" s="1424" t="s">
        <v>669</v>
      </c>
      <c r="H10" s="871">
        <v>2.1</v>
      </c>
      <c r="I10" s="872" t="s">
        <v>1012</v>
      </c>
      <c r="J10" s="873">
        <v>1</v>
      </c>
      <c r="K10" s="482"/>
      <c r="L10" s="192"/>
      <c r="M10" s="810"/>
      <c r="N10" s="844"/>
      <c r="O10" s="455"/>
      <c r="P10" s="924" t="str">
        <f t="shared" si="0"/>
        <v/>
      </c>
      <c r="Q10" s="924" t="str">
        <f t="shared" si="1"/>
        <v/>
      </c>
      <c r="R10" s="192"/>
      <c r="S10" s="192"/>
      <c r="T10" s="192"/>
      <c r="U10" s="192"/>
      <c r="V10" s="192"/>
      <c r="W10" s="192"/>
      <c r="X10" s="192"/>
      <c r="Y10" s="192"/>
      <c r="Z10" s="192"/>
      <c r="AA10" s="192"/>
      <c r="AB10" s="192"/>
      <c r="AC10" s="192"/>
      <c r="AD10" s="192"/>
      <c r="AE10" s="192"/>
      <c r="AF10" s="192"/>
      <c r="AG10" s="192"/>
      <c r="AH10" s="192"/>
      <c r="AI10" s="192"/>
    </row>
    <row r="11" spans="1:35" ht="45" customHeight="1">
      <c r="A11" s="821"/>
      <c r="B11" s="821"/>
      <c r="C11" s="821"/>
      <c r="D11" s="821"/>
      <c r="E11" s="821"/>
      <c r="F11" s="1351"/>
      <c r="G11" s="1425"/>
      <c r="H11" s="871">
        <v>2.2000000000000002</v>
      </c>
      <c r="I11" s="872" t="str">
        <f>IF($G$5=$W$5,"Global Reporting Initiatives (GRI)","Sustainability Reporting (Core)")</f>
        <v>Sustainability Reporting (Core)</v>
      </c>
      <c r="J11" s="873">
        <f>IF($G$5=$W$5,2,1)</f>
        <v>1</v>
      </c>
      <c r="K11" s="482"/>
      <c r="L11" s="192"/>
      <c r="M11" s="810"/>
      <c r="N11" s="844"/>
      <c r="O11" s="455"/>
      <c r="P11" s="924" t="str">
        <f t="shared" si="0"/>
        <v/>
      </c>
      <c r="Q11" s="924" t="str">
        <f t="shared" si="1"/>
        <v/>
      </c>
      <c r="R11" s="192"/>
      <c r="S11" s="192"/>
      <c r="T11" s="192"/>
      <c r="U11" s="192"/>
      <c r="V11" s="192"/>
      <c r="W11" s="192"/>
      <c r="X11" s="192"/>
      <c r="Y11" s="192"/>
      <c r="Z11" s="192"/>
      <c r="AA11" s="192"/>
      <c r="AB11" s="192"/>
      <c r="AC11" s="192"/>
      <c r="AD11" s="192"/>
      <c r="AE11" s="192"/>
      <c r="AF11" s="192"/>
      <c r="AG11" s="192"/>
      <c r="AH11" s="192"/>
      <c r="AI11" s="192"/>
    </row>
    <row r="12" spans="1:35" ht="45" customHeight="1">
      <c r="A12" s="821"/>
      <c r="B12" s="821"/>
      <c r="C12" s="821"/>
      <c r="D12" s="821"/>
      <c r="E12" s="821"/>
      <c r="F12" s="1355"/>
      <c r="G12" s="1426"/>
      <c r="H12" s="871">
        <v>2.2999999999999998</v>
      </c>
      <c r="I12" s="872" t="str">
        <f>IF($G$5=$W$5,"GRI project level reporting","Sustainability Reporting (Comprehensive)")</f>
        <v>Sustainability Reporting (Comprehensive)</v>
      </c>
      <c r="J12" s="873">
        <f>IF($G$5=$W$4,3,2)</f>
        <v>3</v>
      </c>
      <c r="K12" s="482"/>
      <c r="L12" s="192"/>
      <c r="M12" s="810"/>
      <c r="N12" s="844"/>
      <c r="O12" s="455"/>
      <c r="P12" s="924" t="str">
        <f t="shared" si="0"/>
        <v/>
      </c>
      <c r="Q12" s="924" t="str">
        <f t="shared" si="1"/>
        <v/>
      </c>
      <c r="R12" s="192"/>
      <c r="S12" s="192"/>
      <c r="T12" s="192"/>
      <c r="U12" s="192"/>
      <c r="V12" s="192"/>
      <c r="W12" s="192"/>
      <c r="X12" s="192"/>
      <c r="Y12" s="192"/>
      <c r="Z12" s="192"/>
      <c r="AA12" s="192"/>
      <c r="AB12" s="192"/>
      <c r="AC12" s="192"/>
      <c r="AD12" s="192"/>
      <c r="AE12" s="192"/>
      <c r="AF12" s="192"/>
      <c r="AG12" s="192"/>
      <c r="AH12" s="192"/>
      <c r="AI12" s="192"/>
    </row>
    <row r="13" spans="1:35" ht="45" customHeight="1">
      <c r="A13" s="821"/>
      <c r="B13" s="821"/>
      <c r="C13" s="821"/>
      <c r="D13" s="821"/>
      <c r="E13" s="821"/>
      <c r="F13" s="1341" t="s">
        <v>1013</v>
      </c>
      <c r="G13" s="1424" t="s">
        <v>672</v>
      </c>
      <c r="H13" s="871">
        <v>3.1</v>
      </c>
      <c r="I13" s="872" t="s">
        <v>675</v>
      </c>
      <c r="J13" s="873">
        <v>1</v>
      </c>
      <c r="K13" s="482"/>
      <c r="L13" s="192"/>
      <c r="M13" s="810"/>
      <c r="N13" s="844"/>
      <c r="O13" s="455"/>
      <c r="P13" s="924" t="str">
        <f t="shared" si="0"/>
        <v/>
      </c>
      <c r="Q13" s="924" t="str">
        <f t="shared" si="1"/>
        <v/>
      </c>
      <c r="R13" s="192"/>
      <c r="S13" s="192"/>
      <c r="T13" s="192"/>
      <c r="U13" s="192"/>
      <c r="V13" s="192"/>
      <c r="W13" s="192"/>
      <c r="X13" s="192"/>
      <c r="Y13" s="192"/>
      <c r="Z13" s="192"/>
      <c r="AA13" s="192"/>
      <c r="AB13" s="192"/>
      <c r="AC13" s="192"/>
      <c r="AD13" s="192"/>
      <c r="AE13" s="192"/>
      <c r="AF13" s="192"/>
      <c r="AG13" s="192"/>
      <c r="AH13" s="192"/>
      <c r="AI13" s="192"/>
    </row>
    <row r="14" spans="1:35" ht="45" customHeight="1">
      <c r="A14" s="821"/>
      <c r="B14" s="821"/>
      <c r="C14" s="821"/>
      <c r="D14" s="821"/>
      <c r="E14" s="821"/>
      <c r="F14" s="1351"/>
      <c r="G14" s="1425"/>
      <c r="H14" s="871">
        <v>3.2</v>
      </c>
      <c r="I14" s="872" t="s">
        <v>1014</v>
      </c>
      <c r="J14" s="873">
        <v>1</v>
      </c>
      <c r="K14" s="482"/>
      <c r="L14" s="192"/>
      <c r="M14" s="810"/>
      <c r="N14" s="844"/>
      <c r="O14" s="455"/>
      <c r="P14" s="924" t="str">
        <f t="shared" si="0"/>
        <v/>
      </c>
      <c r="Q14" s="924" t="str">
        <f t="shared" si="1"/>
        <v/>
      </c>
      <c r="R14" s="192"/>
      <c r="S14" s="192"/>
      <c r="T14" s="192"/>
      <c r="U14" s="192"/>
      <c r="V14" s="192"/>
      <c r="W14" s="192"/>
      <c r="X14" s="192"/>
      <c r="Y14" s="192"/>
      <c r="Z14" s="192"/>
      <c r="AA14" s="192"/>
      <c r="AB14" s="192"/>
      <c r="AC14" s="192"/>
      <c r="AD14" s="192"/>
      <c r="AE14" s="192"/>
      <c r="AF14" s="192"/>
      <c r="AG14" s="192"/>
      <c r="AH14" s="192"/>
      <c r="AI14" s="192"/>
    </row>
    <row r="15" spans="1:35" ht="45" customHeight="1">
      <c r="A15" s="821"/>
      <c r="B15" s="821"/>
      <c r="C15" s="821"/>
      <c r="D15" s="821"/>
      <c r="E15" s="821"/>
      <c r="F15" s="1355"/>
      <c r="G15" s="1426"/>
      <c r="H15" s="871">
        <v>3.3</v>
      </c>
      <c r="I15" s="872" t="s">
        <v>1015</v>
      </c>
      <c r="J15" s="873">
        <v>1</v>
      </c>
      <c r="K15" s="482"/>
      <c r="L15" s="192"/>
      <c r="M15" s="810"/>
      <c r="N15" s="844"/>
      <c r="O15" s="455"/>
      <c r="P15" s="924" t="str">
        <f t="shared" si="0"/>
        <v/>
      </c>
      <c r="Q15" s="924" t="str">
        <f t="shared" si="1"/>
        <v/>
      </c>
      <c r="R15" s="192"/>
      <c r="S15" s="192"/>
      <c r="T15" s="192"/>
      <c r="U15" s="192"/>
      <c r="V15" s="192"/>
      <c r="W15" s="192"/>
      <c r="X15" s="192"/>
      <c r="Y15" s="192"/>
      <c r="Z15" s="192"/>
      <c r="AA15" s="192"/>
      <c r="AB15" s="192"/>
      <c r="AC15" s="192"/>
      <c r="AD15" s="192"/>
      <c r="AE15" s="192"/>
      <c r="AF15" s="192"/>
      <c r="AG15" s="192"/>
      <c r="AH15" s="192"/>
      <c r="AI15" s="192"/>
    </row>
    <row r="16" spans="1:35" ht="45" customHeight="1">
      <c r="A16" s="821"/>
      <c r="B16" s="821"/>
      <c r="C16" s="821"/>
      <c r="D16" s="821"/>
      <c r="E16" s="821"/>
      <c r="F16" s="1341" t="s">
        <v>1016</v>
      </c>
      <c r="G16" s="1424" t="s">
        <v>663</v>
      </c>
      <c r="H16" s="871">
        <v>4.0999999999999996</v>
      </c>
      <c r="I16" s="872" t="s">
        <v>665</v>
      </c>
      <c r="J16" s="873">
        <v>2</v>
      </c>
      <c r="K16" s="482"/>
      <c r="L16" s="192"/>
      <c r="M16" s="810"/>
      <c r="N16" s="844"/>
      <c r="O16" s="455"/>
      <c r="P16" s="924" t="str">
        <f t="shared" si="0"/>
        <v/>
      </c>
      <c r="Q16" s="924" t="str">
        <f t="shared" si="1"/>
        <v/>
      </c>
      <c r="R16" s="192"/>
      <c r="S16" s="192"/>
      <c r="T16" s="192"/>
      <c r="U16" s="192"/>
      <c r="V16" s="192"/>
      <c r="W16" s="192"/>
      <c r="X16" s="192"/>
      <c r="Y16" s="192"/>
      <c r="Z16" s="192"/>
      <c r="AA16" s="192"/>
      <c r="AB16" s="192"/>
      <c r="AC16" s="192"/>
      <c r="AD16" s="192"/>
      <c r="AE16" s="192"/>
      <c r="AF16" s="192"/>
      <c r="AG16" s="192"/>
      <c r="AH16" s="192"/>
      <c r="AI16" s="192"/>
    </row>
    <row r="17" spans="1:35" ht="45" customHeight="1">
      <c r="A17" s="821"/>
      <c r="B17" s="821"/>
      <c r="C17" s="821"/>
      <c r="D17" s="821"/>
      <c r="E17" s="821"/>
      <c r="F17" s="1351"/>
      <c r="G17" s="1425"/>
      <c r="H17" s="871">
        <v>4.2</v>
      </c>
      <c r="I17" s="872" t="s">
        <v>666</v>
      </c>
      <c r="J17" s="873">
        <v>2</v>
      </c>
      <c r="K17" s="482"/>
      <c r="L17" s="192"/>
      <c r="M17" s="810"/>
      <c r="N17" s="844"/>
      <c r="O17" s="455"/>
      <c r="P17" s="924" t="str">
        <f t="shared" si="0"/>
        <v/>
      </c>
      <c r="Q17" s="924" t="str">
        <f t="shared" si="1"/>
        <v/>
      </c>
      <c r="R17" s="192"/>
      <c r="S17" s="192"/>
      <c r="T17" s="192"/>
      <c r="U17" s="192"/>
      <c r="V17" s="192"/>
      <c r="W17" s="192"/>
      <c r="X17" s="192"/>
      <c r="Y17" s="192"/>
      <c r="Z17" s="192"/>
      <c r="AA17" s="192"/>
      <c r="AB17" s="192"/>
      <c r="AC17" s="192"/>
      <c r="AD17" s="192"/>
      <c r="AE17" s="192"/>
      <c r="AF17" s="192"/>
      <c r="AG17" s="192"/>
      <c r="AH17" s="192"/>
      <c r="AI17" s="192"/>
    </row>
    <row r="18" spans="1:35" ht="45" customHeight="1">
      <c r="A18" s="821"/>
      <c r="B18" s="821"/>
      <c r="C18" s="821"/>
      <c r="D18" s="821"/>
      <c r="E18" s="821"/>
      <c r="F18" s="1355"/>
      <c r="G18" s="1425"/>
      <c r="H18" s="871">
        <v>4.3</v>
      </c>
      <c r="I18" s="872" t="s">
        <v>1017</v>
      </c>
      <c r="J18" s="873">
        <v>2</v>
      </c>
      <c r="K18" s="482"/>
      <c r="L18" s="192"/>
      <c r="M18" s="810"/>
      <c r="N18" s="844"/>
      <c r="O18" s="455"/>
      <c r="P18" s="924" t="str">
        <f t="shared" si="0"/>
        <v/>
      </c>
      <c r="Q18" s="924" t="str">
        <f t="shared" si="1"/>
        <v/>
      </c>
      <c r="R18" s="192"/>
      <c r="S18" s="192"/>
      <c r="T18" s="192"/>
      <c r="U18" s="192"/>
      <c r="V18" s="192"/>
      <c r="W18" s="192"/>
      <c r="X18" s="192"/>
      <c r="Y18" s="192"/>
      <c r="Z18" s="192"/>
      <c r="AA18" s="192"/>
      <c r="AB18" s="192"/>
      <c r="AC18" s="192"/>
      <c r="AD18" s="192"/>
      <c r="AE18" s="192"/>
      <c r="AF18" s="192"/>
      <c r="AG18" s="192"/>
      <c r="AH18" s="192"/>
      <c r="AI18" s="192"/>
    </row>
    <row r="19" spans="1:35" ht="45" customHeight="1">
      <c r="A19" s="821"/>
      <c r="B19" s="821"/>
      <c r="C19" s="821"/>
      <c r="D19" s="821"/>
      <c r="E19" s="821"/>
      <c r="F19" s="1345" t="s">
        <v>1018</v>
      </c>
      <c r="G19" s="1424" t="s">
        <v>1019</v>
      </c>
      <c r="H19" s="871">
        <v>5.0999999999999996</v>
      </c>
      <c r="I19" s="872" t="s">
        <v>678</v>
      </c>
      <c r="J19" s="873">
        <v>1</v>
      </c>
      <c r="K19" s="482"/>
      <c r="L19" s="192"/>
      <c r="M19" s="810"/>
      <c r="N19" s="844"/>
      <c r="O19" s="455"/>
      <c r="P19" s="924" t="str">
        <f t="shared" si="0"/>
        <v/>
      </c>
      <c r="Q19" s="924" t="str">
        <f t="shared" si="1"/>
        <v/>
      </c>
      <c r="R19" s="821"/>
      <c r="S19" s="874"/>
      <c r="T19" s="874"/>
      <c r="U19" s="874"/>
      <c r="V19" s="821"/>
      <c r="W19" s="821"/>
      <c r="X19" s="821"/>
      <c r="Y19" s="821"/>
      <c r="Z19" s="821"/>
      <c r="AA19" s="821"/>
      <c r="AB19" s="821"/>
      <c r="AC19" s="821"/>
      <c r="AD19" s="821"/>
      <c r="AE19" s="821"/>
      <c r="AF19" s="821"/>
      <c r="AG19" s="821"/>
      <c r="AH19" s="821"/>
      <c r="AI19" s="821"/>
    </row>
    <row r="20" spans="1:35" ht="45" customHeight="1">
      <c r="A20" s="821"/>
      <c r="B20" s="821"/>
      <c r="C20" s="821"/>
      <c r="D20" s="821"/>
      <c r="E20" s="821"/>
      <c r="F20" s="1443"/>
      <c r="G20" s="1442"/>
      <c r="H20" s="871">
        <v>5.2</v>
      </c>
      <c r="I20" s="872" t="s">
        <v>679</v>
      </c>
      <c r="J20" s="873">
        <v>1</v>
      </c>
      <c r="K20" s="482"/>
      <c r="L20" s="192"/>
      <c r="M20" s="810"/>
      <c r="N20" s="844"/>
      <c r="O20" s="455"/>
      <c r="P20" s="924" t="str">
        <f t="shared" si="0"/>
        <v/>
      </c>
      <c r="Q20" s="924" t="str">
        <f t="shared" si="1"/>
        <v/>
      </c>
      <c r="R20" s="821"/>
      <c r="S20" s="874"/>
      <c r="T20" s="874"/>
      <c r="U20" s="874"/>
      <c r="V20" s="821"/>
      <c r="W20" s="821"/>
      <c r="X20" s="821"/>
      <c r="Y20" s="821"/>
      <c r="Z20" s="821"/>
      <c r="AA20" s="821"/>
      <c r="AB20" s="821"/>
      <c r="AC20" s="821"/>
      <c r="AD20" s="821"/>
      <c r="AE20" s="821"/>
      <c r="AF20" s="821"/>
      <c r="AG20" s="821"/>
      <c r="AH20" s="821"/>
      <c r="AI20" s="821"/>
    </row>
    <row r="21" spans="1:35" ht="45" customHeight="1">
      <c r="A21" s="821"/>
      <c r="B21" s="821"/>
      <c r="C21" s="821"/>
      <c r="D21" s="821"/>
      <c r="E21" s="821"/>
      <c r="F21" s="1345" t="s">
        <v>1020</v>
      </c>
      <c r="G21" s="1424" t="s">
        <v>283</v>
      </c>
      <c r="H21" s="871">
        <v>6.1</v>
      </c>
      <c r="I21" s="872" t="s">
        <v>667</v>
      </c>
      <c r="J21" s="873">
        <v>2</v>
      </c>
      <c r="K21" s="482"/>
      <c r="L21" s="192"/>
      <c r="M21" s="810"/>
      <c r="N21" s="844"/>
      <c r="O21" s="455"/>
      <c r="P21" s="924" t="str">
        <f t="shared" si="0"/>
        <v/>
      </c>
      <c r="Q21" s="924" t="str">
        <f t="shared" si="1"/>
        <v/>
      </c>
      <c r="R21" s="821"/>
      <c r="S21" s="874"/>
      <c r="T21" s="874"/>
      <c r="U21" s="874"/>
      <c r="V21" s="821"/>
      <c r="W21" s="821"/>
      <c r="X21" s="821"/>
      <c r="Y21" s="821"/>
      <c r="Z21" s="821"/>
      <c r="AA21" s="821"/>
      <c r="AB21" s="821"/>
      <c r="AC21" s="821"/>
      <c r="AD21" s="821"/>
      <c r="AE21" s="821"/>
      <c r="AF21" s="821"/>
      <c r="AG21" s="821"/>
      <c r="AH21" s="821"/>
      <c r="AI21" s="821"/>
    </row>
    <row r="22" spans="1:35" ht="45" customHeight="1">
      <c r="A22" s="821"/>
      <c r="B22" s="821"/>
      <c r="C22" s="821"/>
      <c r="D22" s="821"/>
      <c r="E22" s="821"/>
      <c r="F22" s="1443"/>
      <c r="G22" s="1442"/>
      <c r="H22" s="871">
        <v>6.2</v>
      </c>
      <c r="I22" s="872" t="s">
        <v>668</v>
      </c>
      <c r="J22" s="873">
        <v>2</v>
      </c>
      <c r="K22" s="482"/>
      <c r="L22" s="192"/>
      <c r="M22" s="810"/>
      <c r="N22" s="844"/>
      <c r="O22" s="455"/>
      <c r="P22" s="924" t="str">
        <f t="shared" si="0"/>
        <v/>
      </c>
      <c r="Q22" s="924" t="str">
        <f t="shared" si="1"/>
        <v/>
      </c>
      <c r="R22" s="821"/>
      <c r="S22" s="874"/>
      <c r="T22" s="874"/>
      <c r="U22" s="874"/>
      <c r="V22" s="821"/>
      <c r="W22" s="821"/>
      <c r="X22" s="821"/>
      <c r="Y22" s="821"/>
      <c r="Z22" s="821"/>
      <c r="AA22" s="821"/>
      <c r="AB22" s="821"/>
      <c r="AC22" s="821"/>
      <c r="AD22" s="821"/>
      <c r="AE22" s="821"/>
      <c r="AF22" s="821"/>
      <c r="AG22" s="821"/>
      <c r="AH22" s="821"/>
      <c r="AI22" s="821"/>
    </row>
    <row r="23" spans="1:35" ht="45" customHeight="1">
      <c r="A23" s="821"/>
      <c r="B23" s="821"/>
      <c r="C23" s="821"/>
      <c r="D23" s="821"/>
      <c r="E23" s="821"/>
      <c r="F23" s="1345" t="s">
        <v>1021</v>
      </c>
      <c r="G23" s="1424" t="s">
        <v>680</v>
      </c>
      <c r="H23" s="871">
        <v>7.1</v>
      </c>
      <c r="I23" s="872" t="s">
        <v>298</v>
      </c>
      <c r="J23" s="873">
        <v>1</v>
      </c>
      <c r="K23" s="482"/>
      <c r="L23" s="192"/>
      <c r="M23" s="810"/>
      <c r="N23" s="844"/>
      <c r="O23" s="455"/>
      <c r="P23" s="924" t="str">
        <f t="shared" si="0"/>
        <v/>
      </c>
      <c r="Q23" s="924" t="str">
        <f t="shared" si="1"/>
        <v/>
      </c>
      <c r="R23" s="821"/>
      <c r="S23" s="821"/>
      <c r="T23" s="821"/>
      <c r="U23" s="821"/>
      <c r="V23" s="821"/>
      <c r="W23" s="821"/>
      <c r="X23" s="821"/>
      <c r="Y23" s="821"/>
      <c r="Z23" s="821"/>
      <c r="AA23" s="821"/>
      <c r="AB23" s="821"/>
      <c r="AC23" s="821"/>
      <c r="AD23" s="821"/>
      <c r="AE23" s="821"/>
      <c r="AF23" s="821"/>
      <c r="AG23" s="821"/>
      <c r="AH23" s="821"/>
      <c r="AI23" s="821"/>
    </row>
    <row r="24" spans="1:35" ht="37.5" customHeight="1">
      <c r="A24" s="821"/>
      <c r="B24" s="821"/>
      <c r="C24" s="821"/>
      <c r="D24" s="821"/>
      <c r="E24" s="821"/>
      <c r="F24" s="1443"/>
      <c r="G24" s="1442"/>
      <c r="H24" s="871">
        <v>7.2</v>
      </c>
      <c r="I24" s="872" t="s">
        <v>682</v>
      </c>
      <c r="J24" s="873">
        <v>1</v>
      </c>
      <c r="K24" s="482"/>
      <c r="L24" s="192"/>
      <c r="M24" s="810"/>
      <c r="N24" s="844"/>
      <c r="O24" s="455"/>
      <c r="P24" s="924" t="str">
        <f t="shared" si="0"/>
        <v/>
      </c>
      <c r="Q24" s="924" t="str">
        <f t="shared" si="1"/>
        <v/>
      </c>
      <c r="R24" s="821"/>
      <c r="S24" s="821"/>
      <c r="T24" s="821"/>
      <c r="U24" s="821"/>
      <c r="V24" s="821"/>
      <c r="W24" s="821"/>
      <c r="X24" s="821"/>
      <c r="Y24" s="821"/>
      <c r="Z24" s="821"/>
      <c r="AA24" s="821"/>
      <c r="AB24" s="821"/>
      <c r="AC24" s="821"/>
      <c r="AD24" s="821"/>
      <c r="AE24" s="821"/>
      <c r="AF24" s="821"/>
      <c r="AG24" s="821"/>
      <c r="AH24" s="821"/>
      <c r="AI24" s="821"/>
    </row>
    <row r="25" spans="1:35" ht="45" customHeight="1">
      <c r="A25" s="821"/>
      <c r="B25" s="821"/>
      <c r="C25" s="821"/>
      <c r="D25" s="821"/>
      <c r="E25" s="821"/>
      <c r="F25" s="362" t="s">
        <v>305</v>
      </c>
      <c r="G25" s="363"/>
      <c r="H25" s="362"/>
      <c r="I25" s="362"/>
      <c r="J25" s="364">
        <f>SUM(J9:J24)</f>
        <v>23</v>
      </c>
      <c r="K25" s="365">
        <f>SUM(K9:K24)</f>
        <v>0</v>
      </c>
      <c r="L25" s="192"/>
      <c r="M25" s="366"/>
      <c r="N25" s="366"/>
      <c r="O25" s="362"/>
      <c r="P25" s="367"/>
      <c r="Q25" s="367"/>
      <c r="R25" s="821"/>
      <c r="S25" s="821"/>
      <c r="T25" s="821"/>
      <c r="U25" s="821"/>
      <c r="V25" s="821"/>
      <c r="W25" s="821"/>
      <c r="X25" s="821"/>
      <c r="Y25" s="821"/>
      <c r="Z25" s="821"/>
      <c r="AA25" s="821"/>
      <c r="AB25" s="821"/>
      <c r="AC25" s="821"/>
      <c r="AD25" s="821"/>
      <c r="AE25" s="821"/>
      <c r="AF25" s="821"/>
      <c r="AG25" s="821"/>
      <c r="AH25" s="821"/>
      <c r="AI25" s="821"/>
    </row>
    <row r="26" spans="1:35" ht="45" customHeight="1">
      <c r="A26" s="821"/>
      <c r="B26" s="821"/>
      <c r="C26" s="821"/>
      <c r="D26" s="821"/>
      <c r="E26" s="821"/>
      <c r="F26" s="540"/>
      <c r="G26" s="875"/>
      <c r="H26" s="30"/>
      <c r="I26" s="31"/>
      <c r="J26" s="32"/>
      <c r="K26" s="876"/>
      <c r="L26" s="192"/>
      <c r="M26" s="368"/>
      <c r="N26" s="368"/>
      <c r="O26" s="369"/>
      <c r="P26" s="369"/>
      <c r="Q26" s="369"/>
      <c r="R26" s="821"/>
      <c r="S26" s="821"/>
      <c r="T26" s="821"/>
      <c r="U26" s="821"/>
      <c r="V26" s="821"/>
      <c r="W26" s="821"/>
      <c r="X26" s="821"/>
      <c r="Y26" s="821"/>
      <c r="Z26" s="821"/>
      <c r="AA26" s="821"/>
      <c r="AB26" s="821"/>
      <c r="AC26" s="821"/>
      <c r="AD26" s="821"/>
      <c r="AE26" s="821"/>
      <c r="AF26" s="821"/>
      <c r="AG26" s="821"/>
      <c r="AH26" s="821"/>
      <c r="AI26" s="821"/>
    </row>
    <row r="27" spans="1:35" ht="45" customHeight="1">
      <c r="A27" s="821">
        <v>1</v>
      </c>
      <c r="B27" s="821">
        <f>IF(C27=TRUE,A27,0)</f>
        <v>0</v>
      </c>
      <c r="C27" s="821" t="b">
        <v>0</v>
      </c>
      <c r="D27" s="821"/>
      <c r="E27" s="822"/>
      <c r="F27" s="1363" t="s">
        <v>1022</v>
      </c>
      <c r="G27" s="1364"/>
      <c r="H27" s="1364"/>
      <c r="I27" s="1364"/>
      <c r="J27" s="358"/>
      <c r="K27" s="370"/>
      <c r="L27" s="192"/>
      <c r="M27" s="371"/>
      <c r="N27" s="371"/>
      <c r="O27" s="372"/>
      <c r="P27" s="372"/>
      <c r="Q27" s="372"/>
      <c r="R27" s="821"/>
      <c r="S27" s="821"/>
      <c r="T27" s="821"/>
      <c r="U27" s="821"/>
      <c r="V27" s="821"/>
      <c r="W27" s="821"/>
      <c r="X27" s="821"/>
      <c r="Y27" s="821"/>
      <c r="Z27" s="821"/>
      <c r="AA27" s="821"/>
      <c r="AB27" s="821"/>
      <c r="AC27" s="821"/>
      <c r="AD27" s="821"/>
      <c r="AE27" s="821"/>
      <c r="AF27" s="821"/>
      <c r="AG27" s="821"/>
      <c r="AH27" s="821"/>
      <c r="AI27" s="821"/>
    </row>
    <row r="28" spans="1:35" ht="45" customHeight="1">
      <c r="A28" s="821"/>
      <c r="B28" s="821"/>
      <c r="C28" s="821"/>
      <c r="D28" s="821"/>
      <c r="E28" s="822"/>
      <c r="F28" s="1341" t="s">
        <v>1023</v>
      </c>
      <c r="G28" s="1424" t="str">
        <f>IF($G$5=$W$5,"Site Selection","")</f>
        <v/>
      </c>
      <c r="H28" s="871" t="str">
        <f>IF($G$5=$W$5,1.1,"")</f>
        <v/>
      </c>
      <c r="I28" s="877" t="str">
        <f>IF($G$5=$W$5,"Previously Developed Land","-")</f>
        <v>-</v>
      </c>
      <c r="J28" s="873">
        <f>IF($G$5=$W$5,1,0)</f>
        <v>0</v>
      </c>
      <c r="K28" s="482"/>
      <c r="L28" s="192"/>
      <c r="M28" s="810"/>
      <c r="N28" s="844"/>
      <c r="O28" s="455"/>
      <c r="P28" s="924" t="str">
        <f t="shared" ref="P28:Q32" si="2">IF(ISBLANK($K28)=FALSE,IF(M28="","No","Yes"),"")</f>
        <v/>
      </c>
      <c r="Q28" s="924" t="str">
        <f t="shared" si="2"/>
        <v/>
      </c>
      <c r="R28" s="821"/>
      <c r="S28" s="821"/>
      <c r="T28" s="821"/>
      <c r="U28" s="821"/>
      <c r="V28" s="821"/>
      <c r="W28" s="821"/>
      <c r="X28" s="821"/>
      <c r="Y28" s="821"/>
      <c r="Z28" s="821"/>
      <c r="AA28" s="821"/>
      <c r="AB28" s="821"/>
      <c r="AC28" s="821"/>
      <c r="AD28" s="821"/>
      <c r="AE28" s="821"/>
      <c r="AF28" s="821"/>
      <c r="AG28" s="821"/>
      <c r="AH28" s="821"/>
      <c r="AI28" s="821"/>
    </row>
    <row r="29" spans="1:35" ht="45" customHeight="1">
      <c r="A29" s="821">
        <v>2</v>
      </c>
      <c r="B29" s="821">
        <f t="shared" ref="B29:B42" si="3">IF(C29=TRUE,A29,0)</f>
        <v>0</v>
      </c>
      <c r="C29" s="821" t="b">
        <v>0</v>
      </c>
      <c r="D29" s="821"/>
      <c r="E29" s="821"/>
      <c r="F29" s="1355"/>
      <c r="G29" s="1426"/>
      <c r="H29" s="871" t="str">
        <f>IF($G$5=$W$5,1.2,"")</f>
        <v/>
      </c>
      <c r="I29" s="877" t="str">
        <f>IF($G$5=$W$5,"Site Decontamination","-")</f>
        <v>-</v>
      </c>
      <c r="J29" s="873">
        <f>IF($G$5=$W$5,1,0)</f>
        <v>0</v>
      </c>
      <c r="K29" s="482"/>
      <c r="L29" s="192"/>
      <c r="M29" s="810"/>
      <c r="N29" s="844"/>
      <c r="O29" s="455"/>
      <c r="P29" s="924" t="str">
        <f t="shared" si="2"/>
        <v/>
      </c>
      <c r="Q29" s="924" t="str">
        <f t="shared" si="2"/>
        <v/>
      </c>
      <c r="R29" s="821"/>
      <c r="S29" s="821"/>
      <c r="T29" s="821"/>
      <c r="U29" s="821"/>
      <c r="V29" s="821"/>
      <c r="W29" s="821"/>
      <c r="X29" s="821"/>
      <c r="Y29" s="821"/>
      <c r="Z29" s="821"/>
      <c r="AA29" s="821"/>
      <c r="AB29" s="821"/>
      <c r="AC29" s="821"/>
      <c r="AD29" s="821"/>
      <c r="AE29" s="821"/>
      <c r="AF29" s="821"/>
      <c r="AG29" s="821"/>
      <c r="AH29" s="821"/>
      <c r="AI29" s="821"/>
    </row>
    <row r="30" spans="1:35" ht="45" customHeight="1">
      <c r="A30" s="821">
        <v>1</v>
      </c>
      <c r="B30" s="821">
        <f t="shared" si="3"/>
        <v>0</v>
      </c>
      <c r="C30" s="821" t="b">
        <v>0</v>
      </c>
      <c r="D30" s="821"/>
      <c r="E30" s="821"/>
      <c r="F30" s="373" t="s">
        <v>1024</v>
      </c>
      <c r="G30" s="374" t="str">
        <f>IF($G$5=$W$5,"Site and Context Analysis","Context Analysis")</f>
        <v>Context Analysis</v>
      </c>
      <c r="H30" s="871">
        <f>IF($G$5=$W$5,2.1,1.1)</f>
        <v>1.1000000000000001</v>
      </c>
      <c r="I30" s="872" t="str">
        <f>IF($G$5=$W$5,"Site and context Analysis","Context Analysis")</f>
        <v>Context Analysis</v>
      </c>
      <c r="J30" s="873">
        <v>2</v>
      </c>
      <c r="K30" s="482"/>
      <c r="L30" s="192"/>
      <c r="M30" s="810"/>
      <c r="N30" s="844"/>
      <c r="O30" s="455"/>
      <c r="P30" s="924" t="str">
        <f t="shared" si="2"/>
        <v/>
      </c>
      <c r="Q30" s="924" t="str">
        <f t="shared" si="2"/>
        <v/>
      </c>
      <c r="R30" s="821"/>
      <c r="S30" s="821"/>
      <c r="T30" s="821"/>
      <c r="U30" s="821"/>
      <c r="V30" s="821"/>
      <c r="W30" s="821"/>
      <c r="X30" s="821"/>
      <c r="Y30" s="821"/>
      <c r="Z30" s="821"/>
      <c r="AA30" s="821"/>
      <c r="AB30" s="821"/>
      <c r="AC30" s="821"/>
      <c r="AD30" s="821"/>
      <c r="AE30" s="821"/>
      <c r="AF30" s="821"/>
      <c r="AG30" s="821"/>
      <c r="AH30" s="821"/>
      <c r="AI30" s="821"/>
    </row>
    <row r="31" spans="1:35" ht="45" customHeight="1">
      <c r="A31" s="821"/>
      <c r="B31" s="821"/>
      <c r="C31" s="821"/>
      <c r="D31" s="821"/>
      <c r="E31" s="821"/>
      <c r="F31" s="1341" t="s">
        <v>1025</v>
      </c>
      <c r="G31" s="1424" t="str">
        <f>IF($G$5=$W$5,"Site Planning and Layout","Design Review")</f>
        <v>Design Review</v>
      </c>
      <c r="H31" s="871">
        <f>IF($G$5=$W$5,3.1,2.1)</f>
        <v>2.1</v>
      </c>
      <c r="I31" s="877" t="s">
        <v>661</v>
      </c>
      <c r="J31" s="873">
        <f>IF($G$5=$W$5,3,4)</f>
        <v>4</v>
      </c>
      <c r="K31" s="482"/>
      <c r="L31" s="192"/>
      <c r="M31" s="810"/>
      <c r="N31" s="844"/>
      <c r="O31" s="455"/>
      <c r="P31" s="924" t="str">
        <f t="shared" si="2"/>
        <v/>
      </c>
      <c r="Q31" s="924" t="str">
        <f t="shared" si="2"/>
        <v/>
      </c>
      <c r="R31" s="821"/>
      <c r="S31" s="821"/>
      <c r="T31" s="821"/>
      <c r="U31" s="821"/>
      <c r="V31" s="821"/>
      <c r="W31" s="821"/>
      <c r="X31" s="821"/>
      <c r="Y31" s="821"/>
      <c r="Z31" s="821"/>
      <c r="AA31" s="821"/>
      <c r="AB31" s="821"/>
      <c r="AC31" s="821"/>
      <c r="AD31" s="821"/>
      <c r="AE31" s="821"/>
      <c r="AF31" s="821"/>
      <c r="AG31" s="821"/>
      <c r="AH31" s="821"/>
      <c r="AI31" s="821"/>
    </row>
    <row r="32" spans="1:35" ht="45" customHeight="1">
      <c r="A32" s="821">
        <v>1</v>
      </c>
      <c r="B32" s="821">
        <f t="shared" si="3"/>
        <v>0</v>
      </c>
      <c r="C32" s="821" t="b">
        <v>0</v>
      </c>
      <c r="D32" s="821"/>
      <c r="E32" s="821"/>
      <c r="F32" s="1355"/>
      <c r="G32" s="1426"/>
      <c r="H32" s="871">
        <f>IF($G$5=$W$5,"",2.2)</f>
        <v>2.2000000000000002</v>
      </c>
      <c r="I32" s="877" t="str">
        <f>IF($G$5=$W$5,"-","Urban Design")</f>
        <v>Urban Design</v>
      </c>
      <c r="J32" s="873">
        <f>IF($G$5=$W$5,0,4)</f>
        <v>4</v>
      </c>
      <c r="K32" s="482"/>
      <c r="L32" s="192"/>
      <c r="M32" s="810"/>
      <c r="N32" s="844"/>
      <c r="O32" s="455"/>
      <c r="P32" s="924" t="str">
        <f t="shared" si="2"/>
        <v/>
      </c>
      <c r="Q32" s="924"/>
      <c r="R32" s="821"/>
      <c r="S32" s="821"/>
      <c r="T32" s="821"/>
      <c r="U32" s="821"/>
      <c r="V32" s="821"/>
      <c r="W32" s="821"/>
      <c r="X32" s="821"/>
      <c r="Y32" s="821"/>
      <c r="Z32" s="821"/>
      <c r="AA32" s="821"/>
      <c r="AB32" s="821"/>
      <c r="AC32" s="821"/>
      <c r="AD32" s="821"/>
      <c r="AE32" s="821"/>
      <c r="AF32" s="821"/>
      <c r="AG32" s="821"/>
      <c r="AH32" s="821"/>
      <c r="AI32" s="821"/>
    </row>
    <row r="33" spans="1:17" ht="45" customHeight="1">
      <c r="A33" s="821">
        <v>1</v>
      </c>
      <c r="B33" s="821">
        <f t="shared" si="3"/>
        <v>0</v>
      </c>
      <c r="C33" s="821" t="b">
        <v>0</v>
      </c>
      <c r="D33" s="821"/>
      <c r="E33" s="821"/>
      <c r="F33" s="360" t="s">
        <v>1026</v>
      </c>
      <c r="G33" s="375" t="str">
        <f>IF($G$5=$W$5,"Urban Design","")</f>
        <v/>
      </c>
      <c r="H33" s="871" t="str">
        <f>IF($G$5=$W$5,4.1,"")</f>
        <v/>
      </c>
      <c r="I33" s="877" t="str">
        <f>IF($G$5=$W$5,"Urban Design","-")</f>
        <v>-</v>
      </c>
      <c r="J33" s="873">
        <f>IF($G$5=$W$5,4,0)</f>
        <v>0</v>
      </c>
      <c r="K33" s="482"/>
      <c r="L33" s="192"/>
      <c r="M33" s="810"/>
      <c r="N33" s="844"/>
      <c r="O33" s="455"/>
      <c r="P33" s="924" t="str">
        <f>IF(ISBLANK($K33)=FALSE,IF(M33="","No","Yes"),"")</f>
        <v/>
      </c>
      <c r="Q33" s="924" t="str">
        <f>IF(ISBLANK($K33)=FALSE,IF(N33="","No","Yes"),"")</f>
        <v/>
      </c>
    </row>
    <row r="34" spans="1:17" ht="45" customHeight="1">
      <c r="A34" s="821"/>
      <c r="B34" s="821"/>
      <c r="C34" s="821"/>
      <c r="D34" s="821"/>
      <c r="E34" s="821"/>
      <c r="F34" s="362" t="s">
        <v>305</v>
      </c>
      <c r="G34" s="363"/>
      <c r="H34" s="362"/>
      <c r="I34" s="362"/>
      <c r="J34" s="376">
        <f>SUM(J28:J33)</f>
        <v>10</v>
      </c>
      <c r="K34" s="463">
        <f>SUM(K28:K33)</f>
        <v>0</v>
      </c>
      <c r="L34" s="192"/>
      <c r="M34" s="366"/>
      <c r="N34" s="366"/>
      <c r="O34" s="362"/>
      <c r="P34" s="367"/>
      <c r="Q34" s="367"/>
    </row>
    <row r="35" spans="1:17" ht="45" customHeight="1">
      <c r="A35" s="821">
        <v>1</v>
      </c>
      <c r="B35" s="821">
        <f t="shared" si="3"/>
        <v>0</v>
      </c>
      <c r="C35" s="821" t="b">
        <v>0</v>
      </c>
      <c r="D35" s="821"/>
      <c r="E35" s="821"/>
      <c r="F35" s="828"/>
      <c r="G35" s="531"/>
      <c r="H35" s="817"/>
      <c r="I35" s="828"/>
      <c r="J35" s="817"/>
      <c r="K35" s="866"/>
      <c r="L35" s="192"/>
      <c r="M35" s="377"/>
      <c r="N35" s="377"/>
      <c r="O35" s="378"/>
      <c r="P35" s="538"/>
      <c r="Q35" s="538"/>
    </row>
    <row r="36" spans="1:17" ht="45" customHeight="1">
      <c r="A36" s="821"/>
      <c r="B36" s="821"/>
      <c r="C36" s="821"/>
      <c r="D36" s="821"/>
      <c r="E36" s="821"/>
      <c r="F36" s="1350" t="s">
        <v>1027</v>
      </c>
      <c r="G36" s="1350"/>
      <c r="H36" s="1350"/>
      <c r="I36" s="1350"/>
      <c r="J36" s="356"/>
      <c r="K36" s="370"/>
      <c r="L36" s="192"/>
      <c r="M36" s="379"/>
      <c r="N36" s="379"/>
      <c r="O36" s="372"/>
      <c r="P36" s="372"/>
      <c r="Q36" s="372"/>
    </row>
    <row r="37" spans="1:17" ht="45" customHeight="1">
      <c r="A37" s="821">
        <v>1</v>
      </c>
      <c r="B37" s="821">
        <f t="shared" si="3"/>
        <v>0</v>
      </c>
      <c r="C37" s="821" t="b">
        <v>0</v>
      </c>
      <c r="D37" s="821"/>
      <c r="E37" s="821"/>
      <c r="F37" s="373" t="s">
        <v>1028</v>
      </c>
      <c r="G37" s="374" t="s">
        <v>1029</v>
      </c>
      <c r="H37" s="925">
        <v>1.1000000000000001</v>
      </c>
      <c r="I37" s="880" t="s">
        <v>1029</v>
      </c>
      <c r="J37" s="879">
        <v>2</v>
      </c>
      <c r="K37" s="482"/>
      <c r="L37" s="192"/>
      <c r="M37" s="810"/>
      <c r="N37" s="844"/>
      <c r="O37" s="455"/>
      <c r="P37" s="924" t="str">
        <f t="shared" ref="P37:P55" si="4">IF(ISBLANK($K37)=FALSE,IF(M37="","No","Yes"),"")</f>
        <v/>
      </c>
      <c r="Q37" s="924" t="str">
        <f t="shared" ref="Q37:Q55" si="5">IF(ISBLANK($K37)=FALSE,IF(N37="","No","Yes"),"")</f>
        <v/>
      </c>
    </row>
    <row r="38" spans="1:17" ht="45" customHeight="1">
      <c r="A38" s="821"/>
      <c r="B38" s="821"/>
      <c r="C38" s="821"/>
      <c r="D38" s="821"/>
      <c r="E38" s="821"/>
      <c r="F38" s="1341" t="s">
        <v>1030</v>
      </c>
      <c r="G38" s="1424" t="s">
        <v>690</v>
      </c>
      <c r="H38" s="926">
        <v>2</v>
      </c>
      <c r="I38" s="872" t="s">
        <v>692</v>
      </c>
      <c r="J38" s="881" t="s">
        <v>264</v>
      </c>
      <c r="K38" s="824"/>
      <c r="L38" s="192"/>
      <c r="M38" s="810"/>
      <c r="N38" s="844"/>
      <c r="O38" s="455"/>
      <c r="P38" s="924" t="str">
        <f t="shared" si="4"/>
        <v/>
      </c>
      <c r="Q38" s="924" t="str">
        <f t="shared" si="5"/>
        <v/>
      </c>
    </row>
    <row r="39" spans="1:17" ht="45" customHeight="1">
      <c r="A39" s="821">
        <v>2</v>
      </c>
      <c r="B39" s="821">
        <f t="shared" si="3"/>
        <v>0</v>
      </c>
      <c r="C39" s="821" t="b">
        <v>0</v>
      </c>
      <c r="D39" s="821"/>
      <c r="E39" s="821"/>
      <c r="F39" s="1351"/>
      <c r="G39" s="1425"/>
      <c r="H39" s="881">
        <v>2.1</v>
      </c>
      <c r="I39" s="877" t="s">
        <v>693</v>
      </c>
      <c r="J39" s="881">
        <v>1</v>
      </c>
      <c r="K39" s="482"/>
      <c r="L39" s="192"/>
      <c r="M39" s="810"/>
      <c r="N39" s="844"/>
      <c r="O39" s="455"/>
      <c r="P39" s="924" t="str">
        <f t="shared" si="4"/>
        <v/>
      </c>
      <c r="Q39" s="924" t="str">
        <f t="shared" si="5"/>
        <v/>
      </c>
    </row>
    <row r="40" spans="1:17" ht="45" customHeight="1">
      <c r="A40" s="821">
        <v>1</v>
      </c>
      <c r="B40" s="821">
        <f t="shared" si="3"/>
        <v>0</v>
      </c>
      <c r="C40" s="821" t="b">
        <v>0</v>
      </c>
      <c r="D40" s="821"/>
      <c r="E40" s="821"/>
      <c r="F40" s="1351"/>
      <c r="G40" s="1425"/>
      <c r="H40" s="881">
        <v>2.2000000000000002</v>
      </c>
      <c r="I40" s="877" t="s">
        <v>694</v>
      </c>
      <c r="J40" s="881">
        <v>1</v>
      </c>
      <c r="K40" s="482"/>
      <c r="L40" s="192"/>
      <c r="M40" s="810"/>
      <c r="N40" s="844"/>
      <c r="O40" s="455"/>
      <c r="P40" s="924" t="str">
        <f t="shared" si="4"/>
        <v/>
      </c>
      <c r="Q40" s="924" t="str">
        <f t="shared" si="5"/>
        <v/>
      </c>
    </row>
    <row r="41" spans="1:17" ht="45" customHeight="1">
      <c r="A41" s="821">
        <v>1</v>
      </c>
      <c r="B41" s="821">
        <f t="shared" si="3"/>
        <v>0</v>
      </c>
      <c r="C41" s="821" t="b">
        <v>0</v>
      </c>
      <c r="D41" s="821"/>
      <c r="E41" s="821"/>
      <c r="F41" s="1351"/>
      <c r="G41" s="1425"/>
      <c r="H41" s="881">
        <v>2.2999999999999998</v>
      </c>
      <c r="I41" s="877" t="s">
        <v>695</v>
      </c>
      <c r="J41" s="881">
        <v>1</v>
      </c>
      <c r="K41" s="482"/>
      <c r="L41" s="192"/>
      <c r="M41" s="810"/>
      <c r="N41" s="844"/>
      <c r="O41" s="455"/>
      <c r="P41" s="924" t="str">
        <f t="shared" si="4"/>
        <v/>
      </c>
      <c r="Q41" s="924" t="str">
        <f t="shared" si="5"/>
        <v/>
      </c>
    </row>
    <row r="42" spans="1:17" ht="45" customHeight="1">
      <c r="A42" s="821">
        <v>1</v>
      </c>
      <c r="B42" s="821">
        <f t="shared" si="3"/>
        <v>0</v>
      </c>
      <c r="C42" s="821" t="b">
        <v>0</v>
      </c>
      <c r="D42" s="821"/>
      <c r="E42" s="821"/>
      <c r="F42" s="1355"/>
      <c r="G42" s="1426"/>
      <c r="H42" s="881">
        <v>2.4</v>
      </c>
      <c r="I42" s="877" t="s">
        <v>696</v>
      </c>
      <c r="J42" s="881">
        <v>2</v>
      </c>
      <c r="K42" s="482"/>
      <c r="L42" s="192"/>
      <c r="M42" s="810"/>
      <c r="N42" s="844"/>
      <c r="O42" s="455"/>
      <c r="P42" s="924" t="str">
        <f t="shared" si="4"/>
        <v/>
      </c>
      <c r="Q42" s="924" t="str">
        <f t="shared" si="5"/>
        <v/>
      </c>
    </row>
    <row r="43" spans="1:17" ht="45" customHeight="1">
      <c r="A43" s="821"/>
      <c r="B43" s="821"/>
      <c r="C43" s="821"/>
      <c r="D43" s="821"/>
      <c r="E43" s="821"/>
      <c r="F43" s="1341" t="s">
        <v>1031</v>
      </c>
      <c r="G43" s="1424" t="s">
        <v>684</v>
      </c>
      <c r="H43" s="871">
        <v>3</v>
      </c>
      <c r="I43" s="877" t="s">
        <v>686</v>
      </c>
      <c r="J43" s="881" t="s">
        <v>264</v>
      </c>
      <c r="K43" s="482"/>
      <c r="L43" s="192"/>
      <c r="M43" s="810"/>
      <c r="N43" s="844"/>
      <c r="O43" s="455"/>
      <c r="P43" s="924" t="str">
        <f t="shared" si="4"/>
        <v/>
      </c>
      <c r="Q43" s="924" t="str">
        <f t="shared" si="5"/>
        <v/>
      </c>
    </row>
    <row r="44" spans="1:17" ht="45" customHeight="1">
      <c r="A44" s="821"/>
      <c r="B44" s="821"/>
      <c r="C44" s="821"/>
      <c r="D44" s="821"/>
      <c r="E44" s="821"/>
      <c r="F44" s="1351"/>
      <c r="G44" s="1425"/>
      <c r="H44" s="871">
        <v>3.1</v>
      </c>
      <c r="I44" s="877" t="str">
        <f>IF($G$5=$W$5,"Active Transport","Active Lifestyle")</f>
        <v>Active Lifestyle</v>
      </c>
      <c r="J44" s="881">
        <v>2</v>
      </c>
      <c r="K44" s="482"/>
      <c r="L44" s="192"/>
      <c r="M44" s="810"/>
      <c r="N44" s="844"/>
      <c r="O44" s="455"/>
      <c r="P44" s="924" t="str">
        <f t="shared" si="4"/>
        <v/>
      </c>
      <c r="Q44" s="924" t="str">
        <f t="shared" si="5"/>
        <v/>
      </c>
    </row>
    <row r="45" spans="1:17" ht="45" customHeight="1">
      <c r="A45" s="821"/>
      <c r="B45" s="821"/>
      <c r="C45" s="821"/>
      <c r="D45" s="821"/>
      <c r="E45" s="821"/>
      <c r="F45" s="1351"/>
      <c r="G45" s="1425"/>
      <c r="H45" s="871">
        <v>3.2</v>
      </c>
      <c r="I45" s="877" t="s">
        <v>688</v>
      </c>
      <c r="J45" s="881">
        <v>1</v>
      </c>
      <c r="K45" s="482"/>
      <c r="L45" s="192"/>
      <c r="M45" s="810"/>
      <c r="N45" s="844"/>
      <c r="O45" s="455"/>
      <c r="P45" s="924" t="str">
        <f t="shared" si="4"/>
        <v/>
      </c>
      <c r="Q45" s="924" t="str">
        <f t="shared" si="5"/>
        <v/>
      </c>
    </row>
    <row r="46" spans="1:17" ht="45" customHeight="1">
      <c r="A46" s="821"/>
      <c r="B46" s="821"/>
      <c r="C46" s="821"/>
      <c r="D46" s="821"/>
      <c r="E46" s="821"/>
      <c r="F46" s="1355"/>
      <c r="G46" s="1426"/>
      <c r="H46" s="871">
        <v>3.3</v>
      </c>
      <c r="I46" s="877" t="s">
        <v>689</v>
      </c>
      <c r="J46" s="881">
        <v>2</v>
      </c>
      <c r="K46" s="482"/>
      <c r="L46" s="192"/>
      <c r="M46" s="810"/>
      <c r="N46" s="844"/>
      <c r="O46" s="455"/>
      <c r="P46" s="924" t="str">
        <f t="shared" si="4"/>
        <v/>
      </c>
      <c r="Q46" s="924" t="str">
        <f t="shared" si="5"/>
        <v/>
      </c>
    </row>
    <row r="47" spans="1:17" ht="45" customHeight="1">
      <c r="A47" s="821"/>
      <c r="B47" s="821"/>
      <c r="C47" s="821"/>
      <c r="D47" s="821"/>
      <c r="E47" s="821"/>
      <c r="F47" s="1341" t="s">
        <v>1032</v>
      </c>
      <c r="G47" s="1424" t="s">
        <v>706</v>
      </c>
      <c r="H47" s="871">
        <v>4.0999999999999996</v>
      </c>
      <c r="I47" s="877" t="s">
        <v>706</v>
      </c>
      <c r="J47" s="881">
        <v>1</v>
      </c>
      <c r="K47" s="482"/>
      <c r="L47" s="192"/>
      <c r="M47" s="810"/>
      <c r="N47" s="844"/>
      <c r="O47" s="455"/>
      <c r="P47" s="924" t="str">
        <f t="shared" si="4"/>
        <v/>
      </c>
      <c r="Q47" s="924" t="str">
        <f t="shared" si="5"/>
        <v/>
      </c>
    </row>
    <row r="48" spans="1:17" ht="45" customHeight="1">
      <c r="A48" s="821"/>
      <c r="B48" s="821"/>
      <c r="C48" s="821"/>
      <c r="D48" s="821"/>
      <c r="E48" s="821"/>
      <c r="F48" s="1372"/>
      <c r="G48" s="1426"/>
      <c r="H48" s="871">
        <v>4.2</v>
      </c>
      <c r="I48" s="877" t="s">
        <v>708</v>
      </c>
      <c r="J48" s="881">
        <v>1</v>
      </c>
      <c r="K48" s="482"/>
      <c r="L48" s="192"/>
      <c r="M48" s="810"/>
      <c r="N48" s="844"/>
      <c r="O48" s="455"/>
      <c r="P48" s="924" t="str">
        <f t="shared" si="4"/>
        <v/>
      </c>
      <c r="Q48" s="924" t="str">
        <f t="shared" si="5"/>
        <v/>
      </c>
    </row>
    <row r="49" spans="6:19" ht="45" customHeight="1">
      <c r="F49" s="1341" t="s">
        <v>1033</v>
      </c>
      <c r="G49" s="1424" t="s">
        <v>709</v>
      </c>
      <c r="H49" s="871">
        <v>5</v>
      </c>
      <c r="I49" s="877" t="s">
        <v>711</v>
      </c>
      <c r="J49" s="881" t="s">
        <v>264</v>
      </c>
      <c r="K49" s="482"/>
      <c r="L49" s="192"/>
      <c r="M49" s="810"/>
      <c r="N49" s="844"/>
      <c r="O49" s="455"/>
      <c r="P49" s="924" t="str">
        <f t="shared" si="4"/>
        <v/>
      </c>
      <c r="Q49" s="924" t="str">
        <f t="shared" si="5"/>
        <v/>
      </c>
      <c r="R49" s="821"/>
      <c r="S49" s="821"/>
    </row>
    <row r="50" spans="6:19" ht="45" customHeight="1">
      <c r="F50" s="1372"/>
      <c r="G50" s="1426"/>
      <c r="H50" s="871">
        <v>5.0999999999999996</v>
      </c>
      <c r="I50" s="877" t="s">
        <v>712</v>
      </c>
      <c r="J50" s="881">
        <v>2</v>
      </c>
      <c r="K50" s="482"/>
      <c r="L50" s="192"/>
      <c r="M50" s="810"/>
      <c r="N50" s="844"/>
      <c r="O50" s="455"/>
      <c r="P50" s="924" t="str">
        <f t="shared" si="4"/>
        <v/>
      </c>
      <c r="Q50" s="924" t="str">
        <f t="shared" si="5"/>
        <v/>
      </c>
      <c r="R50" s="821"/>
      <c r="S50" s="821"/>
    </row>
    <row r="51" spans="6:19" ht="45" customHeight="1">
      <c r="F51" s="1341" t="s">
        <v>1034</v>
      </c>
      <c r="G51" s="1434" t="s">
        <v>1035</v>
      </c>
      <c r="H51" s="871">
        <v>6.1</v>
      </c>
      <c r="I51" s="872" t="str">
        <f>IF($G$5=$W$5,"Managing and Interpreting Cultural Heritage Significance","Manging and Interpreting Culture, Heritage and Identity")</f>
        <v>Manging and Interpreting Culture, Heritage and Identity</v>
      </c>
      <c r="J51" s="881">
        <v>1</v>
      </c>
      <c r="K51" s="482"/>
      <c r="L51" s="192"/>
      <c r="M51" s="810"/>
      <c r="N51" s="844"/>
      <c r="O51" s="455"/>
      <c r="P51" s="924" t="str">
        <f t="shared" si="4"/>
        <v/>
      </c>
      <c r="Q51" s="924" t="str">
        <f t="shared" si="5"/>
        <v/>
      </c>
      <c r="R51" s="821"/>
      <c r="S51" s="821"/>
    </row>
    <row r="52" spans="6:19" ht="45" customHeight="1">
      <c r="F52" s="1351"/>
      <c r="G52" s="1435"/>
      <c r="H52" s="871">
        <v>6.2</v>
      </c>
      <c r="I52" s="872" t="str">
        <f>IF($G$5=$W$5,"Adaptive Re-use","Developing and Enhancing Community Culture, Heritage and Identity")</f>
        <v>Developing and Enhancing Community Culture, Heritage and Identity</v>
      </c>
      <c r="J52" s="881">
        <v>1</v>
      </c>
      <c r="K52" s="482"/>
      <c r="L52" s="192"/>
      <c r="M52" s="810"/>
      <c r="N52" s="844"/>
      <c r="O52" s="455"/>
      <c r="P52" s="924" t="str">
        <f t="shared" si="4"/>
        <v/>
      </c>
      <c r="Q52" s="924" t="str">
        <f t="shared" si="5"/>
        <v/>
      </c>
      <c r="R52" s="821"/>
      <c r="S52" s="821"/>
    </row>
    <row r="53" spans="6:19" ht="45" customHeight="1">
      <c r="F53" s="1355"/>
      <c r="G53" s="1436"/>
      <c r="H53" s="871" t="str">
        <f>IF($G$5=$W$5,6.3,"")</f>
        <v/>
      </c>
      <c r="I53" s="877" t="str">
        <f>IF($G$5=$W$5,"Art and Cultural Programs","-")</f>
        <v>-</v>
      </c>
      <c r="J53" s="881">
        <f>IF($G$5=$W$5,1,0)</f>
        <v>0</v>
      </c>
      <c r="K53" s="482"/>
      <c r="L53" s="192"/>
      <c r="M53" s="810"/>
      <c r="N53" s="844"/>
      <c r="O53" s="455"/>
      <c r="P53" s="924" t="str">
        <f t="shared" si="4"/>
        <v/>
      </c>
      <c r="Q53" s="924" t="str">
        <f t="shared" si="5"/>
        <v/>
      </c>
      <c r="R53" s="821"/>
      <c r="S53" s="821"/>
    </row>
    <row r="54" spans="6:19" ht="45" customHeight="1">
      <c r="F54" s="1341" t="str">
        <f>IF($G$5=$W$5,"LIV-7"&amp;CHAR(10)&amp;"Accessibility and Adaptability","")</f>
        <v/>
      </c>
      <c r="G54" s="1438" t="s">
        <v>1036</v>
      </c>
      <c r="H54" s="871" t="str">
        <f>IF($G$5=$W$5,"7.1A","")</f>
        <v/>
      </c>
      <c r="I54" s="877" t="str">
        <f>IF($G$5=$W$5,"Accessible and Adaptable Dwellings","-")</f>
        <v>-</v>
      </c>
      <c r="J54" s="881">
        <f>IF(G54=I54,4,0)</f>
        <v>0</v>
      </c>
      <c r="K54" s="482"/>
      <c r="L54" s="192"/>
      <c r="M54" s="810"/>
      <c r="N54" s="844"/>
      <c r="O54" s="455"/>
      <c r="P54" s="924" t="str">
        <f t="shared" si="4"/>
        <v/>
      </c>
      <c r="Q54" s="924" t="str">
        <f t="shared" si="5"/>
        <v/>
      </c>
      <c r="R54" s="821"/>
      <c r="S54" s="821" t="s">
        <v>1036</v>
      </c>
    </row>
    <row r="55" spans="6:19" ht="45" customHeight="1">
      <c r="F55" s="1342"/>
      <c r="G55" s="1439"/>
      <c r="H55" s="926" t="str">
        <f>IF($G$5=$W$5,"7.1B","")</f>
        <v/>
      </c>
      <c r="I55" s="882" t="str">
        <f>IF($G$5=$W$5,"Accessible Transport, Outdoor Spaces, and Buildings","-")</f>
        <v>-</v>
      </c>
      <c r="J55" s="881">
        <f>IF(G54=I55,4,0)</f>
        <v>0</v>
      </c>
      <c r="K55" s="482"/>
      <c r="L55" s="192"/>
      <c r="M55" s="810"/>
      <c r="N55" s="844"/>
      <c r="O55" s="455"/>
      <c r="P55" s="924" t="str">
        <f t="shared" si="4"/>
        <v/>
      </c>
      <c r="Q55" s="924" t="str">
        <f t="shared" si="5"/>
        <v/>
      </c>
      <c r="R55" s="821"/>
      <c r="S55" s="821" t="s">
        <v>1037</v>
      </c>
    </row>
    <row r="56" spans="6:19" ht="45" customHeight="1">
      <c r="F56" s="362" t="s">
        <v>305</v>
      </c>
      <c r="G56" s="363"/>
      <c r="H56" s="362"/>
      <c r="I56" s="362"/>
      <c r="J56" s="376">
        <f>SUM(J37:J55)</f>
        <v>18</v>
      </c>
      <c r="K56" s="463">
        <f>SUM(K37:K55)</f>
        <v>0</v>
      </c>
      <c r="L56" s="192"/>
      <c r="M56" s="366"/>
      <c r="N56" s="366"/>
      <c r="O56" s="362"/>
      <c r="P56" s="367"/>
      <c r="Q56" s="367"/>
      <c r="R56" s="821"/>
      <c r="S56" s="821"/>
    </row>
    <row r="57" spans="6:19" ht="45" customHeight="1">
      <c r="F57" s="814"/>
      <c r="G57" s="496"/>
      <c r="H57" s="538"/>
      <c r="I57" s="814"/>
      <c r="J57" s="538"/>
      <c r="K57" s="838"/>
      <c r="L57" s="192"/>
      <c r="M57" s="377"/>
      <c r="N57" s="368"/>
      <c r="O57" s="369"/>
      <c r="P57" s="369"/>
      <c r="Q57" s="369"/>
      <c r="R57" s="821"/>
      <c r="S57" s="821"/>
    </row>
    <row r="58" spans="6:19" ht="45" customHeight="1">
      <c r="F58" s="380" t="s">
        <v>1038</v>
      </c>
      <c r="G58" s="381"/>
      <c r="H58" s="381"/>
      <c r="I58" s="382"/>
      <c r="J58" s="356"/>
      <c r="K58" s="370"/>
      <c r="L58" s="192"/>
      <c r="M58" s="379"/>
      <c r="N58" s="371"/>
      <c r="O58" s="372"/>
      <c r="P58" s="372"/>
      <c r="Q58" s="372"/>
      <c r="R58" s="821"/>
      <c r="S58" s="821"/>
    </row>
    <row r="59" spans="6:19" ht="45" customHeight="1">
      <c r="F59" s="1432" t="s">
        <v>1039</v>
      </c>
      <c r="G59" s="1424" t="s">
        <v>720</v>
      </c>
      <c r="H59" s="927">
        <v>1</v>
      </c>
      <c r="I59" s="882" t="s">
        <v>1040</v>
      </c>
      <c r="J59" s="883" t="s">
        <v>264</v>
      </c>
      <c r="K59" s="482"/>
      <c r="L59" s="192"/>
      <c r="M59" s="810"/>
      <c r="N59" s="844"/>
      <c r="O59" s="455"/>
      <c r="P59" s="924" t="str">
        <f t="shared" ref="P59:P78" si="6">IF(ISBLANK($K59)=FALSE,IF(M59="","No","Yes"),"")</f>
        <v/>
      </c>
      <c r="Q59" s="924" t="str">
        <f t="shared" ref="Q59:Q78" si="7">IF(ISBLANK($K59)=FALSE,IF(N59="","No","Yes"),"")</f>
        <v/>
      </c>
      <c r="R59" s="821"/>
      <c r="S59" s="821"/>
    </row>
    <row r="60" spans="6:19" ht="45" customHeight="1">
      <c r="F60" s="1437"/>
      <c r="G60" s="1425"/>
      <c r="H60" s="883">
        <v>1.1000000000000001</v>
      </c>
      <c r="I60" s="882" t="s">
        <v>1041</v>
      </c>
      <c r="J60" s="883">
        <v>1</v>
      </c>
      <c r="K60" s="482"/>
      <c r="L60" s="192"/>
      <c r="M60" s="810"/>
      <c r="N60" s="844"/>
      <c r="O60" s="455"/>
      <c r="P60" s="924" t="str">
        <f t="shared" si="6"/>
        <v/>
      </c>
      <c r="Q60" s="924" t="str">
        <f t="shared" si="7"/>
        <v/>
      </c>
      <c r="R60" s="821"/>
      <c r="S60" s="821"/>
    </row>
    <row r="61" spans="6:19" ht="45" customHeight="1">
      <c r="F61" s="1437"/>
      <c r="G61" s="1426"/>
      <c r="H61" s="883">
        <v>1.2</v>
      </c>
      <c r="I61" s="882" t="str">
        <f>IF($G$5=$W$5,"ANZSIC Sector Jobs","Diverse Employment")</f>
        <v>Diverse Employment</v>
      </c>
      <c r="J61" s="883">
        <v>1</v>
      </c>
      <c r="K61" s="482"/>
      <c r="L61" s="192"/>
      <c r="M61" s="810"/>
      <c r="N61" s="844"/>
      <c r="O61" s="455"/>
      <c r="P61" s="924" t="str">
        <f t="shared" si="6"/>
        <v/>
      </c>
      <c r="Q61" s="924" t="str">
        <f t="shared" si="7"/>
        <v/>
      </c>
      <c r="R61" s="821"/>
      <c r="S61" s="821" t="s">
        <v>1042</v>
      </c>
    </row>
    <row r="62" spans="6:19" ht="45" customHeight="1">
      <c r="F62" s="1437"/>
      <c r="G62" s="1427" t="s">
        <v>1042</v>
      </c>
      <c r="H62" s="883" t="s">
        <v>1043</v>
      </c>
      <c r="I62" s="882" t="str">
        <f>IF($G$5=$W$5,"Deemed-to-Satisfy: Proximity to Global or Large City CBD","Deemed-to-Satisfy: Proximity to Major City")</f>
        <v>Deemed-to-Satisfy: Proximity to Major City</v>
      </c>
      <c r="J62" s="883">
        <f>IF(G62=I62,2,0)</f>
        <v>0</v>
      </c>
      <c r="K62" s="482"/>
      <c r="L62" s="192"/>
      <c r="M62" s="810"/>
      <c r="N62" s="844"/>
      <c r="O62" s="455"/>
      <c r="P62" s="924" t="str">
        <f t="shared" si="6"/>
        <v/>
      </c>
      <c r="Q62" s="924" t="str">
        <f t="shared" si="7"/>
        <v/>
      </c>
      <c r="R62" s="821"/>
      <c r="S62" s="821" t="str">
        <f>IF($G$5=$W$5,"Deemed-to-Satisfy: Proximity to Global or Large City CBD","Deemed-to-Satisfy: Proximity to Major City")</f>
        <v>Deemed-to-Satisfy: Proximity to Major City</v>
      </c>
    </row>
    <row r="63" spans="6:19" ht="45" customHeight="1">
      <c r="F63" s="1437"/>
      <c r="G63" s="1428"/>
      <c r="H63" s="883" t="s">
        <v>1044</v>
      </c>
      <c r="I63" s="882" t="str">
        <f>IF($G$5=$W$5,"Deemed-to-Satisfy: Non-residential Developments","Deemed-to-Satisfy: NCC Class Mix")</f>
        <v>Deemed-to-Satisfy: NCC Class Mix</v>
      </c>
      <c r="J63" s="883">
        <f>IF(G62=I63,2,0)</f>
        <v>0</v>
      </c>
      <c r="K63" s="482"/>
      <c r="L63" s="192"/>
      <c r="M63" s="810"/>
      <c r="N63" s="844"/>
      <c r="O63" s="455"/>
      <c r="P63" s="924" t="str">
        <f t="shared" si="6"/>
        <v/>
      </c>
      <c r="Q63" s="924" t="str">
        <f t="shared" si="7"/>
        <v/>
      </c>
      <c r="R63" s="821"/>
      <c r="S63" s="821" t="str">
        <f>IF($G$5=$W$5,"Deemed-to-Satisfy: Non-residential Developments","Deemed-to-Satisfy: NCC Class Mix")</f>
        <v>Deemed-to-Satisfy: NCC Class Mix</v>
      </c>
    </row>
    <row r="64" spans="6:19" ht="45" customHeight="1">
      <c r="F64" s="1432" t="s">
        <v>1045</v>
      </c>
      <c r="G64" s="1424" t="s">
        <v>732</v>
      </c>
      <c r="H64" s="927">
        <v>2.1</v>
      </c>
      <c r="I64" s="882" t="s">
        <v>734</v>
      </c>
      <c r="J64" s="883">
        <v>1</v>
      </c>
      <c r="K64" s="482"/>
      <c r="L64" s="192"/>
      <c r="M64" s="810"/>
      <c r="N64" s="844"/>
      <c r="O64" s="455"/>
      <c r="P64" s="924" t="str">
        <f t="shared" si="6"/>
        <v/>
      </c>
      <c r="Q64" s="924" t="str">
        <f t="shared" si="7"/>
        <v/>
      </c>
      <c r="R64" s="821"/>
      <c r="S64" s="821"/>
    </row>
    <row r="65" spans="1:19" ht="45" customHeight="1">
      <c r="A65" s="821"/>
      <c r="B65" s="821"/>
      <c r="C65" s="821"/>
      <c r="D65" s="821"/>
      <c r="E65" s="821"/>
      <c r="F65" s="1433"/>
      <c r="G65" s="1425"/>
      <c r="H65" s="883">
        <v>2.2000000000000002</v>
      </c>
      <c r="I65" s="882" t="s">
        <v>735</v>
      </c>
      <c r="J65" s="883">
        <v>1</v>
      </c>
      <c r="K65" s="482"/>
      <c r="L65" s="192"/>
      <c r="M65" s="810"/>
      <c r="N65" s="844"/>
      <c r="O65" s="455"/>
      <c r="P65" s="924" t="str">
        <f t="shared" si="6"/>
        <v/>
      </c>
      <c r="Q65" s="924" t="str">
        <f t="shared" si="7"/>
        <v/>
      </c>
      <c r="R65" s="821"/>
      <c r="S65" s="821"/>
    </row>
    <row r="66" spans="1:19" ht="45" customHeight="1">
      <c r="A66" s="821"/>
      <c r="B66" s="821"/>
      <c r="C66" s="821"/>
      <c r="D66" s="821"/>
      <c r="E66" s="821"/>
      <c r="F66" s="1432" t="s">
        <v>1046</v>
      </c>
      <c r="G66" s="1424" t="s">
        <v>737</v>
      </c>
      <c r="H66" s="927">
        <v>3.1</v>
      </c>
      <c r="I66" s="882" t="s">
        <v>739</v>
      </c>
      <c r="J66" s="883">
        <v>1</v>
      </c>
      <c r="K66" s="482"/>
      <c r="L66" s="192"/>
      <c r="M66" s="810"/>
      <c r="N66" s="844"/>
      <c r="O66" s="455"/>
      <c r="P66" s="924" t="str">
        <f t="shared" si="6"/>
        <v/>
      </c>
      <c r="Q66" s="924" t="str">
        <f t="shared" si="7"/>
        <v/>
      </c>
      <c r="R66" s="821"/>
      <c r="S66" s="821"/>
    </row>
    <row r="67" spans="1:19" ht="45" customHeight="1">
      <c r="A67" s="821"/>
      <c r="B67" s="821"/>
      <c r="C67" s="821"/>
      <c r="D67" s="821"/>
      <c r="E67" s="821"/>
      <c r="F67" s="1433"/>
      <c r="G67" s="1431"/>
      <c r="H67" s="883">
        <v>3.2</v>
      </c>
      <c r="I67" s="882" t="s">
        <v>740</v>
      </c>
      <c r="J67" s="883">
        <v>1</v>
      </c>
      <c r="K67" s="482"/>
      <c r="L67" s="192"/>
      <c r="M67" s="810"/>
      <c r="N67" s="844"/>
      <c r="O67" s="455"/>
      <c r="P67" s="924" t="str">
        <f t="shared" si="6"/>
        <v/>
      </c>
      <c r="Q67" s="924" t="str">
        <f t="shared" si="7"/>
        <v/>
      </c>
      <c r="R67" s="821"/>
      <c r="S67" s="821"/>
    </row>
    <row r="68" spans="1:19" ht="45" customHeight="1">
      <c r="A68" s="821"/>
      <c r="B68" s="821"/>
      <c r="C68" s="821"/>
      <c r="D68" s="821"/>
      <c r="E68" s="821"/>
      <c r="F68" s="383" t="s">
        <v>1047</v>
      </c>
      <c r="G68" s="375" t="s">
        <v>714</v>
      </c>
      <c r="H68" s="927">
        <v>4.0999999999999996</v>
      </c>
      <c r="I68" s="882" t="s">
        <v>714</v>
      </c>
      <c r="J68" s="883">
        <v>4</v>
      </c>
      <c r="K68" s="482"/>
      <c r="L68" s="192"/>
      <c r="M68" s="810"/>
      <c r="N68" s="844"/>
      <c r="O68" s="455"/>
      <c r="P68" s="924" t="str">
        <f t="shared" si="6"/>
        <v/>
      </c>
      <c r="Q68" s="924" t="str">
        <f t="shared" si="7"/>
        <v/>
      </c>
      <c r="R68" s="821"/>
      <c r="S68" s="821"/>
    </row>
    <row r="69" spans="1:19" ht="45" customHeight="1">
      <c r="A69" s="821"/>
      <c r="B69" s="821"/>
      <c r="C69" s="821"/>
      <c r="D69" s="821"/>
      <c r="E69" s="821"/>
      <c r="F69" s="1432" t="s">
        <v>1048</v>
      </c>
      <c r="G69" s="1424" t="s">
        <v>717</v>
      </c>
      <c r="H69" s="927" t="str">
        <f>IF($G$5=$W$5,5,"")</f>
        <v/>
      </c>
      <c r="I69" s="882" t="str">
        <f>IF($G$5=$W$5,"Minimum Requirement - Living Affordability","-")</f>
        <v>-</v>
      </c>
      <c r="J69" s="883">
        <f>IF($G$5=$W$5,"-",0)</f>
        <v>0</v>
      </c>
      <c r="K69" s="482"/>
      <c r="L69" s="192"/>
      <c r="M69" s="810"/>
      <c r="N69" s="844"/>
      <c r="O69" s="455"/>
      <c r="P69" s="924" t="str">
        <f>IF(ISBLANK($K69)=FALSE,IF(M69="","No","Yes"),"")</f>
        <v/>
      </c>
      <c r="Q69" s="924" t="str">
        <f>IF(ISBLANK($K69)=FALSE,IF(N69="","No","Yes"),"")</f>
        <v/>
      </c>
      <c r="R69" s="821"/>
      <c r="S69" s="821"/>
    </row>
    <row r="70" spans="1:19" ht="45" customHeight="1">
      <c r="A70" s="821"/>
      <c r="B70" s="821"/>
      <c r="C70" s="821"/>
      <c r="D70" s="821"/>
      <c r="E70" s="821"/>
      <c r="F70" s="1433"/>
      <c r="G70" s="1426"/>
      <c r="H70" s="883">
        <v>5.0999999999999996</v>
      </c>
      <c r="I70" s="882" t="s">
        <v>717</v>
      </c>
      <c r="J70" s="883">
        <v>4</v>
      </c>
      <c r="K70" s="482"/>
      <c r="L70" s="192"/>
      <c r="M70" s="810"/>
      <c r="N70" s="844"/>
      <c r="O70" s="455"/>
      <c r="P70" s="924" t="str">
        <f t="shared" si="6"/>
        <v/>
      </c>
      <c r="Q70" s="924" t="str">
        <f t="shared" si="7"/>
        <v/>
      </c>
      <c r="R70" s="821"/>
      <c r="S70" s="821"/>
    </row>
    <row r="71" spans="1:19" ht="45" customHeight="1">
      <c r="A71" s="821"/>
      <c r="B71" s="821"/>
      <c r="C71" s="821"/>
      <c r="D71" s="821"/>
      <c r="E71" s="821"/>
      <c r="F71" s="384" t="s">
        <v>1049</v>
      </c>
      <c r="G71" s="385" t="s">
        <v>741</v>
      </c>
      <c r="H71" s="927">
        <v>6.1</v>
      </c>
      <c r="I71" s="882" t="s">
        <v>741</v>
      </c>
      <c r="J71" s="883">
        <v>2</v>
      </c>
      <c r="K71" s="482"/>
      <c r="L71" s="192"/>
      <c r="M71" s="810"/>
      <c r="N71" s="844"/>
      <c r="O71" s="455"/>
      <c r="P71" s="924" t="str">
        <f t="shared" si="6"/>
        <v/>
      </c>
      <c r="Q71" s="924" t="str">
        <f t="shared" si="7"/>
        <v/>
      </c>
      <c r="R71" s="821"/>
      <c r="S71" s="821"/>
    </row>
    <row r="72" spans="1:19" ht="45" customHeight="1">
      <c r="A72" s="821"/>
      <c r="B72" s="821"/>
      <c r="C72" s="821"/>
      <c r="D72" s="821"/>
      <c r="E72" s="821"/>
      <c r="F72" s="1432" t="s">
        <v>1050</v>
      </c>
      <c r="G72" s="1434" t="str">
        <f>IF($G$5=$V$5,"Digital Economy","Digital Infrastructure")</f>
        <v>Digital Infrastructure</v>
      </c>
      <c r="H72" s="927" t="str">
        <f>IF($G$5=$W$5,7,"")</f>
        <v/>
      </c>
      <c r="I72" s="882" t="str">
        <f>IF($G$5=$W$5,"Minimum Requirement - Residential Connectivity","-")</f>
        <v>-</v>
      </c>
      <c r="J72" s="883">
        <f>IF($G$5=$W$5,"-",0)</f>
        <v>0</v>
      </c>
      <c r="K72" s="824"/>
      <c r="L72" s="192"/>
      <c r="M72" s="810"/>
      <c r="N72" s="844"/>
      <c r="O72" s="455"/>
      <c r="P72" s="924" t="str">
        <f t="shared" si="6"/>
        <v/>
      </c>
      <c r="Q72" s="924" t="str">
        <f t="shared" si="7"/>
        <v/>
      </c>
      <c r="R72" s="821"/>
      <c r="S72" s="821"/>
    </row>
    <row r="73" spans="1:19" ht="45" customHeight="1">
      <c r="A73" s="821"/>
      <c r="B73" s="821"/>
      <c r="C73" s="821"/>
      <c r="D73" s="821"/>
      <c r="E73" s="821"/>
      <c r="F73" s="1437"/>
      <c r="G73" s="1435"/>
      <c r="H73" s="883">
        <v>7.1</v>
      </c>
      <c r="I73" s="882" t="str">
        <f>IF($G$5=$W$5,"Wireless Local Area Network","Fibre-to-the-Premesis (FTTP)")</f>
        <v>Fibre-to-the-Premesis (FTTP)</v>
      </c>
      <c r="J73" s="883">
        <v>1</v>
      </c>
      <c r="K73" s="482"/>
      <c r="L73" s="192"/>
      <c r="M73" s="810"/>
      <c r="N73" s="844"/>
      <c r="O73" s="455"/>
      <c r="P73" s="924" t="str">
        <f t="shared" si="6"/>
        <v/>
      </c>
      <c r="Q73" s="924" t="str">
        <f t="shared" si="7"/>
        <v/>
      </c>
      <c r="R73" s="821"/>
      <c r="S73" s="821"/>
    </row>
    <row r="74" spans="1:19" ht="45" customHeight="1">
      <c r="A74" s="821"/>
      <c r="B74" s="821"/>
      <c r="C74" s="821"/>
      <c r="D74" s="821"/>
      <c r="E74" s="821"/>
      <c r="F74" s="1433"/>
      <c r="G74" s="1436"/>
      <c r="H74" s="883">
        <v>7.2</v>
      </c>
      <c r="I74" s="882" t="str">
        <f>IF($G$5=$W$5,"Telecommute Infrastructure","Wireless Local Area Network")</f>
        <v>Wireless Local Area Network</v>
      </c>
      <c r="J74" s="883">
        <v>1</v>
      </c>
      <c r="K74" s="482"/>
      <c r="L74" s="192"/>
      <c r="M74" s="810"/>
      <c r="N74" s="844"/>
      <c r="O74" s="455"/>
      <c r="P74" s="924" t="str">
        <f t="shared" si="6"/>
        <v/>
      </c>
      <c r="Q74" s="924" t="str">
        <f t="shared" si="7"/>
        <v/>
      </c>
      <c r="R74" s="821"/>
      <c r="S74" s="821"/>
    </row>
    <row r="75" spans="1:19" ht="45" customHeight="1">
      <c r="A75" s="821"/>
      <c r="B75" s="821"/>
      <c r="C75" s="821"/>
      <c r="D75" s="821"/>
      <c r="E75" s="821"/>
      <c r="F75" s="1432" t="s">
        <v>1051</v>
      </c>
      <c r="G75" s="375" t="s">
        <v>874</v>
      </c>
      <c r="H75" s="927">
        <v>8.1</v>
      </c>
      <c r="I75" s="882" t="s">
        <v>1052</v>
      </c>
      <c r="J75" s="883">
        <f>IF($G$5=$W$5,1,2)</f>
        <v>2</v>
      </c>
      <c r="K75" s="482"/>
      <c r="L75" s="192"/>
      <c r="M75" s="810"/>
      <c r="N75" s="844"/>
      <c r="O75" s="455"/>
      <c r="P75" s="924" t="str">
        <f t="shared" si="6"/>
        <v/>
      </c>
      <c r="Q75" s="924" t="str">
        <f t="shared" si="7"/>
        <v/>
      </c>
      <c r="R75" s="821"/>
      <c r="S75" s="821" t="s">
        <v>1042</v>
      </c>
    </row>
    <row r="76" spans="1:19" ht="45" customHeight="1">
      <c r="A76" s="821">
        <v>1</v>
      </c>
      <c r="B76" s="821">
        <f>IF(C76=TRUE,1,0)</f>
        <v>0</v>
      </c>
      <c r="C76" s="821" t="b">
        <v>0</v>
      </c>
      <c r="D76" s="821"/>
      <c r="E76" s="821"/>
      <c r="F76" s="1437"/>
      <c r="G76" s="1429" t="s">
        <v>1042</v>
      </c>
      <c r="H76" s="883" t="s">
        <v>1053</v>
      </c>
      <c r="I76" s="882" t="s">
        <v>1054</v>
      </c>
      <c r="J76" s="883">
        <f>IF($G$5=$W$5,IF(G76=I76,1,0),IF(G76=I76,2,0))</f>
        <v>0</v>
      </c>
      <c r="K76" s="482"/>
      <c r="L76" s="192"/>
      <c r="M76" s="810"/>
      <c r="N76" s="844"/>
      <c r="O76" s="455"/>
      <c r="P76" s="924" t="str">
        <f t="shared" si="6"/>
        <v/>
      </c>
      <c r="Q76" s="924" t="str">
        <f t="shared" si="7"/>
        <v/>
      </c>
      <c r="R76" s="821"/>
      <c r="S76" s="821" t="s">
        <v>1054</v>
      </c>
    </row>
    <row r="77" spans="1:19" ht="45" customHeight="1">
      <c r="A77" s="821">
        <v>1</v>
      </c>
      <c r="B77" s="821">
        <f>IF(C77=TRUE,1,0)</f>
        <v>0</v>
      </c>
      <c r="C77" s="821" t="b">
        <v>0</v>
      </c>
      <c r="D77" s="821"/>
      <c r="E77" s="821"/>
      <c r="F77" s="1437"/>
      <c r="G77" s="1429"/>
      <c r="H77" s="883" t="s">
        <v>1055</v>
      </c>
      <c r="I77" s="882" t="s">
        <v>1056</v>
      </c>
      <c r="J77" s="883">
        <f>IF($G$5=$W$5,IF(G76=I77,1,0),IF(G76=I77,2,0))</f>
        <v>0</v>
      </c>
      <c r="K77" s="482"/>
      <c r="L77" s="192"/>
      <c r="M77" s="810"/>
      <c r="N77" s="844"/>
      <c r="O77" s="455"/>
      <c r="P77" s="924" t="str">
        <f t="shared" si="6"/>
        <v/>
      </c>
      <c r="Q77" s="924" t="str">
        <f t="shared" si="7"/>
        <v/>
      </c>
      <c r="R77" s="821"/>
      <c r="S77" s="821" t="s">
        <v>1056</v>
      </c>
    </row>
    <row r="78" spans="1:19" ht="45" customHeight="1">
      <c r="A78" s="821"/>
      <c r="B78" s="821"/>
      <c r="C78" s="821"/>
      <c r="D78" s="821"/>
      <c r="E78" s="821"/>
      <c r="F78" s="1433"/>
      <c r="G78" s="1430"/>
      <c r="H78" s="883" t="s">
        <v>1057</v>
      </c>
      <c r="I78" s="882" t="s">
        <v>1058</v>
      </c>
      <c r="J78" s="883">
        <f>IF($G$5=$W$5,IF(G76=I78,1,0),IF(G76=I78,2,0))</f>
        <v>0</v>
      </c>
      <c r="K78" s="482"/>
      <c r="L78" s="192"/>
      <c r="M78" s="810"/>
      <c r="N78" s="844"/>
      <c r="O78" s="455"/>
      <c r="P78" s="924" t="str">
        <f t="shared" si="6"/>
        <v/>
      </c>
      <c r="Q78" s="924" t="str">
        <f t="shared" si="7"/>
        <v/>
      </c>
      <c r="R78" s="821"/>
      <c r="S78" s="821" t="s">
        <v>1058</v>
      </c>
    </row>
    <row r="79" spans="1:19" ht="45" customHeight="1">
      <c r="A79" s="821"/>
      <c r="B79" s="821"/>
      <c r="C79" s="821"/>
      <c r="D79" s="821"/>
      <c r="E79" s="821"/>
      <c r="F79" s="362" t="s">
        <v>305</v>
      </c>
      <c r="G79" s="363"/>
      <c r="H79" s="362"/>
      <c r="I79" s="362"/>
      <c r="J79" s="376">
        <f>SUM(J59:J78)</f>
        <v>20</v>
      </c>
      <c r="K79" s="463">
        <f>SUM(K59:K78)</f>
        <v>0</v>
      </c>
      <c r="L79" s="192"/>
      <c r="M79" s="366"/>
      <c r="N79" s="366"/>
      <c r="O79" s="362"/>
      <c r="P79" s="367"/>
      <c r="Q79" s="367"/>
      <c r="R79" s="821"/>
      <c r="S79" s="821"/>
    </row>
    <row r="80" spans="1:19" ht="45" customHeight="1">
      <c r="A80" s="821"/>
      <c r="B80" s="821"/>
      <c r="C80" s="821"/>
      <c r="D80" s="821"/>
      <c r="E80" s="821"/>
      <c r="F80" s="828"/>
      <c r="G80" s="531"/>
      <c r="H80" s="817"/>
      <c r="I80" s="828"/>
      <c r="J80" s="817"/>
      <c r="K80" s="866"/>
      <c r="L80" s="192"/>
      <c r="M80" s="377"/>
      <c r="N80" s="377"/>
      <c r="O80" s="378"/>
      <c r="P80" s="378"/>
      <c r="Q80" s="378"/>
      <c r="R80" s="821"/>
      <c r="S80" s="821"/>
    </row>
    <row r="81" spans="6:17" ht="45" customHeight="1">
      <c r="F81" s="380" t="s">
        <v>755</v>
      </c>
      <c r="G81" s="380"/>
      <c r="H81" s="380"/>
      <c r="I81" s="380"/>
      <c r="J81" s="356"/>
      <c r="K81" s="357"/>
      <c r="L81" s="192"/>
      <c r="M81" s="379"/>
      <c r="N81" s="386"/>
      <c r="O81" s="387"/>
      <c r="P81" s="387"/>
      <c r="Q81" s="387"/>
    </row>
    <row r="82" spans="6:17" ht="45" customHeight="1">
      <c r="F82" s="1341" t="s">
        <v>1059</v>
      </c>
      <c r="G82" s="1424" t="str">
        <f>IF($G$5=$V$5,"Site Sensitivity","Sustainable Sites")</f>
        <v>Sustainable Sites</v>
      </c>
      <c r="H82" s="928">
        <v>1</v>
      </c>
      <c r="I82" s="886" t="s">
        <v>338</v>
      </c>
      <c r="J82" s="929" t="s">
        <v>264</v>
      </c>
      <c r="K82" s="482"/>
      <c r="L82" s="192"/>
      <c r="M82" s="810"/>
      <c r="N82" s="844"/>
      <c r="O82" s="455"/>
      <c r="P82" s="924" t="str">
        <f>IF(ISBLANK($K82)=FALSE,IF(M82="","No","Yes"),"")</f>
        <v/>
      </c>
      <c r="Q82" s="924" t="str">
        <f>IF(ISBLANK($K82)=FALSE,IF(N82="","No","Yes"),"")</f>
        <v/>
      </c>
    </row>
    <row r="83" spans="6:17" ht="45" customHeight="1">
      <c r="F83" s="1351"/>
      <c r="G83" s="1425"/>
      <c r="H83" s="928">
        <f>IF($G$5=$W$5,"",1.1)</f>
        <v>1.1000000000000001</v>
      </c>
      <c r="I83" s="886" t="str">
        <f>IF($G$5=$W$5,"-","Previously Developed Land")</f>
        <v>Previously Developed Land</v>
      </c>
      <c r="J83" s="929">
        <f>IF($G$5=$W$5,0,1)</f>
        <v>1</v>
      </c>
      <c r="K83" s="482"/>
      <c r="L83" s="192"/>
      <c r="M83" s="810"/>
      <c r="N83" s="844"/>
      <c r="O83" s="455"/>
      <c r="P83" s="924"/>
      <c r="Q83" s="924"/>
    </row>
    <row r="84" spans="6:17" ht="45" customHeight="1">
      <c r="F84" s="1355"/>
      <c r="G84" s="1426"/>
      <c r="H84" s="928">
        <f>IF($G$5=$W$5,"",1.2)</f>
        <v>1.2</v>
      </c>
      <c r="I84" s="886" t="str">
        <f>IF($G$5=$W$5,"-","Site Decontamination")</f>
        <v>Site Decontamination</v>
      </c>
      <c r="J84" s="929">
        <f>IF($G$5=$W$5,0,1)</f>
        <v>1</v>
      </c>
      <c r="K84" s="482"/>
      <c r="L84" s="192"/>
      <c r="M84" s="810"/>
      <c r="N84" s="844"/>
      <c r="O84" s="455"/>
      <c r="P84" s="924"/>
      <c r="Q84" s="924"/>
    </row>
    <row r="85" spans="6:17" ht="45" customHeight="1">
      <c r="F85" s="1341" t="s">
        <v>1060</v>
      </c>
      <c r="G85" s="1424" t="s">
        <v>1061</v>
      </c>
      <c r="H85" s="871">
        <v>2.1</v>
      </c>
      <c r="I85" s="872" t="s">
        <v>783</v>
      </c>
      <c r="J85" s="929">
        <v>1</v>
      </c>
      <c r="K85" s="482"/>
      <c r="L85" s="192"/>
      <c r="M85" s="810"/>
      <c r="N85" s="844"/>
      <c r="O85" s="455"/>
      <c r="P85" s="924" t="str">
        <f t="shared" ref="P85:Q89" si="8">IF(ISBLANK($K85)=FALSE,IF(M85="","No","Yes"),"")</f>
        <v/>
      </c>
      <c r="Q85" s="924" t="str">
        <f t="shared" si="8"/>
        <v/>
      </c>
    </row>
    <row r="86" spans="6:17" ht="45" customHeight="1">
      <c r="F86" s="1355"/>
      <c r="G86" s="1426"/>
      <c r="H86" s="873">
        <v>2.2000000000000002</v>
      </c>
      <c r="I86" s="872" t="s">
        <v>784</v>
      </c>
      <c r="J86" s="929">
        <v>1</v>
      </c>
      <c r="K86" s="482"/>
      <c r="L86" s="192"/>
      <c r="M86" s="810"/>
      <c r="N86" s="844"/>
      <c r="O86" s="455"/>
      <c r="P86" s="924" t="str">
        <f t="shared" si="8"/>
        <v/>
      </c>
      <c r="Q86" s="924" t="str">
        <f t="shared" si="8"/>
        <v/>
      </c>
    </row>
    <row r="87" spans="6:17" ht="45" customHeight="1">
      <c r="F87" s="360" t="s">
        <v>1062</v>
      </c>
      <c r="G87" s="361" t="s">
        <v>515</v>
      </c>
      <c r="H87" s="871">
        <v>3.1</v>
      </c>
      <c r="I87" s="872" t="s">
        <v>515</v>
      </c>
      <c r="J87" s="929">
        <v>1</v>
      </c>
      <c r="K87" s="482"/>
      <c r="L87" s="192"/>
      <c r="M87" s="810"/>
      <c r="N87" s="844"/>
      <c r="O87" s="455"/>
      <c r="P87" s="924" t="str">
        <f t="shared" si="8"/>
        <v/>
      </c>
      <c r="Q87" s="924" t="str">
        <f t="shared" si="8"/>
        <v/>
      </c>
    </row>
    <row r="88" spans="6:17" ht="45" customHeight="1">
      <c r="F88" s="360" t="s">
        <v>1063</v>
      </c>
      <c r="G88" s="388" t="s">
        <v>409</v>
      </c>
      <c r="H88" s="871">
        <v>4.0999999999999996</v>
      </c>
      <c r="I88" s="872" t="s">
        <v>409</v>
      </c>
      <c r="J88" s="929">
        <v>1</v>
      </c>
      <c r="K88" s="482"/>
      <c r="L88" s="192"/>
      <c r="M88" s="810"/>
      <c r="N88" s="844"/>
      <c r="O88" s="455"/>
      <c r="P88" s="924" t="str">
        <f t="shared" si="8"/>
        <v/>
      </c>
      <c r="Q88" s="924" t="str">
        <f t="shared" si="8"/>
        <v/>
      </c>
    </row>
    <row r="89" spans="6:17" ht="45" customHeight="1">
      <c r="F89" s="360" t="s">
        <v>1064</v>
      </c>
      <c r="G89" s="388" t="s">
        <v>336</v>
      </c>
      <c r="H89" s="871">
        <v>5.0999999999999996</v>
      </c>
      <c r="I89" s="872" t="str">
        <f>IF($G$5=$W$5,"Greenhouse Gas Emissions","Greenhouse Gas Intensity")</f>
        <v>Greenhouse Gas Intensity</v>
      </c>
      <c r="J89" s="929">
        <v>6</v>
      </c>
      <c r="K89" s="482"/>
      <c r="L89" s="192"/>
      <c r="M89" s="810"/>
      <c r="N89" s="844"/>
      <c r="O89" s="455"/>
      <c r="P89" s="924" t="str">
        <f t="shared" si="8"/>
        <v/>
      </c>
      <c r="Q89" s="924" t="str">
        <f t="shared" si="8"/>
        <v/>
      </c>
    </row>
    <row r="90" spans="6:17" ht="45" customHeight="1">
      <c r="F90" s="1341" t="s">
        <v>1065</v>
      </c>
      <c r="G90" s="1424" t="str">
        <f>IF($G$5=$W$5,"Green Buildings","Sustainable Buildings")</f>
        <v>Sustainable Buildings</v>
      </c>
      <c r="H90" s="871">
        <v>6.1</v>
      </c>
      <c r="I90" s="872" t="str">
        <f>IF($G$5=$W$5,"Green Buildings","Green Star Certified Buildings")</f>
        <v>Green Star Certified Buildings</v>
      </c>
      <c r="J90" s="1444">
        <v>4</v>
      </c>
      <c r="K90" s="482"/>
      <c r="L90" s="192"/>
      <c r="M90" s="810"/>
      <c r="N90" s="844"/>
      <c r="O90" s="455"/>
      <c r="P90" s="924"/>
      <c r="Q90" s="924"/>
    </row>
    <row r="91" spans="6:17" ht="45" customHeight="1">
      <c r="F91" s="1355"/>
      <c r="G91" s="1426"/>
      <c r="H91" s="871">
        <f>IF($G$5=$W$5,"",6.2)</f>
        <v>6.2</v>
      </c>
      <c r="I91" s="872" t="str">
        <f>IF($G$5=$W$5,"-","NatHERS and Livable Housing Design")</f>
        <v>NatHERS and Livable Housing Design</v>
      </c>
      <c r="J91" s="1445"/>
      <c r="K91" s="482"/>
      <c r="L91" s="192"/>
      <c r="M91" s="810"/>
      <c r="N91" s="844"/>
      <c r="O91" s="455"/>
      <c r="P91" s="924"/>
      <c r="Q91" s="924"/>
    </row>
    <row r="92" spans="6:17" ht="45" customHeight="1">
      <c r="F92" s="1341" t="s">
        <v>1066</v>
      </c>
      <c r="G92" s="1424" t="s">
        <v>1067</v>
      </c>
      <c r="H92" s="871">
        <v>7.1</v>
      </c>
      <c r="I92" s="872" t="s">
        <v>1068</v>
      </c>
      <c r="J92" s="929">
        <f>IF($G$5=$W$5,1,4)</f>
        <v>4</v>
      </c>
      <c r="K92" s="482"/>
      <c r="L92" s="192"/>
      <c r="M92" s="810"/>
      <c r="N92" s="844"/>
      <c r="O92" s="455"/>
      <c r="P92" s="924" t="str">
        <f t="shared" ref="P92:P106" si="9">IF(ISBLANK($K92)=FALSE,IF(M92="","No","Yes"),"")</f>
        <v/>
      </c>
      <c r="Q92" s="924" t="str">
        <f t="shared" ref="Q92:Q106" si="10">IF(ISBLANK($K92)=FALSE,IF(N92="","No","Yes"),"")</f>
        <v/>
      </c>
    </row>
    <row r="93" spans="6:17" ht="45" customHeight="1">
      <c r="F93" s="1355"/>
      <c r="G93" s="1426"/>
      <c r="H93" s="871" t="str">
        <f>IF($G$5=$W$5,7.2,"")</f>
        <v/>
      </c>
      <c r="I93" s="872" t="str">
        <f>IF($G$5=$W$5,"Leak Detection","-")</f>
        <v>-</v>
      </c>
      <c r="J93" s="929">
        <f>IF($G$5=$W$5,1,0)</f>
        <v>0</v>
      </c>
      <c r="K93" s="482"/>
      <c r="L93" s="192"/>
      <c r="M93" s="810"/>
      <c r="N93" s="844"/>
      <c r="O93" s="455"/>
      <c r="P93" s="924" t="str">
        <f t="shared" si="9"/>
        <v/>
      </c>
      <c r="Q93" s="924" t="str">
        <f t="shared" si="10"/>
        <v/>
      </c>
    </row>
    <row r="94" spans="6:17" ht="45" customHeight="1">
      <c r="F94" s="1341" t="s">
        <v>1069</v>
      </c>
      <c r="G94" s="1424" t="s">
        <v>405</v>
      </c>
      <c r="H94" s="871">
        <v>8.1</v>
      </c>
      <c r="I94" s="872" t="s">
        <v>1070</v>
      </c>
      <c r="J94" s="929">
        <v>1</v>
      </c>
      <c r="K94" s="482"/>
      <c r="L94" s="192"/>
      <c r="M94" s="810"/>
      <c r="N94" s="844"/>
      <c r="O94" s="455"/>
      <c r="P94" s="924" t="str">
        <f t="shared" si="9"/>
        <v/>
      </c>
      <c r="Q94" s="924" t="str">
        <f t="shared" si="10"/>
        <v/>
      </c>
    </row>
    <row r="95" spans="6:17" ht="45" customHeight="1">
      <c r="F95" s="1351"/>
      <c r="G95" s="1425"/>
      <c r="H95" s="871">
        <v>8.1999999999999993</v>
      </c>
      <c r="I95" s="872" t="s">
        <v>1071</v>
      </c>
      <c r="J95" s="929">
        <v>1</v>
      </c>
      <c r="K95" s="482"/>
      <c r="L95" s="192"/>
      <c r="M95" s="810"/>
      <c r="N95" s="844"/>
      <c r="O95" s="455"/>
      <c r="P95" s="924" t="str">
        <f t="shared" si="9"/>
        <v/>
      </c>
      <c r="Q95" s="924" t="str">
        <f t="shared" si="10"/>
        <v/>
      </c>
    </row>
    <row r="96" spans="6:17" ht="45" customHeight="1">
      <c r="F96" s="1355"/>
      <c r="G96" s="1426"/>
      <c r="H96" s="871">
        <v>8.3000000000000007</v>
      </c>
      <c r="I96" s="872" t="str">
        <f>IF($G$5=$W$5,"Frequency","Reduced Peak Discharge")</f>
        <v>Reduced Peak Discharge</v>
      </c>
      <c r="J96" s="929">
        <v>1</v>
      </c>
      <c r="K96" s="482"/>
      <c r="L96" s="192"/>
      <c r="M96" s="810"/>
      <c r="N96" s="844"/>
      <c r="O96" s="455"/>
      <c r="P96" s="924" t="str">
        <f t="shared" si="9"/>
        <v/>
      </c>
      <c r="Q96" s="924" t="str">
        <f t="shared" si="10"/>
        <v/>
      </c>
    </row>
    <row r="97" spans="2:17" ht="45" customHeight="1">
      <c r="B97" s="821"/>
      <c r="C97" s="821"/>
      <c r="D97" s="821"/>
      <c r="E97" s="821"/>
      <c r="F97" s="1341" t="s">
        <v>1072</v>
      </c>
      <c r="G97" s="1424" t="s">
        <v>367</v>
      </c>
      <c r="H97" s="871">
        <v>9.1</v>
      </c>
      <c r="I97" s="872" t="s">
        <v>1073</v>
      </c>
      <c r="J97" s="929" t="s">
        <v>264</v>
      </c>
      <c r="K97" s="482"/>
      <c r="L97" s="192"/>
      <c r="M97" s="810"/>
      <c r="N97" s="844"/>
      <c r="O97" s="455"/>
      <c r="P97" s="924" t="str">
        <f t="shared" si="9"/>
        <v/>
      </c>
      <c r="Q97" s="924" t="str">
        <f t="shared" si="10"/>
        <v/>
      </c>
    </row>
    <row r="98" spans="2:17" ht="45" customHeight="1">
      <c r="B98" s="821"/>
      <c r="C98" s="821"/>
      <c r="D98" s="821"/>
      <c r="E98" s="821"/>
      <c r="F98" s="1351"/>
      <c r="G98" s="1425"/>
      <c r="H98" s="871">
        <v>9.1</v>
      </c>
      <c r="I98" s="872" t="str">
        <f>IF($G$5=$W$5,"Concrete","Sustainable Building Materials")</f>
        <v>Sustainable Building Materials</v>
      </c>
      <c r="J98" s="929">
        <f>IF($G$5=$W$5,0.5,3)</f>
        <v>3</v>
      </c>
      <c r="K98" s="482"/>
      <c r="L98" s="192"/>
      <c r="M98" s="810"/>
      <c r="N98" s="844"/>
      <c r="O98" s="455"/>
      <c r="P98" s="924" t="str">
        <f t="shared" si="9"/>
        <v/>
      </c>
      <c r="Q98" s="924" t="str">
        <f t="shared" si="10"/>
        <v/>
      </c>
    </row>
    <row r="99" spans="2:17" ht="45" customHeight="1">
      <c r="B99" s="821"/>
      <c r="C99" s="821"/>
      <c r="D99" s="821"/>
      <c r="E99" s="821"/>
      <c r="F99" s="1351"/>
      <c r="G99" s="1425"/>
      <c r="H99" s="871" t="str">
        <f>IF($G$5=$W$5,9.2,"")</f>
        <v/>
      </c>
      <c r="I99" s="872" t="str">
        <f>IF($G$5=$W$5,"Steel","-")</f>
        <v>-</v>
      </c>
      <c r="J99" s="929">
        <f>IF($G$5=$W$5,0.5,0)</f>
        <v>0</v>
      </c>
      <c r="K99" s="482"/>
      <c r="L99" s="192"/>
      <c r="M99" s="810"/>
      <c r="N99" s="844"/>
      <c r="O99" s="455"/>
      <c r="P99" s="924" t="str">
        <f t="shared" si="9"/>
        <v/>
      </c>
      <c r="Q99" s="924" t="str">
        <f t="shared" si="10"/>
        <v/>
      </c>
    </row>
    <row r="100" spans="2:17" ht="45" customHeight="1">
      <c r="B100" s="821"/>
      <c r="C100" s="821"/>
      <c r="D100" s="821"/>
      <c r="E100" s="821"/>
      <c r="F100" s="1351"/>
      <c r="G100" s="1425"/>
      <c r="H100" s="871" t="str">
        <f>IF($G$5=$W$5,9.3,"")</f>
        <v/>
      </c>
      <c r="I100" s="872" t="str">
        <f>IF($G$5=$W$5,"Asphalt","-")</f>
        <v>-</v>
      </c>
      <c r="J100" s="929">
        <f>IF($G$5=$W$5,0.5,0)</f>
        <v>0</v>
      </c>
      <c r="K100" s="482"/>
      <c r="L100" s="192"/>
      <c r="M100" s="810"/>
      <c r="N100" s="844"/>
      <c r="O100" s="455"/>
      <c r="P100" s="924" t="str">
        <f t="shared" si="9"/>
        <v/>
      </c>
      <c r="Q100" s="924" t="str">
        <f t="shared" si="10"/>
        <v/>
      </c>
    </row>
    <row r="101" spans="2:17" ht="45" customHeight="1">
      <c r="B101" s="821"/>
      <c r="C101" s="821"/>
      <c r="D101" s="821"/>
      <c r="E101" s="821"/>
      <c r="F101" s="1355"/>
      <c r="G101" s="1426"/>
      <c r="H101" s="871" t="str">
        <f>IF($G$5=$W$5,9.4,"")</f>
        <v/>
      </c>
      <c r="I101" s="872" t="str">
        <f>IF($G$5=$W$5,"Aggregate","-")</f>
        <v>-</v>
      </c>
      <c r="J101" s="929">
        <f>IF($G$5=$W$5,0.5,0)</f>
        <v>0</v>
      </c>
      <c r="K101" s="482"/>
      <c r="L101" s="192"/>
      <c r="M101" s="810"/>
      <c r="N101" s="844"/>
      <c r="O101" s="455"/>
      <c r="P101" s="924" t="str">
        <f t="shared" si="9"/>
        <v/>
      </c>
      <c r="Q101" s="924" t="str">
        <f t="shared" si="10"/>
        <v/>
      </c>
    </row>
    <row r="102" spans="2:17" ht="45" customHeight="1">
      <c r="B102" s="821"/>
      <c r="C102" s="821"/>
      <c r="D102" s="821"/>
      <c r="E102" s="821"/>
      <c r="F102" s="1341" t="s">
        <v>1074</v>
      </c>
      <c r="G102" s="1424" t="s">
        <v>785</v>
      </c>
      <c r="H102" s="871">
        <v>10.1</v>
      </c>
      <c r="I102" s="872" t="s">
        <v>1075</v>
      </c>
      <c r="J102" s="929">
        <v>1</v>
      </c>
      <c r="K102" s="482"/>
      <c r="L102" s="192"/>
      <c r="M102" s="810"/>
      <c r="N102" s="844"/>
      <c r="O102" s="455"/>
      <c r="P102" s="924" t="str">
        <f t="shared" si="9"/>
        <v/>
      </c>
      <c r="Q102" s="924" t="str">
        <f t="shared" si="10"/>
        <v/>
      </c>
    </row>
    <row r="103" spans="2:17" ht="45" customHeight="1">
      <c r="B103" s="821"/>
      <c r="C103" s="821"/>
      <c r="D103" s="821"/>
      <c r="E103" s="821"/>
      <c r="F103" s="1355"/>
      <c r="G103" s="1426"/>
      <c r="H103" s="871">
        <v>10.199999999999999</v>
      </c>
      <c r="I103" s="872" t="s">
        <v>300</v>
      </c>
      <c r="J103" s="929">
        <v>1</v>
      </c>
      <c r="K103" s="482"/>
      <c r="L103" s="192"/>
      <c r="M103" s="810"/>
      <c r="N103" s="844"/>
      <c r="O103" s="455"/>
      <c r="P103" s="924" t="str">
        <f t="shared" si="9"/>
        <v/>
      </c>
      <c r="Q103" s="924" t="str">
        <f t="shared" si="10"/>
        <v/>
      </c>
    </row>
    <row r="104" spans="2:17" ht="45" customHeight="1">
      <c r="B104" s="389" t="s">
        <v>430</v>
      </c>
      <c r="C104" s="821"/>
      <c r="D104" s="821"/>
      <c r="E104" s="821"/>
      <c r="F104" s="1341" t="s">
        <v>1076</v>
      </c>
      <c r="G104" s="1424" t="s">
        <v>345</v>
      </c>
      <c r="H104" s="871">
        <v>11.1</v>
      </c>
      <c r="I104" s="872" t="s">
        <v>1077</v>
      </c>
      <c r="J104" s="929">
        <v>1</v>
      </c>
      <c r="K104" s="482"/>
      <c r="L104" s="192"/>
      <c r="M104" s="810"/>
      <c r="N104" s="844"/>
      <c r="O104" s="455"/>
      <c r="P104" s="924" t="str">
        <f t="shared" si="9"/>
        <v/>
      </c>
      <c r="Q104" s="924" t="str">
        <f t="shared" si="10"/>
        <v/>
      </c>
    </row>
    <row r="105" spans="2:17" ht="45" customHeight="1">
      <c r="B105" s="821">
        <f>SUM(B9:B94)</f>
        <v>0</v>
      </c>
      <c r="C105" s="821"/>
      <c r="D105" s="821"/>
      <c r="E105" s="821"/>
      <c r="F105" s="1351"/>
      <c r="G105" s="1425"/>
      <c r="H105" s="871">
        <v>11.2</v>
      </c>
      <c r="I105" s="872" t="s">
        <v>1078</v>
      </c>
      <c r="J105" s="929">
        <v>1</v>
      </c>
      <c r="K105" s="482"/>
      <c r="L105" s="192"/>
      <c r="M105" s="810"/>
      <c r="N105" s="844"/>
      <c r="O105" s="455"/>
      <c r="P105" s="924" t="str">
        <f t="shared" si="9"/>
        <v/>
      </c>
      <c r="Q105" s="924" t="str">
        <f t="shared" si="10"/>
        <v/>
      </c>
    </row>
    <row r="106" spans="2:17" ht="45" customHeight="1">
      <c r="B106" s="821"/>
      <c r="C106" s="821"/>
      <c r="D106" s="821"/>
      <c r="E106" s="821"/>
      <c r="F106" s="1355"/>
      <c r="G106" s="1426"/>
      <c r="H106" s="871">
        <v>11.3</v>
      </c>
      <c r="I106" s="872" t="str">
        <f>IF($G$5=$W$5,"Mass Transport","Public Transport")</f>
        <v>Public Transport</v>
      </c>
      <c r="J106" s="929">
        <v>1</v>
      </c>
      <c r="K106" s="482"/>
      <c r="L106" s="192"/>
      <c r="M106" s="810"/>
      <c r="N106" s="844"/>
      <c r="O106" s="455"/>
      <c r="P106" s="924" t="str">
        <f t="shared" si="9"/>
        <v/>
      </c>
      <c r="Q106" s="924" t="str">
        <f t="shared" si="10"/>
        <v/>
      </c>
    </row>
    <row r="107" spans="2:17" ht="45" customHeight="1">
      <c r="B107" s="821"/>
      <c r="C107" s="821"/>
      <c r="D107" s="821"/>
      <c r="E107" s="821"/>
      <c r="F107" s="362" t="s">
        <v>305</v>
      </c>
      <c r="G107" s="363"/>
      <c r="H107" s="362"/>
      <c r="I107" s="362"/>
      <c r="J107" s="376">
        <f>SUM(J82:J106)</f>
        <v>31</v>
      </c>
      <c r="K107" s="464">
        <f>SUM(K82:K106)</f>
        <v>0</v>
      </c>
      <c r="L107" s="192"/>
      <c r="M107" s="362"/>
      <c r="N107" s="362"/>
      <c r="O107" s="362"/>
      <c r="P107" s="367"/>
      <c r="Q107" s="367"/>
    </row>
    <row r="108" spans="2:17" ht="45" customHeight="1">
      <c r="B108" s="821"/>
      <c r="C108" s="821"/>
      <c r="D108" s="821"/>
      <c r="E108" s="821"/>
      <c r="F108" s="192"/>
      <c r="G108" s="192"/>
      <c r="H108" s="192"/>
      <c r="I108" s="192"/>
      <c r="J108" s="192"/>
      <c r="K108" s="259"/>
      <c r="L108" s="192"/>
      <c r="M108" s="192"/>
      <c r="N108" s="192"/>
      <c r="O108" s="192"/>
      <c r="P108" s="192"/>
      <c r="Q108" s="192"/>
    </row>
    <row r="109" spans="2:17" ht="45" customHeight="1">
      <c r="B109" s="821"/>
      <c r="C109" s="821"/>
      <c r="D109" s="821"/>
      <c r="E109" s="821"/>
      <c r="F109" s="380" t="s">
        <v>419</v>
      </c>
      <c r="G109" s="380"/>
      <c r="H109" s="380"/>
      <c r="I109" s="380"/>
      <c r="J109" s="356"/>
      <c r="K109" s="357"/>
      <c r="L109" s="192"/>
      <c r="M109" s="386"/>
      <c r="N109" s="386"/>
      <c r="O109" s="387"/>
      <c r="P109" s="387"/>
      <c r="Q109" s="387"/>
    </row>
    <row r="110" spans="2:17" ht="45" customHeight="1">
      <c r="B110" s="821"/>
      <c r="C110" s="821"/>
      <c r="D110" s="821"/>
      <c r="E110" s="821"/>
      <c r="F110" s="360" t="s">
        <v>1079</v>
      </c>
      <c r="G110" s="388" t="s">
        <v>419</v>
      </c>
      <c r="H110" s="930">
        <v>38</v>
      </c>
      <c r="I110" s="890" t="s">
        <v>419</v>
      </c>
      <c r="J110" s="931">
        <v>10</v>
      </c>
      <c r="K110" s="932"/>
      <c r="L110" s="192"/>
      <c r="M110" s="810"/>
      <c r="N110" s="844"/>
      <c r="O110" s="455"/>
      <c r="P110" s="924" t="str">
        <f>IF(ISBLANK($K110)=FALSE,IF(M110="","No","Yes"),"")</f>
        <v/>
      </c>
      <c r="Q110" s="924" t="str">
        <f>IF(ISBLANK($K110)=FALSE,IF(N110="","No","Yes"),"")</f>
        <v/>
      </c>
    </row>
    <row r="111" spans="2:17" ht="45" customHeight="1">
      <c r="B111" s="821"/>
      <c r="C111" s="821"/>
      <c r="D111" s="821"/>
      <c r="E111" s="821"/>
      <c r="F111" s="362" t="s">
        <v>305</v>
      </c>
      <c r="G111" s="363"/>
      <c r="H111" s="362"/>
      <c r="I111" s="362"/>
      <c r="J111" s="376">
        <f>SUM(J110)</f>
        <v>10</v>
      </c>
      <c r="K111" s="376">
        <f>IF(K110&gt;10,10,K110)</f>
        <v>0</v>
      </c>
      <c r="L111" s="192"/>
      <c r="M111" s="362"/>
      <c r="N111" s="362"/>
      <c r="O111" s="362"/>
      <c r="P111" s="367"/>
      <c r="Q111" s="367"/>
    </row>
    <row r="112" spans="2:17" ht="45" customHeight="1">
      <c r="B112" s="164"/>
      <c r="C112" s="164"/>
      <c r="D112" s="821"/>
      <c r="E112" s="821"/>
      <c r="F112" s="891"/>
      <c r="G112" s="892"/>
      <c r="H112" s="866"/>
      <c r="I112" s="891"/>
      <c r="J112" s="866"/>
      <c r="K112" s="866"/>
      <c r="L112" s="192"/>
      <c r="M112" s="821"/>
      <c r="N112" s="821"/>
      <c r="O112" s="821"/>
      <c r="P112" s="192"/>
      <c r="Q112" s="192"/>
    </row>
    <row r="113" spans="2:17" ht="45" hidden="1" customHeight="1">
      <c r="B113" s="164"/>
      <c r="C113" s="164"/>
      <c r="D113" s="821"/>
      <c r="E113" s="821"/>
      <c r="F113" s="891"/>
      <c r="G113" s="892"/>
      <c r="H113" s="866"/>
      <c r="I113" s="390" t="s">
        <v>431</v>
      </c>
      <c r="J113" s="391" t="s">
        <v>432</v>
      </c>
      <c r="K113" s="391" t="s">
        <v>433</v>
      </c>
      <c r="L113" s="192"/>
      <c r="M113" s="821"/>
      <c r="N113" s="821"/>
      <c r="O113" s="821"/>
      <c r="P113" s="192"/>
      <c r="Q113" s="192"/>
    </row>
    <row r="114" spans="2:17" ht="45" hidden="1" customHeight="1">
      <c r="B114" s="821"/>
      <c r="C114" s="821"/>
      <c r="D114" s="821"/>
      <c r="E114" s="821"/>
      <c r="F114" s="891"/>
      <c r="G114" s="892"/>
      <c r="H114" s="866"/>
      <c r="I114" s="392" t="s">
        <v>434</v>
      </c>
      <c r="J114" s="393">
        <f>100-B105</f>
        <v>100</v>
      </c>
      <c r="K114" s="394">
        <f>SUM(K25,K34,K56,K79,K111)</f>
        <v>0</v>
      </c>
      <c r="L114" s="192"/>
      <c r="M114" s="821"/>
      <c r="N114" s="821"/>
      <c r="O114" s="821"/>
      <c r="P114" s="192"/>
      <c r="Q114" s="192"/>
    </row>
    <row r="115" spans="2:17" ht="45" hidden="1" customHeight="1">
      <c r="B115" s="821"/>
      <c r="C115" s="821"/>
      <c r="D115" s="821"/>
      <c r="E115" s="821"/>
      <c r="F115" s="891"/>
      <c r="G115" s="892"/>
      <c r="H115" s="866"/>
      <c r="I115" s="392" t="s">
        <v>435</v>
      </c>
      <c r="J115" s="395"/>
      <c r="K115" s="396">
        <f>K114/J114*100</f>
        <v>0</v>
      </c>
      <c r="L115" s="192"/>
      <c r="M115" s="821"/>
      <c r="N115" s="821"/>
      <c r="O115" s="821"/>
      <c r="P115" s="192"/>
      <c r="Q115" s="192"/>
    </row>
    <row r="116" spans="2:17" ht="45" hidden="1" customHeight="1">
      <c r="B116" s="821"/>
      <c r="C116" s="821"/>
      <c r="D116" s="821"/>
      <c r="E116" s="821"/>
      <c r="F116" s="891"/>
      <c r="G116" s="892"/>
      <c r="H116" s="866"/>
      <c r="I116" s="392" t="s">
        <v>436</v>
      </c>
      <c r="J116" s="393">
        <v>10</v>
      </c>
      <c r="K116" s="394">
        <f>K111</f>
        <v>0</v>
      </c>
      <c r="L116" s="192"/>
      <c r="M116" s="821"/>
      <c r="N116" s="821"/>
      <c r="O116" s="821"/>
      <c r="P116" s="192"/>
      <c r="Q116" s="192"/>
    </row>
    <row r="117" spans="2:17" ht="45" hidden="1" customHeight="1">
      <c r="B117" s="821"/>
      <c r="C117" s="821"/>
      <c r="D117" s="821"/>
      <c r="E117" s="821"/>
      <c r="F117" s="891"/>
      <c r="G117" s="892"/>
      <c r="H117" s="866"/>
      <c r="I117" s="392" t="s">
        <v>237</v>
      </c>
      <c r="J117" s="395"/>
      <c r="K117" s="396">
        <f>K115+K116</f>
        <v>0</v>
      </c>
      <c r="L117" s="192"/>
      <c r="M117" s="821"/>
      <c r="N117" s="821"/>
      <c r="O117" s="821"/>
      <c r="P117" s="192"/>
      <c r="Q117" s="192"/>
    </row>
    <row r="118" spans="2:17" ht="45" hidden="1" customHeight="1">
      <c r="B118" s="821"/>
      <c r="C118" s="821"/>
      <c r="D118" s="821"/>
      <c r="E118" s="821"/>
      <c r="F118" s="891"/>
      <c r="G118" s="892"/>
      <c r="H118" s="866"/>
      <c r="I118" s="814"/>
      <c r="J118" s="538"/>
      <c r="K118" s="538"/>
      <c r="L118" s="192"/>
      <c r="M118" s="821"/>
      <c r="N118" s="821"/>
      <c r="O118" s="821"/>
      <c r="P118" s="192"/>
      <c r="Q118" s="192"/>
    </row>
    <row r="119" spans="2:17" ht="45" hidden="1" customHeight="1">
      <c r="B119" s="821"/>
      <c r="C119" s="821"/>
      <c r="D119" s="821"/>
      <c r="E119" s="821"/>
      <c r="F119" s="891"/>
      <c r="G119" s="892"/>
      <c r="H119" s="866"/>
      <c r="I119" s="392" t="s">
        <v>795</v>
      </c>
      <c r="J119" s="1338" t="str">
        <f>IF(S85=Y12,"Sustainable Sites Conditional Requirement not met",IF(AND(M114&gt;=75,M25&gt;=AH9,M34&gt;=AH10,M56&gt;=AH11,M79&gt;=AH12),"6 Stars - World Excellence",IF(AND(96&gt;=60,M25&gt;=AG9,M34&gt;=AG10,M56&gt;=AG11,M79&gt;=AG12),"5 Star - Australian Excellence",IF(AND(M114&gt;=45,M25&gt;=AF9,M34&gt;=AF10,M56&gt;=AF11,M79&gt;=AF12),"4 Star - Best Practice",""))))</f>
        <v>Sustainable Sites Conditional Requirement not met</v>
      </c>
      <c r="K119" s="1338"/>
      <c r="L119" s="192"/>
      <c r="M119" s="821"/>
      <c r="N119" s="821"/>
      <c r="O119" s="821"/>
      <c r="P119" s="192"/>
      <c r="Q119" s="192"/>
    </row>
    <row r="120" spans="2:17" ht="45" hidden="1" customHeight="1">
      <c r="B120" s="821"/>
      <c r="C120" s="821"/>
      <c r="D120" s="821"/>
      <c r="E120" s="821"/>
      <c r="F120" s="891"/>
      <c r="G120" s="892"/>
      <c r="H120" s="866"/>
      <c r="I120" s="891"/>
      <c r="J120" s="866"/>
      <c r="K120" s="866"/>
      <c r="L120" s="192"/>
      <c r="M120" s="821"/>
      <c r="N120" s="821"/>
      <c r="O120" s="821"/>
      <c r="P120" s="192"/>
      <c r="Q120" s="192"/>
    </row>
    <row r="121" spans="2:17" ht="38.25" customHeight="1">
      <c r="B121" s="821"/>
      <c r="C121" s="821"/>
      <c r="D121" s="821"/>
      <c r="E121" s="821"/>
      <c r="F121" s="397"/>
      <c r="G121" s="398"/>
      <c r="H121" s="64"/>
      <c r="I121" s="230" t="s">
        <v>437</v>
      </c>
      <c r="J121" s="243"/>
      <c r="K121" s="399"/>
      <c r="L121" s="192"/>
      <c r="M121" s="271" t="s">
        <v>438</v>
      </c>
      <c r="N121" s="271" t="s">
        <v>439</v>
      </c>
      <c r="O121" s="821"/>
      <c r="P121" s="192"/>
      <c r="Q121" s="192"/>
    </row>
    <row r="122" spans="2:17" ht="45" customHeight="1">
      <c r="B122" s="821"/>
      <c r="C122" s="821"/>
      <c r="D122" s="821"/>
      <c r="E122" s="821"/>
      <c r="F122" s="893"/>
      <c r="G122" s="894"/>
      <c r="H122" s="866"/>
      <c r="I122" s="895" t="s">
        <v>440</v>
      </c>
      <c r="J122" s="896"/>
      <c r="K122" s="844"/>
      <c r="L122" s="192"/>
      <c r="M122" s="400">
        <f>SUMIF(P9:P110,"Yes",M9:M110)</f>
        <v>0</v>
      </c>
      <c r="N122" s="400">
        <f>SUMIF(Q9:Q110,"Yes",N9:N110)</f>
        <v>0</v>
      </c>
      <c r="O122" s="821"/>
      <c r="P122" s="821"/>
      <c r="Q122" s="821"/>
    </row>
    <row r="123" spans="2:17" ht="45" customHeight="1">
      <c r="B123" s="821"/>
      <c r="C123" s="821"/>
      <c r="D123" s="821"/>
      <c r="E123" s="821"/>
      <c r="F123" s="893"/>
      <c r="G123" s="894"/>
      <c r="H123" s="897"/>
      <c r="I123" s="895" t="s">
        <v>441</v>
      </c>
      <c r="J123" s="896"/>
      <c r="K123" s="844"/>
      <c r="L123" s="192"/>
      <c r="M123" s="164"/>
      <c r="N123" s="164"/>
      <c r="O123" s="821"/>
      <c r="P123" s="821"/>
      <c r="Q123" s="821"/>
    </row>
    <row r="124" spans="2:17" ht="45" customHeight="1">
      <c r="B124" s="821"/>
      <c r="C124" s="821"/>
      <c r="D124" s="821"/>
      <c r="E124" s="821"/>
      <c r="F124" s="893"/>
      <c r="G124" s="894"/>
      <c r="H124" s="866"/>
      <c r="I124" s="360" t="s">
        <v>442</v>
      </c>
      <c r="J124" s="896"/>
      <c r="K124" s="401">
        <f>K122+K123</f>
        <v>0</v>
      </c>
      <c r="L124" s="192"/>
      <c r="M124" s="164"/>
      <c r="N124" s="164"/>
      <c r="O124" s="821"/>
      <c r="P124" s="821"/>
      <c r="Q124" s="821"/>
    </row>
    <row r="125" spans="2:17" ht="45" customHeight="1">
      <c r="B125" s="821"/>
      <c r="C125" s="821"/>
      <c r="D125" s="821"/>
      <c r="E125" s="821"/>
      <c r="F125" s="822"/>
      <c r="G125" s="846"/>
      <c r="H125" s="838"/>
      <c r="I125" s="895" t="s">
        <v>443</v>
      </c>
      <c r="J125" s="896"/>
      <c r="K125" s="844"/>
      <c r="L125" s="192"/>
      <c r="M125" s="164"/>
      <c r="N125" s="164"/>
      <c r="O125" s="821"/>
      <c r="P125" s="821"/>
      <c r="Q125" s="821"/>
    </row>
    <row r="126" spans="2:17" ht="45" customHeight="1">
      <c r="B126" s="821"/>
      <c r="C126" s="821"/>
      <c r="D126" s="821"/>
      <c r="E126" s="821"/>
      <c r="F126" s="822"/>
      <c r="G126" s="846"/>
      <c r="H126" s="838"/>
      <c r="I126" s="360" t="s">
        <v>107</v>
      </c>
      <c r="J126" s="896"/>
      <c r="K126" s="401">
        <f>M122</f>
        <v>0</v>
      </c>
      <c r="L126" s="192"/>
      <c r="M126" s="164"/>
      <c r="N126" s="164"/>
      <c r="O126" s="821"/>
      <c r="P126" s="821"/>
      <c r="Q126" s="821"/>
    </row>
    <row r="127" spans="2:17" ht="45" customHeight="1">
      <c r="B127" s="821"/>
      <c r="C127" s="821"/>
      <c r="D127" s="821"/>
      <c r="E127" s="821"/>
      <c r="F127" s="822"/>
      <c r="G127" s="846"/>
      <c r="H127" s="838"/>
      <c r="I127" s="360" t="s">
        <v>444</v>
      </c>
      <c r="J127" s="896"/>
      <c r="K127" s="401">
        <f>N122</f>
        <v>0</v>
      </c>
      <c r="L127" s="192"/>
      <c r="M127" s="164"/>
      <c r="N127" s="164"/>
      <c r="O127" s="821"/>
      <c r="P127" s="821"/>
      <c r="Q127" s="821"/>
    </row>
    <row r="128" spans="2:17" ht="45" customHeight="1">
      <c r="B128" s="821"/>
      <c r="C128" s="821"/>
      <c r="D128" s="821"/>
      <c r="E128" s="821"/>
      <c r="F128" s="822"/>
      <c r="G128" s="846"/>
      <c r="H128" s="838"/>
      <c r="I128" s="360" t="s">
        <v>445</v>
      </c>
      <c r="J128" s="896"/>
      <c r="K128" s="401">
        <f>SUM(K125:K127)</f>
        <v>0</v>
      </c>
      <c r="L128" s="192"/>
      <c r="M128" s="164"/>
      <c r="N128" s="164"/>
      <c r="O128" s="821"/>
      <c r="P128" s="821"/>
      <c r="Q128" s="821"/>
    </row>
    <row r="129" spans="5:14" ht="45" customHeight="1">
      <c r="E129" s="821"/>
      <c r="F129" s="822"/>
      <c r="G129" s="846"/>
      <c r="H129" s="838"/>
      <c r="I129" s="360" t="s">
        <v>112</v>
      </c>
      <c r="J129" s="896"/>
      <c r="K129" s="402">
        <f>IFERROR(K128/K124,0)</f>
        <v>0</v>
      </c>
      <c r="L129" s="192"/>
      <c r="M129" s="164"/>
      <c r="N129" s="164"/>
    </row>
    <row r="130" spans="5:14" ht="30" customHeight="1">
      <c r="E130" s="821"/>
      <c r="F130" s="822"/>
      <c r="G130" s="846"/>
      <c r="H130" s="838"/>
      <c r="I130" s="822"/>
      <c r="J130" s="838"/>
      <c r="K130" s="838"/>
      <c r="L130" s="838"/>
      <c r="M130" s="821"/>
      <c r="N130" s="821"/>
    </row>
    <row r="131" spans="5:14">
      <c r="E131" s="142"/>
      <c r="F131" s="822"/>
      <c r="G131" s="846"/>
      <c r="H131" s="838"/>
      <c r="I131" s="230" t="s">
        <v>101</v>
      </c>
      <c r="J131" s="243"/>
      <c r="K131" s="403" t="s">
        <v>602</v>
      </c>
      <c r="L131" s="243"/>
      <c r="M131" s="821"/>
      <c r="N131" s="821"/>
    </row>
    <row r="132" spans="5:14" ht="35.1" customHeight="1">
      <c r="E132" s="142"/>
      <c r="F132" s="822"/>
      <c r="G132" s="846"/>
      <c r="H132" s="838"/>
      <c r="I132" s="118" t="s">
        <v>447</v>
      </c>
      <c r="J132" s="898" t="s">
        <v>937</v>
      </c>
      <c r="K132" s="1227" t="str">
        <f>IF(J132="Yes","No Issues", IF(J132="No","Contact project team","Check scorecard points"))</f>
        <v>Check scorecard points</v>
      </c>
      <c r="L132" s="1227"/>
      <c r="M132" s="821"/>
      <c r="N132" s="821"/>
    </row>
    <row r="133" spans="5:14" ht="35.1" customHeight="1">
      <c r="E133" s="142"/>
      <c r="F133" s="822"/>
      <c r="G133" s="846"/>
      <c r="H133" s="838"/>
      <c r="I133" s="118" t="s">
        <v>604</v>
      </c>
      <c r="J133" s="898">
        <f>COUNTA(K9:K24,K28:K33,K37:K55,K59:K78,K82:K106,K110)</f>
        <v>0</v>
      </c>
      <c r="K133" s="1227" t="str">
        <f>IF(J133=0,"No credits entered","No Issues")</f>
        <v>No credits entered</v>
      </c>
      <c r="L133" s="1227"/>
      <c r="M133" s="821"/>
      <c r="N133" s="821"/>
    </row>
    <row r="134" spans="5:14" ht="60" customHeight="1">
      <c r="E134" s="142"/>
      <c r="F134" s="822"/>
      <c r="G134" s="846"/>
      <c r="H134" s="838"/>
      <c r="I134" s="118" t="s">
        <v>451</v>
      </c>
      <c r="J134" s="898">
        <f>COUNTIF(P18:P110,"Yes")</f>
        <v>0</v>
      </c>
      <c r="K134" s="1229" t="str">
        <f>IF(J134&lt;J133,CONCATENATE(J133-J134," documentation costs missing"),IF(J134=0,"No credits entered",IF(COUNTIF(M9:M110,0)&gt;0,CONCATENATE(COUNTIF(M9:M110,0)," $0 cost(s) provided. Enter a value or explain the $0 value in the Comments column."),"No Issues")))</f>
        <v>No credits entered</v>
      </c>
      <c r="L134" s="1229"/>
      <c r="M134" s="454"/>
      <c r="N134" s="595"/>
    </row>
    <row r="135" spans="5:14" ht="60" customHeight="1">
      <c r="E135" s="142"/>
      <c r="F135" s="822"/>
      <c r="G135" s="846"/>
      <c r="H135" s="838"/>
      <c r="I135" s="118" t="s">
        <v>452</v>
      </c>
      <c r="J135" s="898">
        <f>COUNTIF(Q18:Q110,"Yes")</f>
        <v>0</v>
      </c>
      <c r="K135" s="1229" t="str">
        <f>IF(J135&lt;J133,CONCATENATE(J133-J135," implementation costs missing"),IF(J135=0,"No credits entered",IF(COUNTIF(N9:N110,0)&gt;ROUND(0.25*J133,0),CONCATENATE(COUNTIF(N9:N110,0)," $0 cost(s) provided. Enter a value or explain the $0 value in the Comments column."),"No Issues")))</f>
        <v>No credits entered</v>
      </c>
      <c r="L135" s="1229"/>
      <c r="M135" s="454"/>
      <c r="N135" s="595"/>
    </row>
    <row r="136" spans="5:14" ht="35.1" customHeight="1">
      <c r="E136" s="142"/>
      <c r="F136" s="822"/>
      <c r="G136" s="846"/>
      <c r="H136" s="838"/>
      <c r="I136" s="118" t="s">
        <v>453</v>
      </c>
      <c r="J136" s="898" t="str">
        <f>IF(K122&gt;0,"Yes","No")</f>
        <v>No</v>
      </c>
      <c r="K136" s="1229" t="str">
        <f>IF(J136="No","Total Design Cost missing","No Issues")</f>
        <v>Total Design Cost missing</v>
      </c>
      <c r="L136" s="1229"/>
      <c r="M136" s="821"/>
      <c r="N136" s="821"/>
    </row>
    <row r="137" spans="5:14" ht="35.1" customHeight="1">
      <c r="E137" s="142"/>
      <c r="F137" s="822"/>
      <c r="G137" s="846"/>
      <c r="H137" s="838"/>
      <c r="I137" s="118" t="s">
        <v>454</v>
      </c>
      <c r="J137" s="898" t="str">
        <f>IF(K123&gt;0,"Yes","No")</f>
        <v>No</v>
      </c>
      <c r="K137" s="1229" t="str">
        <f>IF(J137="No","Total Construction Cost missing","No Issues")</f>
        <v>Total Construction Cost missing</v>
      </c>
      <c r="L137" s="1229"/>
      <c r="M137" s="821"/>
      <c r="N137" s="821"/>
    </row>
    <row r="138" spans="5:14" ht="35.1" customHeight="1">
      <c r="E138" s="142"/>
      <c r="F138" s="822"/>
      <c r="G138" s="846"/>
      <c r="H138" s="838"/>
      <c r="I138" s="118" t="s">
        <v>455</v>
      </c>
      <c r="J138" s="898" t="str">
        <f>IF(K125&gt;0,"Yes","No")</f>
        <v>No</v>
      </c>
      <c r="K138" s="1229" t="str">
        <f>IF(J138="No","Green Star Certification Fees missing","No Issues")</f>
        <v>Green Star Certification Fees missing</v>
      </c>
      <c r="L138" s="1229"/>
      <c r="M138" s="821"/>
      <c r="N138" s="821"/>
    </row>
    <row r="139" spans="5:14" ht="35.1" hidden="1" customHeight="1">
      <c r="E139" s="142" t="s">
        <v>14</v>
      </c>
      <c r="F139" s="822"/>
      <c r="G139" s="846"/>
      <c r="H139" s="838"/>
      <c r="I139" s="584" t="s">
        <v>188</v>
      </c>
      <c r="J139" s="585"/>
      <c r="K139" s="1230" t="s">
        <v>652</v>
      </c>
      <c r="L139" s="1230"/>
      <c r="M139" s="821"/>
      <c r="N139" s="821"/>
    </row>
    <row r="140" spans="5:14" ht="45" hidden="1" customHeight="1">
      <c r="E140" s="142" t="s">
        <v>14</v>
      </c>
      <c r="F140" s="822"/>
      <c r="G140" s="846"/>
      <c r="H140" s="838"/>
      <c r="I140" s="120" t="s">
        <v>457</v>
      </c>
      <c r="J140" s="1334" t="str">
        <f>IF(OR(COUNTIF(K132:L138,"No Issues*")=7,K139="YES"),"1 POINT AWARDED","1 POINT NOT AWARDED")</f>
        <v>1 POINT NOT AWARDED</v>
      </c>
      <c r="K140" s="1334"/>
      <c r="L140" s="1334"/>
      <c r="M140" s="821"/>
      <c r="N140" s="821"/>
    </row>
  </sheetData>
  <sheetProtection algorithmName="SHA-512" hashValue="4VGqXnfxTsiJIzNPH7WgFL++JV4URSlWBDACAOYVPje1Lq426vn0GL91v6O/OULQIK1opKZsaDvimZfRKBewlw==" saltValue="YLlLPHuPgI5NNyG/u6L7eA==" spinCount="100000" sheet="1" objects="1" scenarios="1"/>
  <dataConsolidate/>
  <customSheetViews>
    <customSheetView guid="{CEACA748-A46A-4C8B-98CF-30E51B671B84}" scale="85" showGridLines="0" fitToPage="1" printArea="1" hiddenRows="1" hiddenColumns="1" topLeftCell="E1">
      <pane ySplit="7" topLeftCell="A130" activePane="bottomLeft" state="frozen"/>
      <selection pane="bottomLeft" activeCell="J141" sqref="J141"/>
      <pageMargins left="0" right="0" top="0" bottom="0" header="0" footer="0"/>
      <pageSetup paperSize="9" scale="55" orientation="portrait" horizontalDpi="1200" verticalDpi="1200" r:id="rId1"/>
    </customSheetView>
  </customSheetViews>
  <mergeCells count="73">
    <mergeCell ref="K139:L139"/>
    <mergeCell ref="J90:J91"/>
    <mergeCell ref="K135:L135"/>
    <mergeCell ref="K136:L136"/>
    <mergeCell ref="K137:L137"/>
    <mergeCell ref="J119:K119"/>
    <mergeCell ref="K132:L132"/>
    <mergeCell ref="K133:L133"/>
    <mergeCell ref="K134:L134"/>
    <mergeCell ref="K138:L138"/>
    <mergeCell ref="G21:G22"/>
    <mergeCell ref="F21:F22"/>
    <mergeCell ref="G23:G24"/>
    <mergeCell ref="F23:F24"/>
    <mergeCell ref="F27:I27"/>
    <mergeCell ref="G16:G18"/>
    <mergeCell ref="F16:F18"/>
    <mergeCell ref="F8:I8"/>
    <mergeCell ref="G19:G20"/>
    <mergeCell ref="F19:F20"/>
    <mergeCell ref="F1:I1"/>
    <mergeCell ref="M6:N6"/>
    <mergeCell ref="G10:G12"/>
    <mergeCell ref="F10:F12"/>
    <mergeCell ref="G13:G15"/>
    <mergeCell ref="F13:F15"/>
    <mergeCell ref="G94:G96"/>
    <mergeCell ref="G28:G29"/>
    <mergeCell ref="F28:F29"/>
    <mergeCell ref="G38:G42"/>
    <mergeCell ref="F38:F42"/>
    <mergeCell ref="F43:F46"/>
    <mergeCell ref="G47:G48"/>
    <mergeCell ref="F47:F48"/>
    <mergeCell ref="G49:G50"/>
    <mergeCell ref="G51:G53"/>
    <mergeCell ref="F51:F53"/>
    <mergeCell ref="G54:G55"/>
    <mergeCell ref="F59:F63"/>
    <mergeCell ref="G43:G46"/>
    <mergeCell ref="F36:I36"/>
    <mergeCell ref="G59:G61"/>
    <mergeCell ref="G62:G63"/>
    <mergeCell ref="G76:G78"/>
    <mergeCell ref="G31:G32"/>
    <mergeCell ref="F31:F32"/>
    <mergeCell ref="F49:F50"/>
    <mergeCell ref="F54:F55"/>
    <mergeCell ref="G66:G67"/>
    <mergeCell ref="F66:F67"/>
    <mergeCell ref="G64:G65"/>
    <mergeCell ref="F64:F65"/>
    <mergeCell ref="G69:G70"/>
    <mergeCell ref="F69:F70"/>
    <mergeCell ref="G72:G74"/>
    <mergeCell ref="F72:F74"/>
    <mergeCell ref="F75:F78"/>
    <mergeCell ref="J140:L140"/>
    <mergeCell ref="G82:G84"/>
    <mergeCell ref="F82:F84"/>
    <mergeCell ref="G90:G91"/>
    <mergeCell ref="F90:F91"/>
    <mergeCell ref="F97:F101"/>
    <mergeCell ref="G97:G101"/>
    <mergeCell ref="G102:G103"/>
    <mergeCell ref="F102:F103"/>
    <mergeCell ref="G104:G106"/>
    <mergeCell ref="F104:F106"/>
    <mergeCell ref="G85:G86"/>
    <mergeCell ref="F85:F86"/>
    <mergeCell ref="G92:G93"/>
    <mergeCell ref="F92:F93"/>
    <mergeCell ref="F94:F96"/>
  </mergeCells>
  <conditionalFormatting sqref="G2:G5">
    <cfRule type="containsText" dxfId="82" priority="8" operator="containsText" text="Please">
      <formula>NOT(ISERROR(SEARCH("Please",G2)))</formula>
    </cfRule>
  </conditionalFormatting>
  <conditionalFormatting sqref="M6 O6">
    <cfRule type="containsText" dxfId="81" priority="7" operator="containsText" text="Select">
      <formula>NOT(ISERROR(SEARCH("Select",M6)))</formula>
    </cfRule>
  </conditionalFormatting>
  <conditionalFormatting sqref="H55:K55">
    <cfRule type="expression" dxfId="80" priority="17">
      <formula>$G$54=$S$54</formula>
    </cfRule>
  </conditionalFormatting>
  <conditionalFormatting sqref="H62:K62">
    <cfRule type="expression" dxfId="79" priority="624">
      <formula>$G$62=$S$63</formula>
    </cfRule>
  </conditionalFormatting>
  <conditionalFormatting sqref="H63:K63">
    <cfRule type="expression" dxfId="78" priority="36">
      <formula>$G$62=$S$62</formula>
    </cfRule>
  </conditionalFormatting>
  <conditionalFormatting sqref="I76:K76 I78:K78">
    <cfRule type="expression" dxfId="77" priority="722">
      <formula>$G$76=$S$77</formula>
    </cfRule>
  </conditionalFormatting>
  <conditionalFormatting sqref="I77:K78">
    <cfRule type="expression" dxfId="76" priority="634">
      <formula>$G$76=$S$76</formula>
    </cfRule>
  </conditionalFormatting>
  <conditionalFormatting sqref="I76:K78">
    <cfRule type="expression" dxfId="75" priority="632">
      <formula>$G$76=$S$75</formula>
    </cfRule>
  </conditionalFormatting>
  <conditionalFormatting sqref="F9:K68 F75:K110">
    <cfRule type="expression" dxfId="74" priority="12">
      <formula>$I9="-"</formula>
    </cfRule>
  </conditionalFormatting>
  <conditionalFormatting sqref="K132:L138">
    <cfRule type="containsText" dxfId="73" priority="6" operator="containsText" text="No Issues">
      <formula>NOT(ISERROR(SEARCH("No Issues",K132)))</formula>
    </cfRule>
  </conditionalFormatting>
  <conditionalFormatting sqref="M110:Q110 M9:Q24 M28:Q33 M37:Q55 M59:Q78 M82:Q106">
    <cfRule type="expression" dxfId="72" priority="11">
      <formula>$K9=""</formula>
    </cfRule>
  </conditionalFormatting>
  <conditionalFormatting sqref="H62:K63">
    <cfRule type="expression" dxfId="71" priority="24">
      <formula>$G$62=$S$61</formula>
    </cfRule>
  </conditionalFormatting>
  <conditionalFormatting sqref="H54:K54">
    <cfRule type="expression" dxfId="70" priority="19">
      <formula>$G$54=$S$55</formula>
    </cfRule>
  </conditionalFormatting>
  <conditionalFormatting sqref="I76:K77">
    <cfRule type="expression" dxfId="69" priority="724">
      <formula>$G$76=$S$78</formula>
    </cfRule>
  </conditionalFormatting>
  <conditionalFormatting sqref="I69:K69 I72:K72">
    <cfRule type="expression" dxfId="68" priority="15" stopIfTrue="1">
      <formula>$I69="-"</formula>
    </cfRule>
  </conditionalFormatting>
  <conditionalFormatting sqref="K139">
    <cfRule type="cellIs" dxfId="67" priority="1" operator="equal">
      <formula>"YES"</formula>
    </cfRule>
  </conditionalFormatting>
  <dataValidations count="18">
    <dataValidation allowBlank="1" showInputMessage="1" showErrorMessage="1" promptTitle="Project Name" prompt="Please enter the project name" sqref="G3" xr:uid="{00000000-0002-0000-0900-000000000000}"/>
    <dataValidation allowBlank="1" showInputMessage="1" showErrorMessage="1" promptTitle="Project Number" prompt="Please enter the Green Star number " sqref="G2" xr:uid="{00000000-0002-0000-0900-000001000000}"/>
    <dataValidation type="list" allowBlank="1" showInputMessage="1" showErrorMessage="1" sqref="M6:N6" xr:uid="{00000000-0002-0000-0900-000002000000}">
      <formula1>$S$4:$S$6</formula1>
    </dataValidation>
    <dataValidation type="list" allowBlank="1" showInputMessage="1" showErrorMessage="1" sqref="O6" xr:uid="{00000000-0002-0000-0900-000003000000}">
      <formula1>$T$4:$T$6</formula1>
    </dataValidation>
    <dataValidation type="list" allowBlank="1" showInputMessage="1" showErrorMessage="1" promptTitle="Green Star Rating" prompt="Please select the project's targeted rating" sqref="G4" xr:uid="{00000000-0002-0000-0900-000004000000}">
      <formula1>$V$4:$V$7</formula1>
    </dataValidation>
    <dataValidation type="list" allowBlank="1" showInputMessage="1" showErrorMessage="1" sqref="G57" xr:uid="{00000000-0002-0000-0900-000005000000}">
      <formula1>$O$55:$O$55</formula1>
    </dataValidation>
    <dataValidation type="decimal" allowBlank="1" showInputMessage="1" showErrorMessage="1" sqref="K9:K24 K70:K71 K110 K98:K106 K37 K39:K42 K44:K48 K28:K33 K85:K90 K92:K96 K50:K55 K60:K68 K73:K78" xr:uid="{00000000-0002-0000-0900-000006000000}">
      <formula1>0</formula1>
      <formula2>J9</formula2>
    </dataValidation>
    <dataValidation type="decimal" operator="lessThanOrEqual" allowBlank="1" showInputMessage="1" showErrorMessage="1" sqref="K111 K107" xr:uid="{00000000-0002-0000-0900-000007000000}">
      <formula1>J107</formula1>
    </dataValidation>
    <dataValidation type="list" allowBlank="1" showInputMessage="1" showErrorMessage="1" promptTitle="Rating Tool Version" prompt="Please select the project's rating tool version" sqref="G5" xr:uid="{00000000-0002-0000-0900-000008000000}">
      <formula1>$W$4:$W$7</formula1>
    </dataValidation>
    <dataValidation type="list" allowBlank="1" showInputMessage="1" showErrorMessage="1" sqref="J132" xr:uid="{00000000-0002-0000-0900-000009000000}">
      <formula1>"Please select, Yes, No"</formula1>
    </dataValidation>
    <dataValidation type="list" allowBlank="1" showInputMessage="1" showErrorMessage="1" sqref="G63" xr:uid="{00000000-0002-0000-0900-00000A000000}">
      <formula1>S62:S63</formula1>
    </dataValidation>
    <dataValidation type="decimal" operator="greaterThanOrEqual" allowBlank="1" showInputMessage="1" showErrorMessage="1" sqref="K125 K122:K123 M9:N110" xr:uid="{00000000-0002-0000-0900-00000B000000}">
      <formula1>0</formula1>
    </dataValidation>
    <dataValidation type="list" allowBlank="1" showInputMessage="1" showErrorMessage="1" sqref="G62 G77:G78" xr:uid="{00000000-0002-0000-0900-00000C000000}">
      <formula1>S61:S63</formula1>
    </dataValidation>
    <dataValidation type="list" allowBlank="1" showInputMessage="1" showErrorMessage="1" sqref="G55" xr:uid="{00000000-0002-0000-0900-00000D000000}">
      <formula1>S55:S55</formula1>
    </dataValidation>
    <dataValidation type="list" allowBlank="1" showInputMessage="1" showErrorMessage="1" sqref="G54" xr:uid="{00000000-0002-0000-0900-00000E000000}">
      <formula1>S54:S55</formula1>
    </dataValidation>
    <dataValidation type="list" allowBlank="1" showInputMessage="1" showErrorMessage="1" sqref="G76" xr:uid="{00000000-0002-0000-0900-00000F000000}">
      <formula1>S75:S78</formula1>
    </dataValidation>
    <dataValidation type="list" allowBlank="1" showInputMessage="1" showErrorMessage="1" sqref="K38 K49 K97 K72 K69 K59 K82:K84 K43" xr:uid="{00000000-0002-0000-0900-000010000000}">
      <formula1>$U$4:$U$5</formula1>
    </dataValidation>
    <dataValidation type="list" allowBlank="1" showInputMessage="1" showErrorMessage="1" sqref="K139:L139" xr:uid="{00000000-0002-0000-0900-000011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249977111117893"/>
  </sheetPr>
  <dimension ref="A1:AB144"/>
  <sheetViews>
    <sheetView showGridLines="0" showRowColHeaders="0" zoomScale="80" zoomScaleNormal="80" workbookViewId="0">
      <pane ySplit="7" topLeftCell="A77" activePane="bottomLeft" state="frozen"/>
      <selection pane="bottomLeft" activeCell="D37" sqref="D37"/>
      <selection activeCell="D37" sqref="D37"/>
    </sheetView>
  </sheetViews>
  <sheetFormatPr defaultColWidth="9.140625" defaultRowHeight="14.1"/>
  <cols>
    <col min="1" max="1" width="4.7109375" style="3" customWidth="1"/>
    <col min="2" max="2" width="30.7109375" style="54" customWidth="1"/>
    <col min="3" max="3" width="55.7109375" style="279" customWidth="1"/>
    <col min="4" max="4" width="52.7109375" style="279" customWidth="1"/>
    <col min="5" max="5" width="15.7109375" style="280" customWidth="1"/>
    <col min="6" max="6" width="15.7109375" style="281" customWidth="1"/>
    <col min="7" max="7" width="10.7109375" style="3" customWidth="1"/>
    <col min="8" max="9" width="26.7109375" style="3" customWidth="1"/>
    <col min="10" max="10" width="45.7109375" style="3" customWidth="1"/>
    <col min="11" max="12" width="20.7109375" style="3" hidden="1" customWidth="1"/>
    <col min="13" max="13" width="9.140625" style="3" customWidth="1"/>
    <col min="14" max="14" width="30" style="3" hidden="1" customWidth="1"/>
    <col min="15" max="15" width="33.5703125" style="3" hidden="1" customWidth="1"/>
    <col min="16" max="16" width="13.42578125" style="210" hidden="1" customWidth="1"/>
    <col min="17" max="17" width="9.140625" style="268" hidden="1" customWidth="1"/>
    <col min="18" max="18" width="9.140625" style="3" customWidth="1"/>
    <col min="19" max="19" width="20.28515625" style="3" hidden="1" customWidth="1"/>
    <col min="20" max="20" width="14.28515625" style="3" hidden="1" customWidth="1"/>
    <col min="21" max="21" width="28.140625" style="3" hidden="1" customWidth="1"/>
    <col min="22" max="22" width="8" style="3" hidden="1" customWidth="1"/>
    <col min="23" max="23" width="10.7109375" style="3" hidden="1" customWidth="1"/>
    <col min="24" max="24" width="7" style="3" hidden="1" customWidth="1"/>
    <col min="25" max="25" width="10.140625" style="3" hidden="1" customWidth="1"/>
    <col min="26" max="26" width="23.85546875" style="3" hidden="1" customWidth="1"/>
    <col min="27" max="27" width="12" style="3" hidden="1" customWidth="1"/>
    <col min="28" max="28" width="9.140625" style="3" hidden="1" customWidth="1"/>
    <col min="29" max="16384" width="9.140625" style="3"/>
  </cols>
  <sheetData>
    <row r="1" spans="1:28" ht="45" customHeight="1">
      <c r="A1" s="164"/>
      <c r="B1" s="1201" t="s">
        <v>0</v>
      </c>
      <c r="C1" s="1201"/>
      <c r="D1" s="1201"/>
      <c r="E1" s="1201"/>
      <c r="F1" s="1201"/>
      <c r="G1" s="164"/>
      <c r="H1" s="904"/>
      <c r="I1" s="904"/>
      <c r="J1" s="496"/>
      <c r="K1" s="143" t="s">
        <v>14</v>
      </c>
      <c r="L1" s="143" t="s">
        <v>14</v>
      </c>
      <c r="M1" s="164"/>
      <c r="N1" s="143" t="s">
        <v>14</v>
      </c>
      <c r="O1" s="143" t="s">
        <v>14</v>
      </c>
      <c r="P1" s="266" t="s">
        <v>14</v>
      </c>
      <c r="Q1" s="267" t="s">
        <v>14</v>
      </c>
      <c r="R1" s="164"/>
      <c r="S1" s="143" t="s">
        <v>14</v>
      </c>
      <c r="T1" s="143" t="s">
        <v>14</v>
      </c>
      <c r="U1" s="143" t="s">
        <v>14</v>
      </c>
      <c r="V1" s="143" t="s">
        <v>14</v>
      </c>
      <c r="W1" s="143" t="s">
        <v>14</v>
      </c>
      <c r="X1" s="143" t="s">
        <v>14</v>
      </c>
      <c r="Y1" s="143" t="s">
        <v>14</v>
      </c>
      <c r="Z1" s="143" t="s">
        <v>14</v>
      </c>
      <c r="AA1" s="143" t="s">
        <v>14</v>
      </c>
      <c r="AB1" s="143" t="s">
        <v>14</v>
      </c>
    </row>
    <row r="2" spans="1:28" ht="37.5" customHeight="1">
      <c r="A2" s="164"/>
      <c r="B2" s="124" t="s">
        <v>227</v>
      </c>
      <c r="C2" s="159" t="s">
        <v>228</v>
      </c>
      <c r="D2" s="164"/>
      <c r="E2" s="139" t="s">
        <v>1080</v>
      </c>
      <c r="F2" s="158" t="s">
        <v>1081</v>
      </c>
      <c r="G2" s="164"/>
      <c r="H2" s="107" t="s">
        <v>532</v>
      </c>
      <c r="I2" s="496"/>
      <c r="J2" s="496"/>
      <c r="K2" s="164"/>
      <c r="L2" s="164"/>
      <c r="M2" s="164"/>
      <c r="N2" s="496" t="s">
        <v>235</v>
      </c>
      <c r="O2" s="496"/>
      <c r="P2" s="210" t="s">
        <v>971</v>
      </c>
      <c r="Q2" s="268" t="s">
        <v>1082</v>
      </c>
      <c r="R2" s="164"/>
      <c r="S2" s="538" t="s">
        <v>1081</v>
      </c>
      <c r="T2" s="538" t="s">
        <v>254</v>
      </c>
      <c r="U2" s="538" t="s">
        <v>306</v>
      </c>
      <c r="V2" s="538" t="s">
        <v>335</v>
      </c>
      <c r="W2" s="538" t="s">
        <v>345</v>
      </c>
      <c r="X2" s="538" t="s">
        <v>353</v>
      </c>
      <c r="Y2" s="538" t="s">
        <v>367</v>
      </c>
      <c r="Z2" s="538" t="s">
        <v>998</v>
      </c>
      <c r="AA2" s="538" t="s">
        <v>404</v>
      </c>
      <c r="AB2" s="164"/>
    </row>
    <row r="3" spans="1:28" ht="37.5" customHeight="1">
      <c r="A3" s="164"/>
      <c r="B3" s="125" t="s">
        <v>229</v>
      </c>
      <c r="C3" s="157" t="s">
        <v>531</v>
      </c>
      <c r="D3" s="164"/>
      <c r="E3" s="164"/>
      <c r="F3" s="108"/>
      <c r="G3" s="164"/>
      <c r="H3" s="123">
        <f>SUM(F22,F57,F66,F75,F95,F103,F116,F122)</f>
        <v>0</v>
      </c>
      <c r="I3" s="496"/>
      <c r="J3" s="496"/>
      <c r="K3" s="164"/>
      <c r="L3" s="164"/>
      <c r="M3" s="164"/>
      <c r="N3" s="496" t="s">
        <v>256</v>
      </c>
      <c r="O3" s="496"/>
      <c r="R3" s="164"/>
      <c r="S3" s="538" t="s">
        <v>1083</v>
      </c>
      <c r="T3" s="933">
        <v>0.09</v>
      </c>
      <c r="U3" s="933">
        <v>0.2</v>
      </c>
      <c r="V3" s="933">
        <v>0.24</v>
      </c>
      <c r="W3" s="933">
        <v>7.0000000000000007E-2</v>
      </c>
      <c r="X3" s="933">
        <v>0.12</v>
      </c>
      <c r="Y3" s="933">
        <v>0.17</v>
      </c>
      <c r="Z3" s="933">
        <v>0.08</v>
      </c>
      <c r="AA3" s="933">
        <v>0.03</v>
      </c>
      <c r="AB3" s="934">
        <f t="shared" ref="AB3:AB10" si="0">SUM(T3:AA3)</f>
        <v>1</v>
      </c>
    </row>
    <row r="4" spans="1:28" ht="37.5" customHeight="1">
      <c r="A4" s="164"/>
      <c r="B4" s="125" t="s">
        <v>234</v>
      </c>
      <c r="C4" s="157" t="s">
        <v>235</v>
      </c>
      <c r="D4" s="164"/>
      <c r="E4" s="164"/>
      <c r="F4" s="109"/>
      <c r="G4" s="164"/>
      <c r="H4" s="904"/>
      <c r="I4" s="496"/>
      <c r="J4" s="496"/>
      <c r="K4" s="164"/>
      <c r="L4" s="164"/>
      <c r="M4" s="164"/>
      <c r="N4" s="496" t="s">
        <v>260</v>
      </c>
      <c r="O4" s="496"/>
      <c r="R4" s="164"/>
      <c r="S4" s="538" t="s">
        <v>1084</v>
      </c>
      <c r="T4" s="933">
        <v>0.09</v>
      </c>
      <c r="U4" s="933">
        <v>0.2</v>
      </c>
      <c r="V4" s="933">
        <v>0.24</v>
      </c>
      <c r="W4" s="933">
        <v>7.0000000000000007E-2</v>
      </c>
      <c r="X4" s="933">
        <v>0.12</v>
      </c>
      <c r="Y4" s="933">
        <v>0.17</v>
      </c>
      <c r="Z4" s="933">
        <v>0.08</v>
      </c>
      <c r="AA4" s="933">
        <v>0.03</v>
      </c>
      <c r="AB4" s="934">
        <f t="shared" si="0"/>
        <v>1</v>
      </c>
    </row>
    <row r="5" spans="1:28" ht="37.5" customHeight="1">
      <c r="A5" s="164"/>
      <c r="B5" s="126" t="s">
        <v>238</v>
      </c>
      <c r="C5" s="137" t="s">
        <v>152</v>
      </c>
      <c r="D5" s="164"/>
      <c r="E5" s="164"/>
      <c r="F5" s="109"/>
      <c r="G5" s="164"/>
      <c r="H5" s="496"/>
      <c r="I5" s="496"/>
      <c r="J5" s="496"/>
      <c r="K5" s="164"/>
      <c r="L5" s="164"/>
      <c r="M5" s="164"/>
      <c r="N5" s="496" t="s">
        <v>269</v>
      </c>
      <c r="O5" s="496"/>
      <c r="R5" s="164"/>
      <c r="S5" s="538" t="s">
        <v>1085</v>
      </c>
      <c r="T5" s="933">
        <v>0.09</v>
      </c>
      <c r="U5" s="933">
        <v>0.2</v>
      </c>
      <c r="V5" s="933">
        <v>0.24</v>
      </c>
      <c r="W5" s="933">
        <v>7.0000000000000007E-2</v>
      </c>
      <c r="X5" s="933">
        <v>0.1</v>
      </c>
      <c r="Y5" s="933">
        <v>0.17</v>
      </c>
      <c r="Z5" s="933">
        <v>0.1</v>
      </c>
      <c r="AA5" s="933">
        <v>0.03</v>
      </c>
      <c r="AB5" s="934">
        <f t="shared" si="0"/>
        <v>1</v>
      </c>
    </row>
    <row r="6" spans="1:28" ht="24.95" customHeight="1">
      <c r="A6" s="164"/>
      <c r="B6" s="193"/>
      <c r="C6" s="194"/>
      <c r="D6" s="194"/>
      <c r="E6" s="195"/>
      <c r="F6" s="196"/>
      <c r="G6" s="164"/>
      <c r="H6" s="1447" t="s">
        <v>255</v>
      </c>
      <c r="I6" s="1447"/>
      <c r="J6" s="180" t="s">
        <v>241</v>
      </c>
      <c r="K6" s="164"/>
      <c r="L6" s="164"/>
      <c r="M6" s="164"/>
      <c r="N6" s="496"/>
      <c r="O6" s="496"/>
      <c r="R6" s="164"/>
      <c r="S6" s="538" t="s">
        <v>1086</v>
      </c>
      <c r="T6" s="933">
        <v>0.09</v>
      </c>
      <c r="U6" s="933">
        <v>0.2</v>
      </c>
      <c r="V6" s="933">
        <v>0.24</v>
      </c>
      <c r="W6" s="933">
        <v>7.0000000000000007E-2</v>
      </c>
      <c r="X6" s="933">
        <v>0.1</v>
      </c>
      <c r="Y6" s="933">
        <v>0.17</v>
      </c>
      <c r="Z6" s="933">
        <v>0.1</v>
      </c>
      <c r="AA6" s="933">
        <v>0.03</v>
      </c>
      <c r="AB6" s="934">
        <f t="shared" si="0"/>
        <v>1</v>
      </c>
    </row>
    <row r="7" spans="1:28" ht="42">
      <c r="A7" s="85" t="s">
        <v>242</v>
      </c>
      <c r="B7" s="197" t="s">
        <v>1087</v>
      </c>
      <c r="C7" s="198" t="s">
        <v>246</v>
      </c>
      <c r="D7" s="198"/>
      <c r="E7" s="199" t="s">
        <v>247</v>
      </c>
      <c r="F7" s="200" t="s">
        <v>248</v>
      </c>
      <c r="G7" s="164"/>
      <c r="H7" s="248" t="s">
        <v>940</v>
      </c>
      <c r="I7" s="248" t="s">
        <v>941</v>
      </c>
      <c r="J7" s="249" t="s">
        <v>25</v>
      </c>
      <c r="K7" s="250" t="s">
        <v>252</v>
      </c>
      <c r="L7" s="249" t="s">
        <v>253</v>
      </c>
      <c r="M7" s="164"/>
      <c r="N7" s="496" t="s">
        <v>255</v>
      </c>
      <c r="O7" s="496" t="s">
        <v>241</v>
      </c>
      <c r="R7" s="164"/>
      <c r="S7" s="538" t="s">
        <v>1088</v>
      </c>
      <c r="T7" s="933">
        <v>0.09</v>
      </c>
      <c r="U7" s="933">
        <v>0.2</v>
      </c>
      <c r="V7" s="933">
        <v>0.24</v>
      </c>
      <c r="W7" s="933">
        <v>7.0000000000000007E-2</v>
      </c>
      <c r="X7" s="933">
        <v>0.15</v>
      </c>
      <c r="Y7" s="933">
        <v>0.17</v>
      </c>
      <c r="Z7" s="933">
        <v>0.05</v>
      </c>
      <c r="AA7" s="933">
        <v>0.03</v>
      </c>
      <c r="AB7" s="934">
        <f t="shared" si="0"/>
        <v>1.0000000000000002</v>
      </c>
    </row>
    <row r="8" spans="1:28" s="269" customFormat="1" ht="45" customHeight="1">
      <c r="A8" s="164"/>
      <c r="B8" s="204" t="s">
        <v>254</v>
      </c>
      <c r="C8" s="205"/>
      <c r="D8" s="206" t="s">
        <v>1089</v>
      </c>
      <c r="E8" s="207" t="str">
        <f>IFERROR(VLOOKUP($F$2,$S$3:$AA$10,2,FALSE),"")</f>
        <v/>
      </c>
      <c r="F8" s="208"/>
      <c r="G8" s="164"/>
      <c r="H8" s="209"/>
      <c r="I8" s="209"/>
      <c r="J8" s="209"/>
      <c r="K8" s="209"/>
      <c r="L8" s="209"/>
      <c r="M8" s="164"/>
      <c r="N8" s="496" t="s">
        <v>240</v>
      </c>
      <c r="O8" s="210" t="s">
        <v>259</v>
      </c>
      <c r="P8" s="210"/>
      <c r="Q8" s="268"/>
      <c r="S8" s="538" t="s">
        <v>1090</v>
      </c>
      <c r="T8" s="933">
        <v>0.09</v>
      </c>
      <c r="U8" s="933">
        <v>0.2</v>
      </c>
      <c r="V8" s="933">
        <v>0.19</v>
      </c>
      <c r="W8" s="933">
        <v>7.0000000000000007E-2</v>
      </c>
      <c r="X8" s="933">
        <v>0.15</v>
      </c>
      <c r="Y8" s="933">
        <v>0.17</v>
      </c>
      <c r="Z8" s="933">
        <v>0.1</v>
      </c>
      <c r="AA8" s="933">
        <v>0.03</v>
      </c>
      <c r="AB8" s="934">
        <f t="shared" si="0"/>
        <v>1</v>
      </c>
    </row>
    <row r="9" spans="1:28" ht="45" customHeight="1">
      <c r="A9" s="164"/>
      <c r="B9" s="251" t="s">
        <v>1091</v>
      </c>
      <c r="C9" s="935" t="s">
        <v>257</v>
      </c>
      <c r="D9" s="935"/>
      <c r="E9" s="936">
        <v>2</v>
      </c>
      <c r="F9" s="455"/>
      <c r="G9" s="164"/>
      <c r="H9" s="903"/>
      <c r="I9" s="903"/>
      <c r="J9" s="937"/>
      <c r="K9" s="924" t="str">
        <f t="shared" ref="K9:L12" si="1">IF(ISBLANK($F9)=FALSE,IF(H9="","No","Yes"),"")</f>
        <v/>
      </c>
      <c r="L9" s="924" t="str">
        <f t="shared" si="1"/>
        <v/>
      </c>
      <c r="M9" s="164"/>
      <c r="N9" s="496" t="s">
        <v>267</v>
      </c>
      <c r="O9" s="496" t="s">
        <v>268</v>
      </c>
      <c r="R9" s="164"/>
      <c r="S9" s="538" t="s">
        <v>1092</v>
      </c>
      <c r="T9" s="933">
        <v>0.09</v>
      </c>
      <c r="U9" s="933">
        <v>0.2</v>
      </c>
      <c r="V9" s="933">
        <v>0.24</v>
      </c>
      <c r="W9" s="933">
        <v>7.0000000000000007E-2</v>
      </c>
      <c r="X9" s="933">
        <v>0.15</v>
      </c>
      <c r="Y9" s="933">
        <v>0.17</v>
      </c>
      <c r="Z9" s="933">
        <v>0.05</v>
      </c>
      <c r="AA9" s="933">
        <v>0.03</v>
      </c>
      <c r="AB9" s="934">
        <f t="shared" si="0"/>
        <v>1.0000000000000002</v>
      </c>
    </row>
    <row r="10" spans="1:28" ht="45" customHeight="1">
      <c r="A10" s="164"/>
      <c r="B10" s="1451" t="s">
        <v>1093</v>
      </c>
      <c r="C10" s="1453" t="s">
        <v>1094</v>
      </c>
      <c r="D10" s="935" t="s">
        <v>1095</v>
      </c>
      <c r="E10" s="936">
        <v>1</v>
      </c>
      <c r="F10" s="455"/>
      <c r="G10" s="164"/>
      <c r="H10" s="903"/>
      <c r="I10" s="903"/>
      <c r="J10" s="937"/>
      <c r="K10" s="924" t="str">
        <f t="shared" si="1"/>
        <v/>
      </c>
      <c r="L10" s="924" t="str">
        <f t="shared" si="1"/>
        <v/>
      </c>
      <c r="M10" s="164"/>
      <c r="N10" s="496"/>
      <c r="O10" s="496"/>
      <c r="R10" s="164"/>
      <c r="S10" s="538" t="s">
        <v>1096</v>
      </c>
      <c r="T10" s="933">
        <v>0.09</v>
      </c>
      <c r="U10" s="933">
        <v>0.2</v>
      </c>
      <c r="V10" s="933">
        <v>0.24</v>
      </c>
      <c r="W10" s="933">
        <v>7.0000000000000007E-2</v>
      </c>
      <c r="X10" s="933">
        <v>0.12</v>
      </c>
      <c r="Y10" s="933">
        <v>0.17</v>
      </c>
      <c r="Z10" s="933">
        <v>0.08</v>
      </c>
      <c r="AA10" s="933">
        <v>0.03</v>
      </c>
      <c r="AB10" s="934">
        <f t="shared" si="0"/>
        <v>1</v>
      </c>
    </row>
    <row r="11" spans="1:28" ht="45" customHeight="1">
      <c r="A11" s="164"/>
      <c r="B11" s="1452"/>
      <c r="C11" s="1454"/>
      <c r="D11" s="935" t="s">
        <v>1097</v>
      </c>
      <c r="E11" s="936">
        <v>1</v>
      </c>
      <c r="F11" s="455"/>
      <c r="G11" s="164"/>
      <c r="H11" s="903"/>
      <c r="I11" s="903"/>
      <c r="J11" s="937"/>
      <c r="K11" s="924" t="str">
        <f t="shared" si="1"/>
        <v/>
      </c>
      <c r="L11" s="924" t="str">
        <f t="shared" si="1"/>
        <v/>
      </c>
      <c r="M11" s="164"/>
      <c r="N11" s="496" t="s">
        <v>266</v>
      </c>
      <c r="O11" s="496"/>
      <c r="R11" s="164"/>
      <c r="S11" s="164"/>
      <c r="T11" s="164"/>
      <c r="U11" s="164"/>
      <c r="V11" s="164"/>
      <c r="W11" s="164"/>
      <c r="X11" s="164"/>
      <c r="Y11" s="164"/>
      <c r="Z11" s="164"/>
      <c r="AA11" s="164"/>
      <c r="AB11" s="164"/>
    </row>
    <row r="12" spans="1:28" ht="45" customHeight="1">
      <c r="A12" s="164"/>
      <c r="B12" s="251" t="s">
        <v>1098</v>
      </c>
      <c r="C12" s="935" t="s">
        <v>1099</v>
      </c>
      <c r="D12" s="935"/>
      <c r="E12" s="936">
        <v>1</v>
      </c>
      <c r="F12" s="455"/>
      <c r="G12" s="164"/>
      <c r="H12" s="903"/>
      <c r="I12" s="903"/>
      <c r="J12" s="937"/>
      <c r="K12" s="924" t="str">
        <f t="shared" si="1"/>
        <v/>
      </c>
      <c r="L12" s="924" t="str">
        <f t="shared" si="1"/>
        <v/>
      </c>
      <c r="M12" s="164"/>
      <c r="N12" s="496" t="s">
        <v>274</v>
      </c>
      <c r="O12" s="496"/>
      <c r="R12" s="164"/>
      <c r="S12" s="164"/>
      <c r="T12" s="164"/>
      <c r="U12" s="164"/>
      <c r="V12" s="164"/>
      <c r="W12" s="164"/>
      <c r="X12" s="164"/>
      <c r="Y12" s="164"/>
      <c r="Z12" s="164"/>
      <c r="AA12" s="164"/>
      <c r="AB12" s="164"/>
    </row>
    <row r="13" spans="1:28" ht="45" customHeight="1">
      <c r="A13" s="164"/>
      <c r="B13" s="251" t="s">
        <v>1100</v>
      </c>
      <c r="C13" s="935" t="s">
        <v>281</v>
      </c>
      <c r="D13" s="935"/>
      <c r="E13" s="936">
        <v>1</v>
      </c>
      <c r="F13" s="455"/>
      <c r="G13" s="164"/>
      <c r="H13" s="903"/>
      <c r="I13" s="903"/>
      <c r="J13" s="937"/>
      <c r="K13" s="924" t="str">
        <f t="shared" ref="K13:L18" si="2">IF(ISBLANK($F13)=FALSE,IF(H13="","No","Yes"),"")</f>
        <v/>
      </c>
      <c r="L13" s="924" t="str">
        <f t="shared" si="2"/>
        <v/>
      </c>
      <c r="M13" s="164"/>
      <c r="N13" s="164"/>
      <c r="O13" s="164"/>
      <c r="R13" s="164"/>
      <c r="S13" s="164"/>
      <c r="T13" s="164"/>
      <c r="U13" s="164"/>
      <c r="V13" s="164"/>
      <c r="W13" s="164"/>
      <c r="X13" s="164"/>
      <c r="Y13" s="164"/>
      <c r="Z13" s="164"/>
      <c r="AA13" s="164"/>
      <c r="AB13" s="164"/>
    </row>
    <row r="14" spans="1:28" ht="45" customHeight="1">
      <c r="A14" s="164"/>
      <c r="B14" s="251" t="s">
        <v>1101</v>
      </c>
      <c r="C14" s="935" t="s">
        <v>1102</v>
      </c>
      <c r="D14" s="935"/>
      <c r="E14" s="936">
        <v>1</v>
      </c>
      <c r="F14" s="455"/>
      <c r="G14" s="164"/>
      <c r="H14" s="903"/>
      <c r="I14" s="903"/>
      <c r="J14" s="937"/>
      <c r="K14" s="924" t="str">
        <f t="shared" si="2"/>
        <v/>
      </c>
      <c r="L14" s="924" t="str">
        <f t="shared" si="2"/>
        <v/>
      </c>
      <c r="M14" s="164"/>
      <c r="N14" s="164"/>
      <c r="O14" s="164"/>
      <c r="R14" s="164"/>
      <c r="S14" s="164"/>
      <c r="T14" s="164"/>
      <c r="U14" s="164"/>
      <c r="V14" s="164"/>
      <c r="W14" s="164"/>
      <c r="X14" s="164"/>
      <c r="Y14" s="164"/>
      <c r="Z14" s="164"/>
      <c r="AA14" s="164"/>
      <c r="AB14" s="164"/>
    </row>
    <row r="15" spans="1:28" ht="45" customHeight="1">
      <c r="A15" s="164"/>
      <c r="B15" s="251" t="s">
        <v>1103</v>
      </c>
      <c r="C15" s="935" t="s">
        <v>680</v>
      </c>
      <c r="D15" s="935"/>
      <c r="E15" s="936">
        <v>2</v>
      </c>
      <c r="F15" s="455"/>
      <c r="G15" s="164"/>
      <c r="H15" s="903"/>
      <c r="I15" s="903"/>
      <c r="J15" s="937"/>
      <c r="K15" s="924" t="str">
        <f t="shared" si="2"/>
        <v/>
      </c>
      <c r="L15" s="924" t="str">
        <f t="shared" si="2"/>
        <v/>
      </c>
      <c r="M15" s="164"/>
      <c r="N15" s="164"/>
      <c r="O15" s="164"/>
      <c r="R15" s="164"/>
      <c r="S15" s="164"/>
      <c r="T15" s="164"/>
      <c r="U15" s="164"/>
      <c r="V15" s="164"/>
      <c r="W15" s="164"/>
      <c r="X15" s="164"/>
      <c r="Y15" s="164"/>
      <c r="Z15" s="164"/>
      <c r="AA15" s="164"/>
      <c r="AB15" s="164"/>
    </row>
    <row r="16" spans="1:28" ht="45" customHeight="1">
      <c r="A16" s="164"/>
      <c r="B16" s="251" t="s">
        <v>1104</v>
      </c>
      <c r="C16" s="935" t="s">
        <v>785</v>
      </c>
      <c r="D16" s="935"/>
      <c r="E16" s="936">
        <v>2</v>
      </c>
      <c r="F16" s="455"/>
      <c r="G16" s="164"/>
      <c r="H16" s="903"/>
      <c r="I16" s="903"/>
      <c r="J16" s="937"/>
      <c r="K16" s="924" t="str">
        <f t="shared" si="2"/>
        <v/>
      </c>
      <c r="L16" s="924" t="str">
        <f t="shared" si="2"/>
        <v/>
      </c>
      <c r="M16" s="164"/>
      <c r="N16" s="164"/>
      <c r="O16" s="164"/>
      <c r="R16" s="164"/>
      <c r="S16" s="164"/>
      <c r="T16" s="164"/>
      <c r="U16" s="164"/>
      <c r="V16" s="164"/>
      <c r="W16" s="164"/>
      <c r="X16" s="164"/>
      <c r="Y16" s="164"/>
      <c r="Z16" s="164"/>
      <c r="AA16" s="164"/>
      <c r="AB16" s="164"/>
    </row>
    <row r="17" spans="1:17" ht="45" customHeight="1">
      <c r="A17" s="164"/>
      <c r="B17" s="251" t="s">
        <v>1105</v>
      </c>
      <c r="C17" s="935" t="s">
        <v>1106</v>
      </c>
      <c r="D17" s="935"/>
      <c r="E17" s="936">
        <v>1</v>
      </c>
      <c r="F17" s="455"/>
      <c r="G17" s="164"/>
      <c r="H17" s="903"/>
      <c r="I17" s="903"/>
      <c r="J17" s="937"/>
      <c r="K17" s="924" t="str">
        <f t="shared" si="2"/>
        <v/>
      </c>
      <c r="L17" s="924" t="str">
        <f t="shared" si="2"/>
        <v/>
      </c>
      <c r="M17" s="164"/>
      <c r="N17" s="164"/>
      <c r="O17" s="164"/>
    </row>
    <row r="18" spans="1:17" ht="45" customHeight="1">
      <c r="A18" s="164"/>
      <c r="B18" s="251" t="s">
        <v>1107</v>
      </c>
      <c r="C18" s="935" t="s">
        <v>1108</v>
      </c>
      <c r="D18" s="935"/>
      <c r="E18" s="936">
        <v>1</v>
      </c>
      <c r="F18" s="455"/>
      <c r="G18" s="164"/>
      <c r="H18" s="903"/>
      <c r="I18" s="903"/>
      <c r="J18" s="937"/>
      <c r="K18" s="924" t="str">
        <f t="shared" si="2"/>
        <v/>
      </c>
      <c r="L18" s="924" t="str">
        <f t="shared" si="2"/>
        <v/>
      </c>
      <c r="M18" s="164"/>
      <c r="N18" s="164"/>
      <c r="O18" s="164"/>
    </row>
    <row r="19" spans="1:17" ht="45" customHeight="1">
      <c r="A19" s="164"/>
      <c r="B19" s="1451" t="s">
        <v>1109</v>
      </c>
      <c r="C19" s="1453" t="s">
        <v>1110</v>
      </c>
      <c r="D19" s="935" t="s">
        <v>1111</v>
      </c>
      <c r="E19" s="936">
        <v>2</v>
      </c>
      <c r="F19" s="455"/>
      <c r="G19" s="164"/>
      <c r="H19" s="903"/>
      <c r="I19" s="903"/>
      <c r="J19" s="937"/>
      <c r="K19" s="924" t="str">
        <f>IF(OR(ISBLANK($F19)=FALSE,Q19=TRUE),IF(H19="","No","Yes"),"")</f>
        <v/>
      </c>
      <c r="L19" s="924" t="str">
        <f>IF(ISBLANK($F19)=FALSE,IF(I19="","No","Yes"),IF(Q19=TRUE,"NA",""))</f>
        <v/>
      </c>
      <c r="M19" s="164"/>
      <c r="N19" s="164"/>
      <c r="O19" s="164"/>
      <c r="P19" s="210" t="s">
        <v>242</v>
      </c>
      <c r="Q19" s="268" t="b">
        <v>0</v>
      </c>
    </row>
    <row r="20" spans="1:17" s="269" customFormat="1" ht="45" customHeight="1">
      <c r="A20" s="164"/>
      <c r="B20" s="1452"/>
      <c r="C20" s="1454"/>
      <c r="D20" s="935" t="s">
        <v>1112</v>
      </c>
      <c r="E20" s="936">
        <v>1</v>
      </c>
      <c r="F20" s="455"/>
      <c r="G20" s="164"/>
      <c r="H20" s="903"/>
      <c r="I20" s="903"/>
      <c r="J20" s="937"/>
      <c r="K20" s="924" t="str">
        <f>IF(OR(ISBLANK($F20)=FALSE,Q20=TRUE),IF(H20="","No","Yes"),"")</f>
        <v/>
      </c>
      <c r="L20" s="924" t="str">
        <f>IF(ISBLANK($F20)=FALSE,IF(I20="","No","Yes"),IF(Q20=TRUE,"NA",""))</f>
        <v/>
      </c>
      <c r="M20" s="164"/>
      <c r="N20" s="164"/>
      <c r="O20" s="270"/>
      <c r="P20" s="210" t="s">
        <v>242</v>
      </c>
      <c r="Q20" s="268" t="b">
        <v>0</v>
      </c>
    </row>
    <row r="21" spans="1:17" ht="45" customHeight="1">
      <c r="A21" s="164"/>
      <c r="B21" s="251" t="s">
        <v>1113</v>
      </c>
      <c r="C21" s="935" t="s">
        <v>1114</v>
      </c>
      <c r="D21" s="935"/>
      <c r="E21" s="936">
        <v>1</v>
      </c>
      <c r="F21" s="455"/>
      <c r="G21" s="164"/>
      <c r="H21" s="903"/>
      <c r="I21" s="903"/>
      <c r="J21" s="937"/>
      <c r="K21" s="924" t="str">
        <f>IF(ISBLANK($F21)=FALSE,IF(H21="","No","Yes"),"")</f>
        <v/>
      </c>
      <c r="L21" s="924" t="str">
        <f>IF(ISBLANK($F21)=FALSE,IF(I21="","No","Yes"),"")</f>
        <v/>
      </c>
      <c r="M21" s="164"/>
      <c r="N21" s="164"/>
      <c r="O21" s="164"/>
    </row>
    <row r="22" spans="1:17" ht="45" customHeight="1">
      <c r="A22" s="164"/>
      <c r="B22" s="218" t="s">
        <v>963</v>
      </c>
      <c r="C22" s="271"/>
      <c r="D22" s="271"/>
      <c r="E22" s="85">
        <f>SUM(E9:E21)</f>
        <v>17</v>
      </c>
      <c r="F22" s="216" t="str">
        <f>IFERROR(SUM(F9:F21)/E22*E8*100,"")</f>
        <v/>
      </c>
      <c r="G22" s="164"/>
      <c r="H22" s="272"/>
      <c r="I22" s="272"/>
      <c r="J22" s="272"/>
      <c r="K22" s="272"/>
      <c r="L22" s="272"/>
      <c r="M22" s="164"/>
      <c r="N22" s="164"/>
      <c r="O22" s="164"/>
    </row>
    <row r="23" spans="1:17" ht="45" customHeight="1">
      <c r="A23" s="164"/>
      <c r="B23" s="254" t="s">
        <v>1115</v>
      </c>
      <c r="C23" s="273"/>
      <c r="D23" s="273"/>
      <c r="E23" s="196"/>
      <c r="F23" s="196"/>
      <c r="G23" s="164"/>
      <c r="H23" s="496"/>
      <c r="I23" s="496"/>
      <c r="J23" s="496"/>
      <c r="K23" s="496"/>
      <c r="L23" s="496"/>
      <c r="M23" s="164"/>
      <c r="N23" s="164"/>
      <c r="O23" s="164"/>
    </row>
    <row r="24" spans="1:17" ht="45" customHeight="1">
      <c r="A24" s="164"/>
      <c r="B24" s="274" t="s">
        <v>306</v>
      </c>
      <c r="C24" s="205"/>
      <c r="D24" s="206" t="s">
        <v>1089</v>
      </c>
      <c r="E24" s="207" t="str">
        <f>IFERROR(VLOOKUP($F$2,$S$3:$AA$10,3,FALSE),"")</f>
        <v/>
      </c>
      <c r="F24" s="208"/>
      <c r="G24" s="164"/>
      <c r="H24" s="226"/>
      <c r="I24" s="226"/>
      <c r="J24" s="226"/>
      <c r="K24" s="226"/>
      <c r="L24" s="226"/>
      <c r="M24" s="164"/>
      <c r="N24" s="164"/>
      <c r="O24" s="164"/>
    </row>
    <row r="25" spans="1:17" ht="45" customHeight="1">
      <c r="A25" s="164"/>
      <c r="B25" s="251" t="s">
        <v>1116</v>
      </c>
      <c r="C25" s="935" t="s">
        <v>1117</v>
      </c>
      <c r="D25" s="935"/>
      <c r="E25" s="936">
        <v>4</v>
      </c>
      <c r="F25" s="455"/>
      <c r="G25" s="164"/>
      <c r="H25" s="903"/>
      <c r="I25" s="903"/>
      <c r="J25" s="937"/>
      <c r="K25" s="924" t="str">
        <f t="shared" ref="K25:L29" si="3">IF(ISBLANK($F25)=FALSE,IF(H25="","No","Yes"),"")</f>
        <v/>
      </c>
      <c r="L25" s="924" t="str">
        <f t="shared" si="3"/>
        <v/>
      </c>
      <c r="M25" s="164"/>
      <c r="N25" s="164"/>
      <c r="O25" s="164"/>
    </row>
    <row r="26" spans="1:17" ht="45" customHeight="1">
      <c r="A26" s="164"/>
      <c r="B26" s="251" t="s">
        <v>1118</v>
      </c>
      <c r="C26" s="935" t="s">
        <v>1119</v>
      </c>
      <c r="D26" s="935"/>
      <c r="E26" s="936">
        <v>2</v>
      </c>
      <c r="F26" s="455"/>
      <c r="G26" s="164"/>
      <c r="H26" s="903"/>
      <c r="I26" s="903"/>
      <c r="J26" s="937"/>
      <c r="K26" s="924" t="str">
        <f t="shared" si="3"/>
        <v/>
      </c>
      <c r="L26" s="924" t="str">
        <f t="shared" si="3"/>
        <v/>
      </c>
      <c r="M26" s="164"/>
      <c r="N26" s="164"/>
      <c r="O26" s="164"/>
    </row>
    <row r="27" spans="1:17" ht="45" customHeight="1">
      <c r="A27" s="164"/>
      <c r="B27" s="251" t="s">
        <v>1120</v>
      </c>
      <c r="C27" s="935" t="s">
        <v>1121</v>
      </c>
      <c r="D27" s="935"/>
      <c r="E27" s="936">
        <v>1</v>
      </c>
      <c r="F27" s="455"/>
      <c r="G27" s="164"/>
      <c r="H27" s="903"/>
      <c r="I27" s="903"/>
      <c r="J27" s="937"/>
      <c r="K27" s="924" t="str">
        <f t="shared" si="3"/>
        <v/>
      </c>
      <c r="L27" s="924" t="str">
        <f t="shared" si="3"/>
        <v/>
      </c>
      <c r="M27" s="164"/>
      <c r="N27" s="164"/>
      <c r="O27" s="164"/>
    </row>
    <row r="28" spans="1:17" ht="45" customHeight="1">
      <c r="A28" s="164"/>
      <c r="B28" s="251" t="s">
        <v>1122</v>
      </c>
      <c r="C28" s="935" t="s">
        <v>326</v>
      </c>
      <c r="D28" s="935"/>
      <c r="E28" s="936">
        <v>3</v>
      </c>
      <c r="F28" s="455"/>
      <c r="G28" s="164"/>
      <c r="H28" s="903"/>
      <c r="I28" s="903"/>
      <c r="J28" s="937"/>
      <c r="K28" s="924" t="str">
        <f t="shared" si="3"/>
        <v/>
      </c>
      <c r="L28" s="924" t="str">
        <f t="shared" si="3"/>
        <v/>
      </c>
      <c r="M28" s="164"/>
      <c r="N28" s="164"/>
      <c r="O28" s="164"/>
    </row>
    <row r="29" spans="1:17" ht="45" customHeight="1">
      <c r="A29" s="164"/>
      <c r="B29" s="251" t="s">
        <v>1123</v>
      </c>
      <c r="C29" s="935" t="s">
        <v>332</v>
      </c>
      <c r="D29" s="935"/>
      <c r="E29" s="936">
        <v>2</v>
      </c>
      <c r="F29" s="455"/>
      <c r="G29" s="164"/>
      <c r="H29" s="903"/>
      <c r="I29" s="903"/>
      <c r="J29" s="937"/>
      <c r="K29" s="924" t="str">
        <f t="shared" si="3"/>
        <v/>
      </c>
      <c r="L29" s="924" t="str">
        <f t="shared" si="3"/>
        <v/>
      </c>
      <c r="M29" s="164"/>
      <c r="N29" s="164"/>
      <c r="O29" s="164"/>
    </row>
    <row r="30" spans="1:17" ht="45" customHeight="1">
      <c r="A30" s="164"/>
      <c r="B30" s="251" t="s">
        <v>1124</v>
      </c>
      <c r="C30" s="935" t="s">
        <v>597</v>
      </c>
      <c r="D30" s="935"/>
      <c r="E30" s="936">
        <v>1</v>
      </c>
      <c r="F30" s="455"/>
      <c r="G30" s="164"/>
      <c r="H30" s="903"/>
      <c r="I30" s="903"/>
      <c r="J30" s="937"/>
      <c r="K30" s="924" t="str">
        <f>IF(OR(ISBLANK($F30)=FALSE,Q30=TRUE),IF(H30="","No","Yes"),"")</f>
        <v/>
      </c>
      <c r="L30" s="924" t="str">
        <f>IF(ISBLANK($F30)=FALSE,IF(I30="","No","Yes"),IF(Q30=TRUE,"NA",""))</f>
        <v/>
      </c>
      <c r="M30" s="164"/>
      <c r="N30" s="164"/>
      <c r="O30" s="164"/>
      <c r="P30" s="210" t="s">
        <v>242</v>
      </c>
      <c r="Q30" s="268" t="b">
        <v>0</v>
      </c>
    </row>
    <row r="31" spans="1:17" ht="45" customHeight="1">
      <c r="A31" s="164"/>
      <c r="B31" s="251" t="s">
        <v>1125</v>
      </c>
      <c r="C31" s="935" t="s">
        <v>314</v>
      </c>
      <c r="D31" s="935"/>
      <c r="E31" s="936">
        <v>1</v>
      </c>
      <c r="F31" s="455"/>
      <c r="G31" s="164"/>
      <c r="H31" s="903"/>
      <c r="I31" s="903"/>
      <c r="J31" s="937"/>
      <c r="K31" s="924" t="str">
        <f t="shared" ref="K31:L33" si="4">IF(ISBLANK($F31)=FALSE,IF(H31="","No","Yes"),"")</f>
        <v/>
      </c>
      <c r="L31" s="924" t="str">
        <f t="shared" si="4"/>
        <v/>
      </c>
      <c r="M31" s="164"/>
      <c r="N31" s="164"/>
      <c r="O31" s="164"/>
    </row>
    <row r="32" spans="1:17" ht="45" customHeight="1">
      <c r="A32" s="164"/>
      <c r="B32" s="1451" t="s">
        <v>1126</v>
      </c>
      <c r="C32" s="1453" t="s">
        <v>1127</v>
      </c>
      <c r="D32" s="935" t="s">
        <v>1128</v>
      </c>
      <c r="E32" s="936">
        <v>1</v>
      </c>
      <c r="F32" s="455"/>
      <c r="G32" s="164"/>
      <c r="H32" s="903"/>
      <c r="I32" s="903"/>
      <c r="J32" s="937"/>
      <c r="K32" s="924" t="str">
        <f t="shared" si="4"/>
        <v/>
      </c>
      <c r="L32" s="924" t="str">
        <f t="shared" si="4"/>
        <v/>
      </c>
      <c r="M32" s="164"/>
      <c r="N32" s="164"/>
      <c r="O32" s="164"/>
    </row>
    <row r="33" spans="1:17" ht="45" customHeight="1">
      <c r="A33" s="164"/>
      <c r="B33" s="1455"/>
      <c r="C33" s="1456"/>
      <c r="D33" s="935" t="s">
        <v>1129</v>
      </c>
      <c r="E33" s="936">
        <v>1</v>
      </c>
      <c r="F33" s="455"/>
      <c r="G33" s="164"/>
      <c r="H33" s="903"/>
      <c r="I33" s="903"/>
      <c r="J33" s="937"/>
      <c r="K33" s="924" t="str">
        <f t="shared" si="4"/>
        <v/>
      </c>
      <c r="L33" s="924" t="str">
        <f t="shared" si="4"/>
        <v/>
      </c>
      <c r="M33" s="164"/>
      <c r="N33" s="164"/>
      <c r="O33" s="164"/>
    </row>
    <row r="34" spans="1:17" ht="45" customHeight="1">
      <c r="A34" s="164"/>
      <c r="B34" s="1455"/>
      <c r="C34" s="1456"/>
      <c r="D34" s="935" t="s">
        <v>991</v>
      </c>
      <c r="E34" s="936">
        <v>1</v>
      </c>
      <c r="F34" s="455"/>
      <c r="G34" s="164"/>
      <c r="H34" s="903"/>
      <c r="I34" s="903"/>
      <c r="J34" s="937"/>
      <c r="K34" s="924" t="str">
        <f>IF(OR(ISBLANK($F34)=FALSE,Q34=TRUE),IF(H34="","No","Yes"),"")</f>
        <v/>
      </c>
      <c r="L34" s="924" t="str">
        <f>IF(ISBLANK($F34)=FALSE,IF(I34="","No","Yes"),IF(Q34=TRUE,"NA",""))</f>
        <v/>
      </c>
      <c r="M34" s="164"/>
      <c r="N34" s="164"/>
      <c r="O34" s="164"/>
      <c r="P34" s="210" t="s">
        <v>242</v>
      </c>
      <c r="Q34" s="268" t="b">
        <v>0</v>
      </c>
    </row>
    <row r="35" spans="1:17" ht="45" customHeight="1">
      <c r="A35" s="164"/>
      <c r="B35" s="1455"/>
      <c r="C35" s="1456"/>
      <c r="D35" s="935" t="s">
        <v>1130</v>
      </c>
      <c r="E35" s="936">
        <v>1</v>
      </c>
      <c r="F35" s="455"/>
      <c r="G35" s="164"/>
      <c r="H35" s="903"/>
      <c r="I35" s="903"/>
      <c r="J35" s="937"/>
      <c r="K35" s="924" t="str">
        <f>IF(OR(ISBLANK($F35)=FALSE,Q35=TRUE),IF(H35="","No","Yes"),"")</f>
        <v/>
      </c>
      <c r="L35" s="924" t="str">
        <f>IF(ISBLANK($F35)=FALSE,IF(I35="","No","Yes"),IF(Q35=TRUE,"NA",""))</f>
        <v/>
      </c>
      <c r="M35" s="164"/>
      <c r="N35" s="164"/>
      <c r="O35" s="164"/>
      <c r="P35" s="210" t="s">
        <v>242</v>
      </c>
      <c r="Q35" s="268" t="b">
        <v>0</v>
      </c>
    </row>
    <row r="36" spans="1:17" ht="45" customHeight="1">
      <c r="A36" s="164"/>
      <c r="B36" s="1452"/>
      <c r="C36" s="1454"/>
      <c r="D36" s="935" t="s">
        <v>1131</v>
      </c>
      <c r="E36" s="936">
        <v>1</v>
      </c>
      <c r="F36" s="455"/>
      <c r="G36" s="164"/>
      <c r="H36" s="903"/>
      <c r="I36" s="903"/>
      <c r="J36" s="937"/>
      <c r="K36" s="924" t="str">
        <f>IF(OR(ISBLANK($F36)=FALSE,Q36=TRUE),IF(H36="","No","Yes"),"")</f>
        <v/>
      </c>
      <c r="L36" s="924" t="str">
        <f>IF(ISBLANK($F36)=FALSE,IF(I36="","No","Yes"),IF(Q36=TRUE,"NA",""))</f>
        <v/>
      </c>
      <c r="M36" s="164"/>
      <c r="N36" s="164"/>
      <c r="O36" s="164"/>
      <c r="P36" s="210" t="s">
        <v>242</v>
      </c>
      <c r="Q36" s="268" t="b">
        <v>0</v>
      </c>
    </row>
    <row r="37" spans="1:17" ht="45" customHeight="1">
      <c r="A37" s="164"/>
      <c r="B37" s="251" t="s">
        <v>1132</v>
      </c>
      <c r="C37" s="935" t="s">
        <v>1133</v>
      </c>
      <c r="D37" s="935"/>
      <c r="E37" s="936">
        <v>1</v>
      </c>
      <c r="F37" s="455"/>
      <c r="G37" s="164"/>
      <c r="H37" s="903"/>
      <c r="I37" s="903"/>
      <c r="J37" s="937"/>
      <c r="K37" s="924" t="str">
        <f>IF(OR(ISBLANK($F37)=FALSE,Q37=TRUE),IF(H37="","No","Yes"),"")</f>
        <v/>
      </c>
      <c r="L37" s="924" t="str">
        <f>IF(ISBLANK($F37)=FALSE,IF(I37="","No","Yes"),IF(Q37=TRUE,"NA",""))</f>
        <v/>
      </c>
      <c r="M37" s="164"/>
      <c r="N37" s="164"/>
      <c r="O37" s="164"/>
      <c r="P37" s="210" t="s">
        <v>242</v>
      </c>
      <c r="Q37" s="268" t="b">
        <v>0</v>
      </c>
    </row>
    <row r="38" spans="1:17" ht="45" customHeight="1">
      <c r="A38" s="164"/>
      <c r="B38" s="251" t="s">
        <v>1134</v>
      </c>
      <c r="C38" s="935" t="s">
        <v>1135</v>
      </c>
      <c r="D38" s="935"/>
      <c r="E38" s="936">
        <v>1</v>
      </c>
      <c r="F38" s="455"/>
      <c r="G38" s="164"/>
      <c r="H38" s="903"/>
      <c r="I38" s="903"/>
      <c r="J38" s="937"/>
      <c r="K38" s="924" t="str">
        <f t="shared" ref="K38:L43" si="5">IF(ISBLANK($F38)=FALSE,IF(H38="","No","Yes"),"")</f>
        <v/>
      </c>
      <c r="L38" s="924" t="str">
        <f t="shared" si="5"/>
        <v/>
      </c>
      <c r="M38" s="164"/>
      <c r="N38" s="164"/>
      <c r="O38" s="164"/>
    </row>
    <row r="39" spans="1:17" s="269" customFormat="1" ht="45" customHeight="1">
      <c r="A39" s="164"/>
      <c r="B39" s="251" t="s">
        <v>1136</v>
      </c>
      <c r="C39" s="935" t="s">
        <v>1137</v>
      </c>
      <c r="D39" s="935"/>
      <c r="E39" s="936">
        <v>1</v>
      </c>
      <c r="F39" s="455"/>
      <c r="G39" s="164"/>
      <c r="H39" s="903"/>
      <c r="I39" s="903"/>
      <c r="J39" s="937"/>
      <c r="K39" s="924" t="str">
        <f t="shared" si="5"/>
        <v/>
      </c>
      <c r="L39" s="924" t="str">
        <f t="shared" si="5"/>
        <v/>
      </c>
      <c r="M39" s="164"/>
      <c r="N39" s="270"/>
      <c r="O39" s="270"/>
      <c r="P39" s="210"/>
      <c r="Q39" s="268"/>
    </row>
    <row r="40" spans="1:17" ht="45" customHeight="1">
      <c r="A40" s="164"/>
      <c r="B40" s="251" t="s">
        <v>1138</v>
      </c>
      <c r="C40" s="935" t="s">
        <v>1139</v>
      </c>
      <c r="D40" s="935"/>
      <c r="E40" s="936">
        <v>1</v>
      </c>
      <c r="F40" s="455"/>
      <c r="G40" s="164"/>
      <c r="H40" s="903"/>
      <c r="I40" s="903"/>
      <c r="J40" s="937"/>
      <c r="K40" s="924" t="str">
        <f t="shared" si="5"/>
        <v/>
      </c>
      <c r="L40" s="924" t="str">
        <f t="shared" si="5"/>
        <v/>
      </c>
      <c r="M40" s="164"/>
      <c r="N40" s="164"/>
      <c r="O40" s="164"/>
    </row>
    <row r="41" spans="1:17" ht="45" customHeight="1">
      <c r="A41" s="164"/>
      <c r="B41" s="251" t="s">
        <v>1140</v>
      </c>
      <c r="C41" s="935" t="s">
        <v>1141</v>
      </c>
      <c r="D41" s="935"/>
      <c r="E41" s="936">
        <v>1</v>
      </c>
      <c r="F41" s="455"/>
      <c r="G41" s="164"/>
      <c r="H41" s="903"/>
      <c r="I41" s="903"/>
      <c r="J41" s="937"/>
      <c r="K41" s="924" t="str">
        <f t="shared" si="5"/>
        <v/>
      </c>
      <c r="L41" s="924" t="str">
        <f t="shared" si="5"/>
        <v/>
      </c>
      <c r="M41" s="164"/>
      <c r="N41" s="164"/>
      <c r="O41" s="164"/>
    </row>
    <row r="42" spans="1:17" ht="45" customHeight="1">
      <c r="A42" s="164"/>
      <c r="B42" s="251" t="s">
        <v>1142</v>
      </c>
      <c r="C42" s="935" t="s">
        <v>1143</v>
      </c>
      <c r="D42" s="935"/>
      <c r="E42" s="936">
        <v>2</v>
      </c>
      <c r="F42" s="455"/>
      <c r="G42" s="164"/>
      <c r="H42" s="903"/>
      <c r="I42" s="903"/>
      <c r="J42" s="937"/>
      <c r="K42" s="924" t="str">
        <f t="shared" si="5"/>
        <v/>
      </c>
      <c r="L42" s="924" t="str">
        <f t="shared" si="5"/>
        <v/>
      </c>
      <c r="M42" s="164"/>
      <c r="N42" s="164"/>
      <c r="O42" s="164"/>
    </row>
    <row r="43" spans="1:17" ht="45" customHeight="1">
      <c r="A43" s="164"/>
      <c r="B43" s="251" t="s">
        <v>1144</v>
      </c>
      <c r="C43" s="935" t="s">
        <v>1145</v>
      </c>
      <c r="D43" s="935"/>
      <c r="E43" s="936">
        <v>2</v>
      </c>
      <c r="F43" s="455"/>
      <c r="G43" s="164"/>
      <c r="H43" s="903"/>
      <c r="I43" s="903"/>
      <c r="J43" s="937"/>
      <c r="K43" s="924" t="str">
        <f t="shared" si="5"/>
        <v/>
      </c>
      <c r="L43" s="924" t="str">
        <f t="shared" si="5"/>
        <v/>
      </c>
      <c r="M43" s="164"/>
      <c r="N43" s="164"/>
      <c r="O43" s="164"/>
    </row>
    <row r="44" spans="1:17" ht="45" customHeight="1">
      <c r="A44" s="164"/>
      <c r="B44" s="251" t="s">
        <v>1146</v>
      </c>
      <c r="C44" s="935" t="s">
        <v>1147</v>
      </c>
      <c r="D44" s="935"/>
      <c r="E44" s="936">
        <v>1</v>
      </c>
      <c r="F44" s="455"/>
      <c r="G44" s="164"/>
      <c r="H44" s="903"/>
      <c r="I44" s="903"/>
      <c r="J44" s="937"/>
      <c r="K44" s="924" t="str">
        <f>IF(OR(ISBLANK($F44)=FALSE,Q44=TRUE),IF(H44="","No","Yes"),"")</f>
        <v/>
      </c>
      <c r="L44" s="924" t="str">
        <f>IF(ISBLANK($F44)=FALSE,IF(I44="","No","Yes"),IF(Q44=TRUE,"NA",""))</f>
        <v/>
      </c>
      <c r="M44" s="164"/>
      <c r="N44" s="164"/>
      <c r="O44" s="164"/>
      <c r="P44" s="210" t="s">
        <v>242</v>
      </c>
      <c r="Q44" s="268" t="b">
        <v>0</v>
      </c>
    </row>
    <row r="45" spans="1:17" ht="45" customHeight="1">
      <c r="A45" s="164"/>
      <c r="B45" s="251" t="s">
        <v>1148</v>
      </c>
      <c r="C45" s="935" t="s">
        <v>1149</v>
      </c>
      <c r="D45" s="935"/>
      <c r="E45" s="936">
        <v>1</v>
      </c>
      <c r="F45" s="455"/>
      <c r="G45" s="164"/>
      <c r="H45" s="903"/>
      <c r="I45" s="903"/>
      <c r="J45" s="937"/>
      <c r="K45" s="924" t="str">
        <f>IF(ISBLANK($F45)=FALSE,IF(H45="","No","Yes"),"")</f>
        <v/>
      </c>
      <c r="L45" s="924" t="str">
        <f>IF(ISBLANK($F45)=FALSE,IF(I45="","No","Yes"),"")</f>
        <v/>
      </c>
      <c r="M45" s="164"/>
      <c r="N45" s="164"/>
      <c r="O45" s="164"/>
    </row>
    <row r="46" spans="1:17" ht="45" customHeight="1">
      <c r="A46" s="164"/>
      <c r="B46" s="251" t="s">
        <v>1150</v>
      </c>
      <c r="C46" s="935" t="s">
        <v>1151</v>
      </c>
      <c r="D46" s="935"/>
      <c r="E46" s="936">
        <v>1</v>
      </c>
      <c r="F46" s="455"/>
      <c r="G46" s="164"/>
      <c r="H46" s="903"/>
      <c r="I46" s="903"/>
      <c r="J46" s="937"/>
      <c r="K46" s="924" t="str">
        <f>IF(ISBLANK($F46)=FALSE,IF(H46="","No","Yes"),"")</f>
        <v/>
      </c>
      <c r="L46" s="924" t="str">
        <f>IF(ISBLANK($F46)=FALSE,IF(I46="","No","Yes"),"")</f>
        <v/>
      </c>
      <c r="M46" s="164"/>
      <c r="N46" s="164"/>
      <c r="O46" s="164"/>
    </row>
    <row r="47" spans="1:17" s="269" customFormat="1" ht="45" customHeight="1">
      <c r="A47" s="164"/>
      <c r="B47" s="218" t="s">
        <v>963</v>
      </c>
      <c r="C47" s="271"/>
      <c r="D47" s="271"/>
      <c r="E47" s="85">
        <f>SUM(E25:E46)</f>
        <v>31</v>
      </c>
      <c r="F47" s="216" t="str">
        <f>IFERROR(SUM(F25:F46)/E47*E24*100,"")</f>
        <v/>
      </c>
      <c r="G47" s="164"/>
      <c r="H47" s="272"/>
      <c r="I47" s="272"/>
      <c r="J47" s="272"/>
      <c r="K47" s="272"/>
      <c r="L47" s="272"/>
      <c r="M47" s="164"/>
      <c r="N47" s="270"/>
      <c r="O47" s="270"/>
      <c r="P47" s="210"/>
      <c r="Q47" s="268"/>
    </row>
    <row r="48" spans="1:17" ht="45" customHeight="1">
      <c r="A48" s="164"/>
      <c r="B48" s="254" t="s">
        <v>1115</v>
      </c>
      <c r="C48" s="273"/>
      <c r="D48" s="273"/>
      <c r="E48" s="196"/>
      <c r="F48" s="196"/>
      <c r="G48" s="164"/>
      <c r="H48" s="496"/>
      <c r="I48" s="496"/>
      <c r="J48" s="496"/>
      <c r="K48" s="496"/>
      <c r="L48" s="496"/>
      <c r="M48" s="164"/>
      <c r="N48" s="164"/>
      <c r="O48" s="164"/>
    </row>
    <row r="49" spans="1:17" ht="45" customHeight="1">
      <c r="A49" s="164"/>
      <c r="B49" s="274" t="s">
        <v>335</v>
      </c>
      <c r="C49" s="205"/>
      <c r="D49" s="206" t="s">
        <v>1089</v>
      </c>
      <c r="E49" s="207" t="str">
        <f>IFERROR(VLOOKUP($F$2,$S$3:$AA$10,4,FALSE),"")</f>
        <v/>
      </c>
      <c r="F49" s="208"/>
      <c r="G49" s="164"/>
      <c r="H49" s="226"/>
      <c r="I49" s="226"/>
      <c r="J49" s="226"/>
      <c r="K49" s="226"/>
      <c r="L49" s="226"/>
      <c r="M49" s="164"/>
      <c r="N49" s="164"/>
      <c r="O49" s="164"/>
    </row>
    <row r="50" spans="1:17" ht="45" customHeight="1">
      <c r="A50" s="164"/>
      <c r="B50" s="251" t="s">
        <v>1152</v>
      </c>
      <c r="C50" s="935" t="s">
        <v>338</v>
      </c>
      <c r="D50" s="935"/>
      <c r="E50" s="936" t="s">
        <v>264</v>
      </c>
      <c r="F50" s="455"/>
      <c r="G50" s="164"/>
      <c r="H50" s="903"/>
      <c r="I50" s="903"/>
      <c r="J50" s="937"/>
      <c r="K50" s="924" t="str">
        <f t="shared" ref="K50:L54" si="6">IF(ISBLANK($F50)=FALSE,IF(H50="","No","Yes"),"")</f>
        <v/>
      </c>
      <c r="L50" s="924" t="str">
        <f t="shared" si="6"/>
        <v/>
      </c>
      <c r="M50" s="164"/>
      <c r="N50" s="164"/>
      <c r="O50" s="164"/>
    </row>
    <row r="51" spans="1:17" ht="45" customHeight="1">
      <c r="A51" s="164"/>
      <c r="B51" s="251" t="s">
        <v>1153</v>
      </c>
      <c r="C51" s="935" t="s">
        <v>336</v>
      </c>
      <c r="D51" s="935"/>
      <c r="E51" s="936">
        <v>20</v>
      </c>
      <c r="F51" s="455"/>
      <c r="G51" s="164"/>
      <c r="H51" s="903"/>
      <c r="I51" s="903"/>
      <c r="J51" s="937"/>
      <c r="K51" s="924" t="str">
        <f t="shared" si="6"/>
        <v/>
      </c>
      <c r="L51" s="924" t="str">
        <f t="shared" si="6"/>
        <v/>
      </c>
      <c r="M51" s="164"/>
      <c r="N51" s="164"/>
      <c r="O51" s="164"/>
    </row>
    <row r="52" spans="1:17" ht="45" customHeight="1">
      <c r="A52" s="164"/>
      <c r="B52" s="251" t="s">
        <v>1154</v>
      </c>
      <c r="C52" s="935" t="s">
        <v>1155</v>
      </c>
      <c r="D52" s="935"/>
      <c r="E52" s="936">
        <v>1</v>
      </c>
      <c r="F52" s="455"/>
      <c r="G52" s="164"/>
      <c r="H52" s="903"/>
      <c r="I52" s="903"/>
      <c r="J52" s="937"/>
      <c r="K52" s="924" t="str">
        <f t="shared" si="6"/>
        <v/>
      </c>
      <c r="L52" s="924" t="str">
        <f t="shared" si="6"/>
        <v/>
      </c>
      <c r="M52" s="164"/>
      <c r="N52" s="164"/>
      <c r="O52" s="164"/>
    </row>
    <row r="53" spans="1:17" s="269" customFormat="1" ht="45" customHeight="1">
      <c r="A53" s="164"/>
      <c r="B53" s="251" t="s">
        <v>1156</v>
      </c>
      <c r="C53" s="935" t="s">
        <v>1157</v>
      </c>
      <c r="D53" s="935"/>
      <c r="E53" s="936">
        <v>2</v>
      </c>
      <c r="F53" s="455"/>
      <c r="G53" s="164"/>
      <c r="H53" s="903"/>
      <c r="I53" s="903"/>
      <c r="J53" s="937"/>
      <c r="K53" s="924" t="str">
        <f t="shared" si="6"/>
        <v/>
      </c>
      <c r="L53" s="924" t="str">
        <f t="shared" si="6"/>
        <v/>
      </c>
      <c r="M53" s="164"/>
      <c r="P53" s="210"/>
      <c r="Q53" s="268"/>
    </row>
    <row r="54" spans="1:17" ht="45" customHeight="1">
      <c r="A54" s="164"/>
      <c r="B54" s="251" t="s">
        <v>1158</v>
      </c>
      <c r="C54" s="935" t="s">
        <v>1159</v>
      </c>
      <c r="D54" s="935"/>
      <c r="E54" s="936">
        <v>2</v>
      </c>
      <c r="F54" s="455"/>
      <c r="G54" s="164"/>
      <c r="H54" s="903"/>
      <c r="I54" s="903"/>
      <c r="J54" s="937"/>
      <c r="K54" s="924" t="str">
        <f t="shared" si="6"/>
        <v/>
      </c>
      <c r="L54" s="924" t="str">
        <f t="shared" si="6"/>
        <v/>
      </c>
      <c r="M54" s="164"/>
      <c r="N54" s="164"/>
      <c r="O54" s="164"/>
    </row>
    <row r="55" spans="1:17" ht="45" customHeight="1">
      <c r="A55" s="164"/>
      <c r="B55" s="251" t="s">
        <v>1160</v>
      </c>
      <c r="C55" s="935" t="s">
        <v>1161</v>
      </c>
      <c r="D55" s="935"/>
      <c r="E55" s="936">
        <f>IF(F55="na","na",3)</f>
        <v>3</v>
      </c>
      <c r="F55" s="455"/>
      <c r="G55" s="164"/>
      <c r="H55" s="903"/>
      <c r="I55" s="903"/>
      <c r="J55" s="937"/>
      <c r="K55" s="924" t="str">
        <f>IF(OR(ISBLANK($F55)=FALSE,Q55=TRUE),IF(H55="","No","Yes"),"")</f>
        <v/>
      </c>
      <c r="L55" s="924" t="str">
        <f>IF(ISBLANK($F55)=FALSE,IF(I55="","No","Yes"),IF(Q55=TRUE,"NA",""))</f>
        <v/>
      </c>
      <c r="M55" s="164"/>
      <c r="N55" s="164"/>
      <c r="O55" s="164"/>
      <c r="P55" s="210" t="s">
        <v>242</v>
      </c>
      <c r="Q55" s="268" t="b">
        <v>0</v>
      </c>
    </row>
    <row r="56" spans="1:17" ht="45" customHeight="1">
      <c r="A56" s="164"/>
      <c r="B56" s="251" t="s">
        <v>1162</v>
      </c>
      <c r="C56" s="935" t="s">
        <v>1163</v>
      </c>
      <c r="D56" s="935"/>
      <c r="E56" s="936">
        <v>1</v>
      </c>
      <c r="F56" s="455"/>
      <c r="G56" s="164"/>
      <c r="H56" s="903"/>
      <c r="I56" s="903"/>
      <c r="J56" s="937"/>
      <c r="K56" s="924" t="str">
        <f>IF(ISBLANK($F56)=FALSE,IF(H56="","No","Yes"),"")</f>
        <v/>
      </c>
      <c r="L56" s="924" t="str">
        <f>IF(ISBLANK($F56)=FALSE,IF(I56="","No","Yes"),"")</f>
        <v/>
      </c>
      <c r="M56" s="164"/>
      <c r="N56" s="164"/>
      <c r="O56" s="164"/>
    </row>
    <row r="57" spans="1:17" ht="45" customHeight="1">
      <c r="A57" s="164"/>
      <c r="B57" s="218" t="s">
        <v>963</v>
      </c>
      <c r="C57" s="271"/>
      <c r="D57" s="271"/>
      <c r="E57" s="85">
        <f>SUM(E50:E56)</f>
        <v>29</v>
      </c>
      <c r="F57" s="216" t="str">
        <f>IFERROR(SUM(F50:F56)/E57*E49*100,"")</f>
        <v/>
      </c>
      <c r="G57" s="164"/>
      <c r="H57" s="272"/>
      <c r="I57" s="272"/>
      <c r="J57" s="272"/>
      <c r="K57" s="272"/>
      <c r="L57" s="272"/>
      <c r="M57" s="164"/>
      <c r="N57" s="164"/>
      <c r="O57" s="164"/>
    </row>
    <row r="58" spans="1:17" ht="45" customHeight="1">
      <c r="A58" s="164"/>
      <c r="B58" s="254" t="s">
        <v>1115</v>
      </c>
      <c r="C58" s="273"/>
      <c r="D58" s="273"/>
      <c r="E58" s="196"/>
      <c r="F58" s="196"/>
      <c r="G58" s="164"/>
      <c r="H58" s="496"/>
      <c r="I58" s="496"/>
      <c r="J58" s="496"/>
      <c r="K58" s="496"/>
      <c r="L58" s="496"/>
      <c r="M58" s="164"/>
      <c r="N58" s="164"/>
      <c r="O58" s="164"/>
    </row>
    <row r="59" spans="1:17" ht="45" customHeight="1">
      <c r="A59" s="164"/>
      <c r="B59" s="274" t="s">
        <v>345</v>
      </c>
      <c r="C59" s="205"/>
      <c r="D59" s="206" t="s">
        <v>1089</v>
      </c>
      <c r="E59" s="207" t="str">
        <f>IFERROR(VLOOKUP($F$2,$S$3:$AA$10,5,FALSE),"")</f>
        <v/>
      </c>
      <c r="F59" s="208"/>
      <c r="G59" s="164"/>
      <c r="H59" s="226"/>
      <c r="I59" s="226"/>
      <c r="J59" s="226"/>
      <c r="K59" s="226"/>
      <c r="L59" s="226"/>
      <c r="M59" s="164"/>
      <c r="N59" s="164"/>
      <c r="O59" s="164"/>
    </row>
    <row r="60" spans="1:17" s="269" customFormat="1" ht="45" customHeight="1">
      <c r="A60" s="164"/>
      <c r="B60" s="251" t="s">
        <v>1164</v>
      </c>
      <c r="C60" s="935" t="s">
        <v>1165</v>
      </c>
      <c r="D60" s="935"/>
      <c r="E60" s="936">
        <v>2</v>
      </c>
      <c r="F60" s="455"/>
      <c r="G60" s="164"/>
      <c r="H60" s="903"/>
      <c r="I60" s="903"/>
      <c r="J60" s="937"/>
      <c r="K60" s="924" t="str">
        <f>IF(OR(ISBLANK($F60)=FALSE,Q60=TRUE),IF(H60="","No","Yes"),"")</f>
        <v/>
      </c>
      <c r="L60" s="924" t="str">
        <f>IF(ISBLANK($F60)=FALSE,IF(I60="","No","Yes"),IF(Q60=TRUE,"NA",""))</f>
        <v/>
      </c>
      <c r="M60" s="164"/>
      <c r="N60" s="270"/>
      <c r="O60" s="270"/>
      <c r="P60" s="210" t="s">
        <v>242</v>
      </c>
      <c r="Q60" s="268" t="b">
        <v>0</v>
      </c>
    </row>
    <row r="61" spans="1:17" ht="45" customHeight="1">
      <c r="A61" s="164"/>
      <c r="B61" s="251" t="s">
        <v>1166</v>
      </c>
      <c r="C61" s="935" t="s">
        <v>1167</v>
      </c>
      <c r="D61" s="935"/>
      <c r="E61" s="936">
        <v>1</v>
      </c>
      <c r="F61" s="455"/>
      <c r="G61" s="164"/>
      <c r="H61" s="903"/>
      <c r="I61" s="903"/>
      <c r="J61" s="937"/>
      <c r="K61" s="924" t="str">
        <f>IF(OR(ISBLANK($F61)=FALSE,Q61=TRUE),IF(H61="","No","Yes"),"")</f>
        <v/>
      </c>
      <c r="L61" s="924" t="str">
        <f>IF(ISBLANK($F61)=FALSE,IF(I61="","No","Yes"),IF(Q61=TRUE,"NA",""))</f>
        <v/>
      </c>
      <c r="M61" s="164"/>
      <c r="N61" s="164"/>
      <c r="O61" s="164"/>
      <c r="P61" s="210" t="s">
        <v>242</v>
      </c>
      <c r="Q61" s="268" t="b">
        <v>0</v>
      </c>
    </row>
    <row r="62" spans="1:17" ht="45" customHeight="1">
      <c r="A62" s="164"/>
      <c r="B62" s="1451" t="s">
        <v>1168</v>
      </c>
      <c r="C62" s="1453" t="s">
        <v>1169</v>
      </c>
      <c r="D62" s="935" t="s">
        <v>1170</v>
      </c>
      <c r="E62" s="936">
        <v>2</v>
      </c>
      <c r="F62" s="455"/>
      <c r="G62" s="164"/>
      <c r="H62" s="903"/>
      <c r="I62" s="903"/>
      <c r="J62" s="937"/>
      <c r="K62" s="924" t="str">
        <f t="shared" ref="K62:L65" si="7">IF(ISBLANK($F62)=FALSE,IF(H62="","No","Yes"),"")</f>
        <v/>
      </c>
      <c r="L62" s="924" t="str">
        <f t="shared" si="7"/>
        <v/>
      </c>
      <c r="M62" s="164"/>
      <c r="N62" s="164"/>
      <c r="O62" s="164"/>
    </row>
    <row r="63" spans="1:17" ht="45" customHeight="1">
      <c r="A63" s="164"/>
      <c r="B63" s="1452"/>
      <c r="C63" s="1454"/>
      <c r="D63" s="935" t="s">
        <v>1171</v>
      </c>
      <c r="E63" s="936">
        <v>1</v>
      </c>
      <c r="F63" s="455"/>
      <c r="G63" s="164"/>
      <c r="H63" s="903"/>
      <c r="I63" s="903"/>
      <c r="J63" s="937"/>
      <c r="K63" s="924" t="str">
        <f t="shared" si="7"/>
        <v/>
      </c>
      <c r="L63" s="924" t="str">
        <f t="shared" si="7"/>
        <v/>
      </c>
      <c r="M63" s="164"/>
      <c r="N63" s="164"/>
      <c r="O63" s="164"/>
    </row>
    <row r="64" spans="1:17" ht="45" customHeight="1">
      <c r="A64" s="164"/>
      <c r="B64" s="251" t="s">
        <v>1172</v>
      </c>
      <c r="C64" s="935" t="s">
        <v>985</v>
      </c>
      <c r="D64" s="935"/>
      <c r="E64" s="936">
        <v>5</v>
      </c>
      <c r="F64" s="455"/>
      <c r="G64" s="164"/>
      <c r="H64" s="903"/>
      <c r="I64" s="903"/>
      <c r="J64" s="937"/>
      <c r="K64" s="924" t="str">
        <f t="shared" si="7"/>
        <v/>
      </c>
      <c r="L64" s="924" t="str">
        <f t="shared" si="7"/>
        <v/>
      </c>
      <c r="M64" s="164"/>
      <c r="N64" s="164"/>
      <c r="O64" s="164"/>
    </row>
    <row r="65" spans="2:17" ht="45" customHeight="1">
      <c r="B65" s="251" t="s">
        <v>1173</v>
      </c>
      <c r="C65" s="935" t="s">
        <v>1174</v>
      </c>
      <c r="D65" s="935"/>
      <c r="E65" s="936">
        <v>2</v>
      </c>
      <c r="F65" s="455"/>
      <c r="G65" s="164"/>
      <c r="H65" s="903"/>
      <c r="I65" s="903"/>
      <c r="J65" s="937"/>
      <c r="K65" s="924" t="str">
        <f t="shared" si="7"/>
        <v/>
      </c>
      <c r="L65" s="924" t="str">
        <f t="shared" si="7"/>
        <v/>
      </c>
      <c r="M65" s="164"/>
      <c r="N65" s="164"/>
      <c r="O65" s="164"/>
    </row>
    <row r="66" spans="2:17" ht="45" customHeight="1">
      <c r="B66" s="218" t="s">
        <v>963</v>
      </c>
      <c r="C66" s="271"/>
      <c r="D66" s="271"/>
      <c r="E66" s="85">
        <f>SUM(E60:E65)</f>
        <v>13</v>
      </c>
      <c r="F66" s="216" t="str">
        <f>IFERROR(SUM(F60:F65)/E66*E59*100,"")</f>
        <v/>
      </c>
      <c r="G66" s="164"/>
      <c r="H66" s="272"/>
      <c r="I66" s="272"/>
      <c r="J66" s="272"/>
      <c r="K66" s="272"/>
      <c r="L66" s="272"/>
      <c r="M66" s="164"/>
      <c r="N66" s="164"/>
      <c r="O66" s="164"/>
    </row>
    <row r="67" spans="2:17" ht="45" customHeight="1">
      <c r="B67" s="254" t="s">
        <v>1115</v>
      </c>
      <c r="C67" s="273"/>
      <c r="D67" s="273"/>
      <c r="E67" s="196"/>
      <c r="F67" s="196"/>
      <c r="G67" s="164"/>
      <c r="H67" s="496"/>
      <c r="I67" s="496"/>
      <c r="J67" s="496"/>
      <c r="K67" s="496"/>
      <c r="L67" s="496"/>
      <c r="M67" s="164"/>
      <c r="N67" s="164"/>
      <c r="O67" s="164"/>
    </row>
    <row r="68" spans="2:17" ht="45" customHeight="1">
      <c r="B68" s="274" t="s">
        <v>353</v>
      </c>
      <c r="C68" s="205"/>
      <c r="D68" s="206" t="s">
        <v>1089</v>
      </c>
      <c r="E68" s="207" t="str">
        <f>IFERROR(VLOOKUP($F$2,$S$3:$AA$10,6,FALSE),"")</f>
        <v/>
      </c>
      <c r="F68" s="208"/>
      <c r="G68" s="164"/>
      <c r="H68" s="226"/>
      <c r="I68" s="226"/>
      <c r="J68" s="226"/>
      <c r="K68" s="226"/>
      <c r="L68" s="226"/>
      <c r="M68" s="164"/>
      <c r="N68" s="164"/>
      <c r="O68" s="164"/>
    </row>
    <row r="69" spans="2:17" ht="45" customHeight="1">
      <c r="B69" s="251" t="s">
        <v>1175</v>
      </c>
      <c r="C69" s="935" t="s">
        <v>1176</v>
      </c>
      <c r="D69" s="935"/>
      <c r="E69" s="936">
        <v>5</v>
      </c>
      <c r="F69" s="455"/>
      <c r="G69" s="164"/>
      <c r="H69" s="903"/>
      <c r="I69" s="903"/>
      <c r="J69" s="937"/>
      <c r="K69" s="924" t="str">
        <f>IF(ISBLANK($F69)=FALSE,IF(H69="","No","Yes"),"")</f>
        <v/>
      </c>
      <c r="L69" s="924" t="str">
        <f>IF(ISBLANK($F69)=FALSE,IF(I69="","No","Yes"),"")</f>
        <v/>
      </c>
      <c r="M69" s="164"/>
      <c r="N69" s="164"/>
      <c r="O69" s="164"/>
    </row>
    <row r="70" spans="2:17" ht="45" customHeight="1">
      <c r="B70" s="251" t="s">
        <v>1177</v>
      </c>
      <c r="C70" s="935" t="s">
        <v>1178</v>
      </c>
      <c r="D70" s="935"/>
      <c r="E70" s="936">
        <v>1</v>
      </c>
      <c r="F70" s="455"/>
      <c r="G70" s="164"/>
      <c r="H70" s="903"/>
      <c r="I70" s="903"/>
      <c r="J70" s="937"/>
      <c r="K70" s="924" t="str">
        <f>IF(ISBLANK($F70)=FALSE,IF(H70="","No","Yes"),"")</f>
        <v/>
      </c>
      <c r="L70" s="924" t="str">
        <f>IF(ISBLANK($F70)=FALSE,IF(I70="","No","Yes"),"")</f>
        <v/>
      </c>
      <c r="M70" s="164"/>
      <c r="N70" s="164"/>
      <c r="O70" s="164"/>
    </row>
    <row r="71" spans="2:17" ht="45" customHeight="1">
      <c r="B71" s="251" t="s">
        <v>1179</v>
      </c>
      <c r="C71" s="935" t="s">
        <v>364</v>
      </c>
      <c r="D71" s="935"/>
      <c r="E71" s="936">
        <v>2</v>
      </c>
      <c r="F71" s="455"/>
      <c r="G71" s="164"/>
      <c r="H71" s="903"/>
      <c r="I71" s="903"/>
      <c r="J71" s="937"/>
      <c r="K71" s="924" t="str">
        <f>IF(OR(ISBLANK($F71)=FALSE,Q71=TRUE),IF(H71="","No","Yes"),"")</f>
        <v/>
      </c>
      <c r="L71" s="924" t="str">
        <f>IF(ISBLANK($F71)=FALSE,IF(I71="","No","Yes"),IF(Q71=TRUE,"NA",""))</f>
        <v/>
      </c>
      <c r="M71" s="164"/>
      <c r="N71" s="164"/>
      <c r="O71" s="164"/>
      <c r="P71" s="210" t="s">
        <v>242</v>
      </c>
      <c r="Q71" s="268" t="b">
        <v>0</v>
      </c>
    </row>
    <row r="72" spans="2:17" ht="45" customHeight="1">
      <c r="B72" s="251" t="s">
        <v>1180</v>
      </c>
      <c r="C72" s="935" t="s">
        <v>1181</v>
      </c>
      <c r="D72" s="935"/>
      <c r="E72" s="936">
        <v>4</v>
      </c>
      <c r="F72" s="455"/>
      <c r="G72" s="164"/>
      <c r="H72" s="903"/>
      <c r="I72" s="903"/>
      <c r="J72" s="937"/>
      <c r="K72" s="924" t="str">
        <f>IF(ISBLANK($F72)=FALSE,IF(H72="","No","Yes"),"")</f>
        <v/>
      </c>
      <c r="L72" s="924" t="str">
        <f>IF(ISBLANK($F72)=FALSE,IF(I72="","No","Yes"),"")</f>
        <v/>
      </c>
      <c r="M72" s="164"/>
      <c r="N72" s="164"/>
      <c r="O72" s="164"/>
    </row>
    <row r="73" spans="2:17" ht="45" customHeight="1">
      <c r="B73" s="251" t="s">
        <v>1182</v>
      </c>
      <c r="C73" s="935" t="s">
        <v>1183</v>
      </c>
      <c r="D73" s="935"/>
      <c r="E73" s="936">
        <v>1</v>
      </c>
      <c r="F73" s="455"/>
      <c r="G73" s="164"/>
      <c r="H73" s="903"/>
      <c r="I73" s="903"/>
      <c r="J73" s="937"/>
      <c r="K73" s="924" t="str">
        <f>IF(OR(ISBLANK($F73)=FALSE,Q73=TRUE),IF(H73="","No","Yes"),"")</f>
        <v/>
      </c>
      <c r="L73" s="924" t="str">
        <f>IF(ISBLANK($F73)=FALSE,IF(I73="","No","Yes"),IF(Q73=TRUE,"NA",""))</f>
        <v/>
      </c>
      <c r="M73" s="164"/>
      <c r="N73" s="164"/>
      <c r="O73" s="164"/>
      <c r="P73" s="210" t="s">
        <v>242</v>
      </c>
      <c r="Q73" s="268" t="b">
        <v>0</v>
      </c>
    </row>
    <row r="74" spans="2:17" ht="45" customHeight="1">
      <c r="B74" s="251" t="s">
        <v>1184</v>
      </c>
      <c r="C74" s="935" t="s">
        <v>1185</v>
      </c>
      <c r="D74" s="935"/>
      <c r="E74" s="936">
        <v>1</v>
      </c>
      <c r="F74" s="455"/>
      <c r="G74" s="164"/>
      <c r="H74" s="903"/>
      <c r="I74" s="903"/>
      <c r="J74" s="937"/>
      <c r="K74" s="924" t="str">
        <f>IF(OR(ISBLANK($F74)=FALSE,Q74=TRUE),IF(H74="","No","Yes"),"")</f>
        <v/>
      </c>
      <c r="L74" s="924" t="str">
        <f>IF(ISBLANK($F74)=FALSE,IF(I74="","No","Yes"),IF(Q74=TRUE,"NA",""))</f>
        <v/>
      </c>
      <c r="M74" s="164"/>
      <c r="N74" s="164"/>
      <c r="O74" s="164"/>
      <c r="P74" s="210" t="s">
        <v>242</v>
      </c>
      <c r="Q74" s="268" t="b">
        <v>0</v>
      </c>
    </row>
    <row r="75" spans="2:17" ht="45" customHeight="1">
      <c r="B75" s="218" t="s">
        <v>963</v>
      </c>
      <c r="C75" s="271"/>
      <c r="D75" s="271"/>
      <c r="E75" s="85">
        <f>SUM(E69:E74)</f>
        <v>14</v>
      </c>
      <c r="F75" s="216" t="str">
        <f>IFERROR(SUM(F69:F74)/E75*E68*100,"")</f>
        <v/>
      </c>
      <c r="G75" s="164"/>
      <c r="H75" s="272"/>
      <c r="I75" s="272"/>
      <c r="J75" s="272"/>
      <c r="K75" s="272"/>
      <c r="L75" s="272"/>
      <c r="M75" s="164"/>
      <c r="N75" s="164"/>
      <c r="O75" s="164"/>
    </row>
    <row r="76" spans="2:17" ht="45" customHeight="1">
      <c r="B76" s="254" t="s">
        <v>1115</v>
      </c>
      <c r="C76" s="273"/>
      <c r="D76" s="273"/>
      <c r="E76" s="196"/>
      <c r="F76" s="196"/>
      <c r="G76" s="164"/>
      <c r="H76" s="496"/>
      <c r="I76" s="496"/>
      <c r="J76" s="496"/>
      <c r="K76" s="496"/>
      <c r="L76" s="496"/>
      <c r="M76" s="164"/>
      <c r="N76" s="164"/>
      <c r="O76" s="164"/>
    </row>
    <row r="77" spans="2:17" ht="45" customHeight="1">
      <c r="B77" s="274" t="s">
        <v>367</v>
      </c>
      <c r="C77" s="205"/>
      <c r="D77" s="206" t="s">
        <v>1089</v>
      </c>
      <c r="E77" s="207" t="str">
        <f>IFERROR(VLOOKUP($F$2,$S$3:$AA$10,7,FALSE),"")</f>
        <v/>
      </c>
      <c r="F77" s="208"/>
      <c r="G77" s="164"/>
      <c r="H77" s="226"/>
      <c r="I77" s="226"/>
      <c r="J77" s="226"/>
      <c r="K77" s="226"/>
      <c r="L77" s="226"/>
      <c r="M77" s="164"/>
      <c r="N77" s="164"/>
      <c r="O77" s="164"/>
    </row>
    <row r="78" spans="2:17" ht="45" customHeight="1">
      <c r="B78" s="251" t="s">
        <v>1186</v>
      </c>
      <c r="C78" s="935" t="s">
        <v>1187</v>
      </c>
      <c r="D78" s="935"/>
      <c r="E78" s="936">
        <v>1</v>
      </c>
      <c r="F78" s="455"/>
      <c r="G78" s="164"/>
      <c r="H78" s="903"/>
      <c r="I78" s="903"/>
      <c r="J78" s="937"/>
      <c r="K78" s="924" t="str">
        <f>IF(ISBLANK($F78)=FALSE,IF(H78="","No","Yes"),"")</f>
        <v/>
      </c>
      <c r="L78" s="924" t="str">
        <f>IF(ISBLANK($F78)=FALSE,IF(I78="","No","Yes"),"")</f>
        <v/>
      </c>
      <c r="M78" s="164"/>
      <c r="N78" s="164"/>
      <c r="O78" s="164"/>
    </row>
    <row r="79" spans="2:17" ht="45" customHeight="1">
      <c r="B79" s="1451" t="s">
        <v>1188</v>
      </c>
      <c r="C79" s="1453" t="s">
        <v>380</v>
      </c>
      <c r="D79" s="935" t="s">
        <v>1189</v>
      </c>
      <c r="E79" s="936">
        <v>2</v>
      </c>
      <c r="F79" s="455"/>
      <c r="G79" s="164"/>
      <c r="H79" s="903"/>
      <c r="I79" s="903"/>
      <c r="J79" s="937"/>
      <c r="K79" s="924" t="str">
        <f>IF(OR(ISBLANK($F79)=FALSE,Q79=TRUE),IF(H79="","No","Yes"),"")</f>
        <v/>
      </c>
      <c r="L79" s="924" t="str">
        <f>IF(ISBLANK($F79)=FALSE,IF(I79="","No","Yes"),IF(Q79=TRUE,"NA",""))</f>
        <v/>
      </c>
      <c r="M79" s="164"/>
      <c r="N79" s="164"/>
      <c r="O79" s="164"/>
      <c r="P79" s="210" t="s">
        <v>242</v>
      </c>
      <c r="Q79" s="268" t="b">
        <v>0</v>
      </c>
    </row>
    <row r="80" spans="2:17" ht="45" customHeight="1">
      <c r="B80" s="1452"/>
      <c r="C80" s="1454"/>
      <c r="D80" s="935" t="s">
        <v>1190</v>
      </c>
      <c r="E80" s="936">
        <v>4</v>
      </c>
      <c r="F80" s="455"/>
      <c r="G80" s="164"/>
      <c r="H80" s="903"/>
      <c r="I80" s="903"/>
      <c r="J80" s="937"/>
      <c r="K80" s="924" t="str">
        <f>IF(OR(ISBLANK($F80)=FALSE,Q80=TRUE),IF(H80="","No","Yes"),"")</f>
        <v/>
      </c>
      <c r="L80" s="924" t="str">
        <f>IF(ISBLANK($F80)=FALSE,IF(I80="","No","Yes"),IF(Q80=TRUE,"NA",""))</f>
        <v/>
      </c>
      <c r="M80" s="164"/>
      <c r="N80" s="164"/>
      <c r="O80" s="164"/>
      <c r="P80" s="210" t="s">
        <v>242</v>
      </c>
      <c r="Q80" s="268" t="b">
        <v>0</v>
      </c>
    </row>
    <row r="81" spans="1:17" ht="45" customHeight="1">
      <c r="A81" s="164"/>
      <c r="B81" s="251" t="s">
        <v>1191</v>
      </c>
      <c r="C81" s="935" t="s">
        <v>1192</v>
      </c>
      <c r="D81" s="935"/>
      <c r="E81" s="936">
        <v>2</v>
      </c>
      <c r="F81" s="455"/>
      <c r="G81" s="164"/>
      <c r="H81" s="903"/>
      <c r="I81" s="903"/>
      <c r="J81" s="937"/>
      <c r="K81" s="924" t="str">
        <f>IF(ISBLANK($F81)=FALSE,IF(H81="","No","Yes"),"")</f>
        <v/>
      </c>
      <c r="L81" s="924" t="str">
        <f>IF(ISBLANK($F81)=FALSE,IF(I81="","No","Yes"),"")</f>
        <v/>
      </c>
      <c r="M81" s="164"/>
      <c r="N81" s="164"/>
      <c r="O81" s="164"/>
    </row>
    <row r="82" spans="1:17" ht="45" customHeight="1">
      <c r="A82" s="164"/>
      <c r="B82" s="1451" t="s">
        <v>1193</v>
      </c>
      <c r="C82" s="1453" t="s">
        <v>1194</v>
      </c>
      <c r="D82" s="935" t="s">
        <v>1195</v>
      </c>
      <c r="E82" s="936">
        <v>2</v>
      </c>
      <c r="F82" s="455"/>
      <c r="G82" s="164"/>
      <c r="H82" s="903"/>
      <c r="I82" s="903"/>
      <c r="J82" s="937"/>
      <c r="K82" s="924" t="str">
        <f t="shared" ref="K82:K88" si="8">IF(OR(ISBLANK($F82)=FALSE,Q82=TRUE),IF(H82="","No","Yes"),"")</f>
        <v/>
      </c>
      <c r="L82" s="924" t="str">
        <f t="shared" ref="L82:L88" si="9">IF(ISBLANK($F82)=FALSE,IF(I82="","No","Yes"),IF(Q82=TRUE,"NA",""))</f>
        <v/>
      </c>
      <c r="M82" s="164"/>
      <c r="N82" s="164"/>
      <c r="O82" s="164"/>
      <c r="P82" s="210" t="s">
        <v>242</v>
      </c>
      <c r="Q82" s="268" t="b">
        <v>0</v>
      </c>
    </row>
    <row r="83" spans="1:17" ht="45" customHeight="1">
      <c r="A83" s="164"/>
      <c r="B83" s="1452"/>
      <c r="C83" s="1454"/>
      <c r="D83" s="935" t="s">
        <v>1196</v>
      </c>
      <c r="E83" s="936">
        <v>1</v>
      </c>
      <c r="F83" s="455"/>
      <c r="G83" s="164"/>
      <c r="H83" s="903"/>
      <c r="I83" s="903"/>
      <c r="J83" s="937"/>
      <c r="K83" s="924" t="str">
        <f t="shared" si="8"/>
        <v/>
      </c>
      <c r="L83" s="924" t="str">
        <f t="shared" si="9"/>
        <v/>
      </c>
      <c r="M83" s="164"/>
      <c r="N83" s="164"/>
      <c r="O83" s="164"/>
      <c r="P83" s="210" t="s">
        <v>242</v>
      </c>
      <c r="Q83" s="268" t="b">
        <v>0</v>
      </c>
    </row>
    <row r="84" spans="1:17" ht="45" customHeight="1">
      <c r="A84" s="164"/>
      <c r="B84" s="1451" t="s">
        <v>1197</v>
      </c>
      <c r="C84" s="1453" t="s">
        <v>1198</v>
      </c>
      <c r="D84" s="935" t="s">
        <v>1199</v>
      </c>
      <c r="E84" s="936">
        <v>1</v>
      </c>
      <c r="F84" s="455"/>
      <c r="G84" s="164"/>
      <c r="H84" s="903"/>
      <c r="I84" s="903"/>
      <c r="J84" s="937"/>
      <c r="K84" s="924" t="str">
        <f t="shared" si="8"/>
        <v/>
      </c>
      <c r="L84" s="924" t="str">
        <f t="shared" si="9"/>
        <v/>
      </c>
      <c r="M84" s="164"/>
      <c r="N84" s="164"/>
      <c r="O84" s="164"/>
      <c r="P84" s="210" t="s">
        <v>242</v>
      </c>
      <c r="Q84" s="268" t="b">
        <v>0</v>
      </c>
    </row>
    <row r="85" spans="1:17" ht="45" customHeight="1">
      <c r="A85" s="164"/>
      <c r="B85" s="1452"/>
      <c r="C85" s="1454"/>
      <c r="D85" s="935" t="s">
        <v>1200</v>
      </c>
      <c r="E85" s="936">
        <v>1</v>
      </c>
      <c r="F85" s="455"/>
      <c r="G85" s="164"/>
      <c r="H85" s="903"/>
      <c r="I85" s="903"/>
      <c r="J85" s="937"/>
      <c r="K85" s="924" t="str">
        <f t="shared" si="8"/>
        <v/>
      </c>
      <c r="L85" s="924" t="str">
        <f t="shared" si="9"/>
        <v/>
      </c>
      <c r="M85" s="164"/>
      <c r="N85" s="164"/>
      <c r="O85" s="164"/>
      <c r="P85" s="210" t="s">
        <v>242</v>
      </c>
      <c r="Q85" s="268" t="b">
        <v>0</v>
      </c>
    </row>
    <row r="86" spans="1:17" ht="45" customHeight="1">
      <c r="A86" s="164"/>
      <c r="B86" s="251" t="s">
        <v>1201</v>
      </c>
      <c r="C86" s="935" t="s">
        <v>1202</v>
      </c>
      <c r="D86" s="935"/>
      <c r="E86" s="936">
        <v>2</v>
      </c>
      <c r="F86" s="455"/>
      <c r="G86" s="164"/>
      <c r="H86" s="903"/>
      <c r="I86" s="903"/>
      <c r="J86" s="937"/>
      <c r="K86" s="924" t="str">
        <f t="shared" si="8"/>
        <v/>
      </c>
      <c r="L86" s="924" t="str">
        <f t="shared" si="9"/>
        <v/>
      </c>
      <c r="M86" s="164"/>
      <c r="N86" s="164"/>
      <c r="O86" s="164"/>
      <c r="P86" s="210" t="s">
        <v>242</v>
      </c>
      <c r="Q86" s="268" t="b">
        <v>0</v>
      </c>
    </row>
    <row r="87" spans="1:17" ht="45" customHeight="1">
      <c r="A87" s="164"/>
      <c r="B87" s="251" t="s">
        <v>1203</v>
      </c>
      <c r="C87" s="935" t="s">
        <v>1204</v>
      </c>
      <c r="D87" s="935"/>
      <c r="E87" s="936">
        <v>1</v>
      </c>
      <c r="F87" s="455"/>
      <c r="G87" s="164"/>
      <c r="H87" s="903"/>
      <c r="I87" s="903"/>
      <c r="J87" s="937"/>
      <c r="K87" s="924" t="str">
        <f t="shared" si="8"/>
        <v/>
      </c>
      <c r="L87" s="924" t="str">
        <f t="shared" si="9"/>
        <v/>
      </c>
      <c r="M87" s="164"/>
      <c r="N87" s="164"/>
      <c r="O87" s="164"/>
      <c r="P87" s="210" t="s">
        <v>242</v>
      </c>
      <c r="Q87" s="268" t="b">
        <v>0</v>
      </c>
    </row>
    <row r="88" spans="1:17" ht="45" customHeight="1">
      <c r="A88" s="164"/>
      <c r="B88" s="251" t="s">
        <v>1205</v>
      </c>
      <c r="C88" s="935" t="s">
        <v>1206</v>
      </c>
      <c r="D88" s="935"/>
      <c r="E88" s="936">
        <v>1</v>
      </c>
      <c r="F88" s="455"/>
      <c r="G88" s="164"/>
      <c r="H88" s="903"/>
      <c r="I88" s="903"/>
      <c r="J88" s="937"/>
      <c r="K88" s="924" t="str">
        <f t="shared" si="8"/>
        <v/>
      </c>
      <c r="L88" s="924" t="str">
        <f t="shared" si="9"/>
        <v/>
      </c>
      <c r="M88" s="164"/>
      <c r="N88" s="164"/>
      <c r="O88" s="164"/>
      <c r="P88" s="210" t="s">
        <v>242</v>
      </c>
      <c r="Q88" s="268" t="b">
        <v>0</v>
      </c>
    </row>
    <row r="89" spans="1:17" ht="45" customHeight="1">
      <c r="A89" s="164"/>
      <c r="B89" s="1451" t="s">
        <v>1207</v>
      </c>
      <c r="C89" s="1453" t="s">
        <v>1208</v>
      </c>
      <c r="D89" s="935" t="s">
        <v>1209</v>
      </c>
      <c r="E89" s="1448">
        <v>1</v>
      </c>
      <c r="F89" s="455"/>
      <c r="G89" s="164"/>
      <c r="H89" s="903"/>
      <c r="I89" s="903"/>
      <c r="J89" s="937"/>
      <c r="K89" s="924" t="str">
        <f t="shared" ref="K89:L94" si="10">IF(ISBLANK($F89)=FALSE,IF(H89="","No","Yes"),"")</f>
        <v/>
      </c>
      <c r="L89" s="924" t="str">
        <f t="shared" si="10"/>
        <v/>
      </c>
      <c r="M89" s="164"/>
      <c r="N89" s="164"/>
      <c r="O89" s="164"/>
    </row>
    <row r="90" spans="1:17" ht="45" customHeight="1">
      <c r="A90" s="164"/>
      <c r="B90" s="1452"/>
      <c r="C90" s="1454"/>
      <c r="D90" s="935" t="s">
        <v>1210</v>
      </c>
      <c r="E90" s="1450"/>
      <c r="F90" s="455"/>
      <c r="G90" s="164"/>
      <c r="H90" s="903"/>
      <c r="I90" s="903"/>
      <c r="J90" s="937"/>
      <c r="K90" s="924" t="str">
        <f t="shared" si="10"/>
        <v/>
      </c>
      <c r="L90" s="924" t="str">
        <f t="shared" si="10"/>
        <v/>
      </c>
      <c r="M90" s="164"/>
      <c r="N90" s="164"/>
      <c r="O90" s="164"/>
    </row>
    <row r="91" spans="1:17" ht="45" customHeight="1">
      <c r="A91" s="164"/>
      <c r="B91" s="251" t="s">
        <v>1211</v>
      </c>
      <c r="C91" s="935" t="s">
        <v>991</v>
      </c>
      <c r="D91" s="935"/>
      <c r="E91" s="936">
        <v>3</v>
      </c>
      <c r="F91" s="455"/>
      <c r="G91" s="164"/>
      <c r="H91" s="903"/>
      <c r="I91" s="903"/>
      <c r="J91" s="937"/>
      <c r="K91" s="924" t="str">
        <f t="shared" si="10"/>
        <v/>
      </c>
      <c r="L91" s="924" t="str">
        <f t="shared" si="10"/>
        <v/>
      </c>
      <c r="M91" s="164"/>
      <c r="N91" s="164"/>
      <c r="O91" s="164"/>
    </row>
    <row r="92" spans="1:17" ht="45" customHeight="1">
      <c r="A92" s="164"/>
      <c r="B92" s="251" t="s">
        <v>1212</v>
      </c>
      <c r="C92" s="935" t="s">
        <v>1213</v>
      </c>
      <c r="D92" s="935"/>
      <c r="E92" s="936">
        <v>1</v>
      </c>
      <c r="F92" s="455"/>
      <c r="G92" s="164"/>
      <c r="H92" s="903"/>
      <c r="I92" s="903"/>
      <c r="J92" s="937"/>
      <c r="K92" s="924" t="str">
        <f t="shared" si="10"/>
        <v/>
      </c>
      <c r="L92" s="924" t="str">
        <f t="shared" si="10"/>
        <v/>
      </c>
      <c r="M92" s="164"/>
      <c r="N92" s="164"/>
      <c r="O92" s="164"/>
    </row>
    <row r="93" spans="1:17" ht="45" customHeight="1">
      <c r="A93" s="164"/>
      <c r="B93" s="251" t="s">
        <v>1214</v>
      </c>
      <c r="C93" s="935" t="s">
        <v>1215</v>
      </c>
      <c r="D93" s="935"/>
      <c r="E93" s="936">
        <v>4</v>
      </c>
      <c r="F93" s="455"/>
      <c r="G93" s="164"/>
      <c r="H93" s="903"/>
      <c r="I93" s="903"/>
      <c r="J93" s="937"/>
      <c r="K93" s="924" t="str">
        <f t="shared" si="10"/>
        <v/>
      </c>
      <c r="L93" s="924" t="str">
        <f t="shared" si="10"/>
        <v/>
      </c>
      <c r="M93" s="164"/>
      <c r="N93" s="164"/>
      <c r="O93" s="164"/>
    </row>
    <row r="94" spans="1:17" s="275" customFormat="1" ht="45" customHeight="1">
      <c r="A94" s="164"/>
      <c r="B94" s="251" t="s">
        <v>1216</v>
      </c>
      <c r="C94" s="935" t="s">
        <v>1217</v>
      </c>
      <c r="D94" s="935"/>
      <c r="E94" s="936">
        <v>2</v>
      </c>
      <c r="F94" s="455"/>
      <c r="G94" s="164"/>
      <c r="H94" s="903"/>
      <c r="I94" s="903"/>
      <c r="J94" s="937"/>
      <c r="K94" s="924" t="str">
        <f t="shared" si="10"/>
        <v/>
      </c>
      <c r="L94" s="924" t="str">
        <f t="shared" si="10"/>
        <v/>
      </c>
      <c r="M94" s="164"/>
      <c r="P94" s="276"/>
      <c r="Q94" s="277"/>
    </row>
    <row r="95" spans="1:17" ht="45" customHeight="1">
      <c r="A95" s="164"/>
      <c r="B95" s="218" t="s">
        <v>963</v>
      </c>
      <c r="C95" s="271"/>
      <c r="D95" s="271"/>
      <c r="E95" s="85">
        <f>SUM(E78:E94)</f>
        <v>29</v>
      </c>
      <c r="F95" s="216" t="str">
        <f>IFERROR(SUM(F78:F94)/E95*E77*100,"")</f>
        <v/>
      </c>
      <c r="G95" s="164"/>
      <c r="H95" s="272"/>
      <c r="I95" s="272"/>
      <c r="J95" s="272"/>
      <c r="K95" s="272"/>
      <c r="L95" s="272"/>
      <c r="M95" s="164"/>
      <c r="N95" s="164"/>
      <c r="O95" s="164"/>
    </row>
    <row r="96" spans="1:17" s="275" customFormat="1" ht="45" customHeight="1">
      <c r="A96" s="164"/>
      <c r="B96" s="254" t="s">
        <v>1115</v>
      </c>
      <c r="C96" s="273"/>
      <c r="D96" s="273"/>
      <c r="E96" s="196"/>
      <c r="F96" s="196"/>
      <c r="G96" s="164"/>
      <c r="H96" s="496"/>
      <c r="I96" s="496"/>
      <c r="J96" s="496"/>
      <c r="K96" s="496"/>
      <c r="L96" s="496"/>
      <c r="M96" s="164"/>
      <c r="N96" s="164"/>
      <c r="O96" s="164"/>
      <c r="P96" s="276"/>
      <c r="Q96" s="277"/>
    </row>
    <row r="97" spans="1:17" s="270" customFormat="1" ht="45" customHeight="1">
      <c r="A97" s="164"/>
      <c r="B97" s="274" t="s">
        <v>396</v>
      </c>
      <c r="C97" s="205"/>
      <c r="D97" s="206" t="s">
        <v>1089</v>
      </c>
      <c r="E97" s="207" t="str">
        <f>IFERROR(VLOOKUP($F$2,$S$3:$AA$10,8,FALSE),"")</f>
        <v/>
      </c>
      <c r="F97" s="208"/>
      <c r="G97" s="164"/>
      <c r="H97" s="226"/>
      <c r="I97" s="226"/>
      <c r="J97" s="226"/>
      <c r="K97" s="226"/>
      <c r="L97" s="226"/>
      <c r="M97" s="164"/>
      <c r="O97" s="278"/>
      <c r="P97" s="210"/>
      <c r="Q97" s="268"/>
    </row>
    <row r="98" spans="1:17" s="270" customFormat="1" ht="45" customHeight="1">
      <c r="A98" s="164"/>
      <c r="B98" s="251" t="s">
        <v>1218</v>
      </c>
      <c r="C98" s="935" t="s">
        <v>1219</v>
      </c>
      <c r="D98" s="935"/>
      <c r="E98" s="936" t="s">
        <v>264</v>
      </c>
      <c r="F98" s="455"/>
      <c r="G98" s="164"/>
      <c r="H98" s="903"/>
      <c r="I98" s="903"/>
      <c r="J98" s="937"/>
      <c r="K98" s="924" t="str">
        <f>IF(ISBLANK($F98)=FALSE,IF(H98="","No","Yes"),"")</f>
        <v/>
      </c>
      <c r="L98" s="924" t="str">
        <f>IF(ISBLANK($F98)=FALSE,IF(I98="","No","Yes"),"")</f>
        <v/>
      </c>
      <c r="M98" s="164"/>
      <c r="P98" s="210"/>
      <c r="Q98" s="268"/>
    </row>
    <row r="99" spans="1:17" s="270" customFormat="1" ht="45" customHeight="1">
      <c r="A99" s="164"/>
      <c r="B99" s="251" t="s">
        <v>1039</v>
      </c>
      <c r="C99" s="935" t="s">
        <v>1220</v>
      </c>
      <c r="D99" s="935"/>
      <c r="E99" s="936">
        <v>1</v>
      </c>
      <c r="F99" s="455"/>
      <c r="G99" s="164"/>
      <c r="H99" s="903"/>
      <c r="I99" s="903"/>
      <c r="J99" s="937"/>
      <c r="K99" s="924" t="str">
        <f>IF(OR(ISBLANK($F99)=FALSE,Q99=TRUE),IF(H99="","No","Yes"),"")</f>
        <v/>
      </c>
      <c r="L99" s="924" t="str">
        <f>IF(ISBLANK($F99)=FALSE,IF(I99="","No","Yes"),IF(Q99=TRUE,"NA",""))</f>
        <v/>
      </c>
      <c r="M99" s="164"/>
      <c r="P99" s="210" t="s">
        <v>242</v>
      </c>
      <c r="Q99" s="268" t="b">
        <v>0</v>
      </c>
    </row>
    <row r="100" spans="1:17" s="270" customFormat="1" ht="45" customHeight="1">
      <c r="A100" s="164"/>
      <c r="B100" s="251" t="s">
        <v>1045</v>
      </c>
      <c r="C100" s="935" t="s">
        <v>1221</v>
      </c>
      <c r="D100" s="935"/>
      <c r="E100" s="936">
        <v>1</v>
      </c>
      <c r="F100" s="455"/>
      <c r="G100" s="164"/>
      <c r="H100" s="903"/>
      <c r="I100" s="903"/>
      <c r="J100" s="937"/>
      <c r="K100" s="924" t="str">
        <f>IF(ISBLANK($F100)=FALSE,IF(H100="","No","Yes"),"")</f>
        <v/>
      </c>
      <c r="L100" s="924" t="str">
        <f>IF(ISBLANK($F100)=FALSE,IF(I100="","No","Yes"),"")</f>
        <v/>
      </c>
      <c r="M100" s="164"/>
      <c r="P100" s="210"/>
      <c r="Q100" s="268"/>
    </row>
    <row r="101" spans="1:17" s="275" customFormat="1" ht="45" customHeight="1">
      <c r="A101" s="164"/>
      <c r="B101" s="251" t="s">
        <v>1046</v>
      </c>
      <c r="C101" s="935" t="s">
        <v>1222</v>
      </c>
      <c r="D101" s="935"/>
      <c r="E101" s="936">
        <v>2</v>
      </c>
      <c r="F101" s="455"/>
      <c r="G101" s="164"/>
      <c r="H101" s="903"/>
      <c r="I101" s="903"/>
      <c r="J101" s="937"/>
      <c r="K101" s="924" t="str">
        <f>IF(OR(ISBLANK($F101)=FALSE,Q101=TRUE),IF(H101="","No","Yes"),"")</f>
        <v/>
      </c>
      <c r="L101" s="924" t="str">
        <f>IF(ISBLANK($F101)=FALSE,IF(I101="","No","Yes"),IF(Q101=TRUE,"NA",""))</f>
        <v/>
      </c>
      <c r="M101" s="164"/>
      <c r="N101" s="164"/>
      <c r="O101" s="164"/>
      <c r="P101" s="210" t="s">
        <v>242</v>
      </c>
      <c r="Q101" s="268" t="b">
        <v>0</v>
      </c>
    </row>
    <row r="102" spans="1:17" ht="45" customHeight="1">
      <c r="A102" s="164"/>
      <c r="B102" s="251" t="s">
        <v>1047</v>
      </c>
      <c r="C102" s="935" t="s">
        <v>783</v>
      </c>
      <c r="D102" s="935"/>
      <c r="E102" s="936">
        <v>4</v>
      </c>
      <c r="F102" s="455"/>
      <c r="G102" s="164"/>
      <c r="H102" s="903"/>
      <c r="I102" s="903"/>
      <c r="J102" s="937"/>
      <c r="K102" s="924" t="str">
        <f>IF(ISBLANK($F102)=FALSE,IF(H102="","No","Yes"),"")</f>
        <v/>
      </c>
      <c r="L102" s="924" t="str">
        <f>IF(ISBLANK($F102)=FALSE,IF(I102="","No","Yes"),"")</f>
        <v/>
      </c>
      <c r="M102" s="164"/>
      <c r="N102" s="164"/>
      <c r="O102" s="164"/>
    </row>
    <row r="103" spans="1:17" ht="45" customHeight="1">
      <c r="A103" s="164"/>
      <c r="B103" s="218" t="s">
        <v>963</v>
      </c>
      <c r="C103" s="271"/>
      <c r="D103" s="271"/>
      <c r="E103" s="85">
        <f>SUM(E98:E102)</f>
        <v>8</v>
      </c>
      <c r="F103" s="216" t="str">
        <f>IFERROR(SUM(F98:F102)/E103*E97*100,"")</f>
        <v/>
      </c>
      <c r="G103" s="164"/>
      <c r="H103" s="272"/>
      <c r="I103" s="272"/>
      <c r="J103" s="272"/>
      <c r="K103" s="272"/>
      <c r="L103" s="272"/>
      <c r="M103" s="164"/>
      <c r="N103" s="164"/>
      <c r="O103" s="164"/>
    </row>
    <row r="104" spans="1:17" ht="45" customHeight="1">
      <c r="A104" s="164"/>
      <c r="B104" s="254" t="s">
        <v>1115</v>
      </c>
      <c r="C104" s="273"/>
      <c r="D104" s="273"/>
      <c r="E104" s="196"/>
      <c r="F104" s="196"/>
      <c r="G104" s="164"/>
      <c r="H104" s="496"/>
      <c r="I104" s="496"/>
      <c r="J104" s="496"/>
      <c r="K104" s="496"/>
      <c r="L104" s="496"/>
      <c r="M104" s="164"/>
      <c r="N104" s="164"/>
      <c r="O104" s="164"/>
    </row>
    <row r="105" spans="1:17" ht="45" customHeight="1">
      <c r="A105" s="164"/>
      <c r="B105" s="274" t="s">
        <v>404</v>
      </c>
      <c r="C105" s="205"/>
      <c r="D105" s="206" t="s">
        <v>1089</v>
      </c>
      <c r="E105" s="207" t="str">
        <f>IFERROR(VLOOKUP($F$2,$S$3:$AA$10,9,FALSE),"")</f>
        <v/>
      </c>
      <c r="F105" s="208"/>
      <c r="G105" s="164"/>
      <c r="H105" s="226"/>
      <c r="I105" s="226"/>
      <c r="J105" s="226"/>
      <c r="K105" s="226"/>
      <c r="L105" s="226"/>
      <c r="M105" s="164"/>
      <c r="N105" s="164"/>
      <c r="O105" s="164"/>
    </row>
    <row r="106" spans="1:17" ht="45" customHeight="1">
      <c r="A106" s="164"/>
      <c r="B106" s="251" t="s">
        <v>1223</v>
      </c>
      <c r="C106" s="935" t="s">
        <v>1224</v>
      </c>
      <c r="D106" s="935"/>
      <c r="E106" s="936">
        <v>1</v>
      </c>
      <c r="F106" s="455"/>
      <c r="G106" s="164"/>
      <c r="H106" s="903"/>
      <c r="I106" s="903"/>
      <c r="J106" s="937"/>
      <c r="K106" s="924" t="str">
        <f>IF(ISBLANK($F106)=FALSE,IF(H106="","No","Yes"),"")</f>
        <v/>
      </c>
      <c r="L106" s="924" t="str">
        <f>IF(ISBLANK($F106)=FALSE,IF(I106="","No","Yes"),"")</f>
        <v/>
      </c>
      <c r="M106" s="164"/>
      <c r="N106" s="164"/>
      <c r="O106" s="164"/>
    </row>
    <row r="107" spans="1:17" ht="45" customHeight="1">
      <c r="A107" s="164"/>
      <c r="B107" s="251" t="s">
        <v>1225</v>
      </c>
      <c r="C107" s="935" t="s">
        <v>1226</v>
      </c>
      <c r="D107" s="935"/>
      <c r="E107" s="936">
        <v>2</v>
      </c>
      <c r="F107" s="455"/>
      <c r="G107" s="164"/>
      <c r="H107" s="903"/>
      <c r="I107" s="903"/>
      <c r="J107" s="937"/>
      <c r="K107" s="924" t="str">
        <f>IF(ISBLANK($F107)=FALSE,IF(H107="","No","Yes"),"")</f>
        <v/>
      </c>
      <c r="L107" s="924" t="str">
        <f>IF(ISBLANK($F107)=FALSE,IF(I107="","No","Yes"),"")</f>
        <v/>
      </c>
      <c r="M107" s="164"/>
      <c r="N107" s="164"/>
      <c r="O107" s="164"/>
    </row>
    <row r="108" spans="1:17" ht="45" customHeight="1">
      <c r="A108" s="164"/>
      <c r="B108" s="251" t="s">
        <v>1227</v>
      </c>
      <c r="C108" s="935" t="s">
        <v>1228</v>
      </c>
      <c r="D108" s="935"/>
      <c r="E108" s="936">
        <v>2</v>
      </c>
      <c r="F108" s="455"/>
      <c r="G108" s="164"/>
      <c r="H108" s="903"/>
      <c r="I108" s="903"/>
      <c r="J108" s="937"/>
      <c r="K108" s="924" t="str">
        <f>IF(OR(ISBLANK($F108)=FALSE,Q108=TRUE),IF(H108="","No","Yes"),"")</f>
        <v/>
      </c>
      <c r="L108" s="924" t="str">
        <f>IF(ISBLANK($F108)=FALSE,IF(I108="","No","Yes"),IF(Q108=TRUE,"NA",""))</f>
        <v/>
      </c>
      <c r="M108" s="164"/>
      <c r="N108" s="164"/>
      <c r="O108" s="164"/>
      <c r="P108" s="210" t="s">
        <v>242</v>
      </c>
      <c r="Q108" s="268" t="b">
        <v>0</v>
      </c>
    </row>
    <row r="109" spans="1:17" ht="45" customHeight="1">
      <c r="A109" s="164"/>
      <c r="B109" s="251" t="s">
        <v>1229</v>
      </c>
      <c r="C109" s="935" t="s">
        <v>1230</v>
      </c>
      <c r="D109" s="935"/>
      <c r="E109" s="936">
        <v>1</v>
      </c>
      <c r="F109" s="455"/>
      <c r="G109" s="164"/>
      <c r="H109" s="903"/>
      <c r="I109" s="903"/>
      <c r="J109" s="937"/>
      <c r="K109" s="924" t="str">
        <f>IF(ISBLANK($F109)=FALSE,IF(H109="","No","Yes"),"")</f>
        <v/>
      </c>
      <c r="L109" s="924" t="str">
        <f>IF(ISBLANK($F109)=FALSE,IF(I109="","No","Yes"),"")</f>
        <v/>
      </c>
      <c r="M109" s="164"/>
      <c r="N109" s="164"/>
      <c r="O109" s="164"/>
    </row>
    <row r="110" spans="1:17" ht="45" customHeight="1">
      <c r="A110" s="164"/>
      <c r="B110" s="251" t="s">
        <v>1231</v>
      </c>
      <c r="C110" s="935" t="s">
        <v>1232</v>
      </c>
      <c r="D110" s="935"/>
      <c r="E110" s="936">
        <v>3</v>
      </c>
      <c r="F110" s="455"/>
      <c r="G110" s="164"/>
      <c r="H110" s="903"/>
      <c r="I110" s="903"/>
      <c r="J110" s="937"/>
      <c r="K110" s="924" t="str">
        <f>IF(OR(ISBLANK($F110)=FALSE,Q110=TRUE),IF(H110="","No","Yes"),"")</f>
        <v/>
      </c>
      <c r="L110" s="924" t="str">
        <f>IF(ISBLANK($F110)=FALSE,IF(I110="","No","Yes"),IF(Q110=TRUE,"NA",""))</f>
        <v/>
      </c>
      <c r="M110" s="164"/>
      <c r="N110" s="164"/>
      <c r="O110" s="164"/>
      <c r="P110" s="210" t="s">
        <v>242</v>
      </c>
      <c r="Q110" s="268" t="b">
        <v>0</v>
      </c>
    </row>
    <row r="111" spans="1:17" ht="45" customHeight="1">
      <c r="A111" s="164"/>
      <c r="B111" s="1451" t="s">
        <v>1233</v>
      </c>
      <c r="C111" s="1453" t="s">
        <v>1234</v>
      </c>
      <c r="D111" s="935" t="s">
        <v>1235</v>
      </c>
      <c r="E111" s="936">
        <v>4</v>
      </c>
      <c r="F111" s="455"/>
      <c r="G111" s="164"/>
      <c r="H111" s="903"/>
      <c r="I111" s="903"/>
      <c r="J111" s="937"/>
      <c r="K111" s="924" t="str">
        <f>IF(ISBLANK($F111)=FALSE,IF(H111="","No","Yes"),"")</f>
        <v/>
      </c>
      <c r="L111" s="924" t="str">
        <f>IF(ISBLANK($F111)=FALSE,IF(I111="","No","Yes"),"")</f>
        <v/>
      </c>
      <c r="M111" s="164"/>
      <c r="N111" s="164"/>
      <c r="O111" s="164"/>
    </row>
    <row r="112" spans="1:17" ht="45" customHeight="1">
      <c r="A112" s="164"/>
      <c r="B112" s="1452"/>
      <c r="C112" s="1454"/>
      <c r="D112" s="935" t="s">
        <v>1236</v>
      </c>
      <c r="E112" s="936">
        <v>1</v>
      </c>
      <c r="F112" s="455"/>
      <c r="G112" s="164"/>
      <c r="H112" s="903"/>
      <c r="I112" s="903"/>
      <c r="J112" s="937"/>
      <c r="K112" s="924" t="str">
        <f>IF(OR(ISBLANK($F112)=FALSE,Q112=TRUE),IF(H112="","No","Yes"),"")</f>
        <v/>
      </c>
      <c r="L112" s="924" t="str">
        <f>IF(ISBLANK($F112)=FALSE,IF(I112="","No","Yes"),IF(Q112=TRUE,"NA",""))</f>
        <v/>
      </c>
      <c r="M112" s="164"/>
      <c r="N112" s="164"/>
      <c r="O112" s="164"/>
      <c r="P112" s="210" t="s">
        <v>242</v>
      </c>
      <c r="Q112" s="268" t="b">
        <v>0</v>
      </c>
    </row>
    <row r="113" spans="2:12" ht="45" customHeight="1">
      <c r="B113" s="251" t="s">
        <v>1237</v>
      </c>
      <c r="C113" s="935" t="s">
        <v>409</v>
      </c>
      <c r="D113" s="935"/>
      <c r="E113" s="936">
        <v>1</v>
      </c>
      <c r="F113" s="455"/>
      <c r="G113" s="164"/>
      <c r="H113" s="903"/>
      <c r="I113" s="903"/>
      <c r="J113" s="937"/>
      <c r="K113" s="924" t="str">
        <f t="shared" ref="K113:L115" si="11">IF(ISBLANK($F113)=FALSE,IF(H113="","No","Yes"),"")</f>
        <v/>
      </c>
      <c r="L113" s="924" t="str">
        <f t="shared" si="11"/>
        <v/>
      </c>
    </row>
    <row r="114" spans="2:12" ht="45" customHeight="1">
      <c r="B114" s="251" t="s">
        <v>1238</v>
      </c>
      <c r="C114" s="935" t="s">
        <v>1239</v>
      </c>
      <c r="D114" s="935"/>
      <c r="E114" s="936">
        <v>1</v>
      </c>
      <c r="F114" s="455"/>
      <c r="G114" s="164"/>
      <c r="H114" s="903"/>
      <c r="I114" s="903"/>
      <c r="J114" s="937"/>
      <c r="K114" s="924" t="str">
        <f t="shared" si="11"/>
        <v/>
      </c>
      <c r="L114" s="924" t="str">
        <f t="shared" si="11"/>
        <v/>
      </c>
    </row>
    <row r="115" spans="2:12" ht="45" customHeight="1">
      <c r="B115" s="251" t="s">
        <v>1240</v>
      </c>
      <c r="C115" s="935" t="s">
        <v>1241</v>
      </c>
      <c r="D115" s="935"/>
      <c r="E115" s="936">
        <v>1</v>
      </c>
      <c r="F115" s="455"/>
      <c r="G115" s="164"/>
      <c r="H115" s="903"/>
      <c r="I115" s="903"/>
      <c r="J115" s="937"/>
      <c r="K115" s="924" t="str">
        <f t="shared" si="11"/>
        <v/>
      </c>
      <c r="L115" s="924" t="str">
        <f t="shared" si="11"/>
        <v/>
      </c>
    </row>
    <row r="116" spans="2:12" ht="45" customHeight="1">
      <c r="B116" s="218" t="s">
        <v>963</v>
      </c>
      <c r="C116" s="271"/>
      <c r="D116" s="271"/>
      <c r="E116" s="85">
        <f>SUM(E106:E115)</f>
        <v>17</v>
      </c>
      <c r="F116" s="216" t="str">
        <f>IFERROR(SUM(F106:F115)/E116*E105*100,"")</f>
        <v/>
      </c>
      <c r="G116" s="164"/>
      <c r="H116" s="272"/>
      <c r="I116" s="272"/>
      <c r="J116" s="272"/>
      <c r="K116" s="272"/>
      <c r="L116" s="272"/>
    </row>
    <row r="117" spans="2:12" ht="45" customHeight="1">
      <c r="B117" s="221"/>
      <c r="C117" s="273"/>
      <c r="D117" s="273"/>
      <c r="E117" s="196"/>
      <c r="F117" s="196"/>
      <c r="G117" s="164"/>
      <c r="H117" s="496"/>
      <c r="I117" s="496"/>
      <c r="J117" s="496"/>
      <c r="K117" s="496"/>
      <c r="L117" s="496"/>
    </row>
    <row r="118" spans="2:12" ht="45" customHeight="1">
      <c r="B118" s="274" t="s">
        <v>419</v>
      </c>
      <c r="C118" s="205"/>
      <c r="D118" s="205"/>
      <c r="E118" s="228"/>
      <c r="F118" s="208"/>
      <c r="G118" s="164"/>
      <c r="H118" s="226"/>
      <c r="I118" s="226"/>
      <c r="J118" s="226"/>
      <c r="K118" s="226"/>
      <c r="L118" s="226"/>
    </row>
    <row r="119" spans="2:12" ht="45" customHeight="1">
      <c r="B119" s="251" t="s">
        <v>1079</v>
      </c>
      <c r="C119" s="935" t="s">
        <v>1242</v>
      </c>
      <c r="D119" s="938"/>
      <c r="E119" s="1448">
        <v>10</v>
      </c>
      <c r="F119" s="455"/>
      <c r="G119" s="164"/>
      <c r="H119" s="903"/>
      <c r="I119" s="903"/>
      <c r="J119" s="937"/>
      <c r="K119" s="924" t="str">
        <f t="shared" ref="K119:L121" si="12">IF(ISBLANK($F119)=FALSE,IF(H119="","No","Yes"),"")</f>
        <v/>
      </c>
      <c r="L119" s="924" t="str">
        <f t="shared" si="12"/>
        <v/>
      </c>
    </row>
    <row r="120" spans="2:12" ht="45" customHeight="1">
      <c r="B120" s="251" t="s">
        <v>1243</v>
      </c>
      <c r="C120" s="935" t="s">
        <v>1244</v>
      </c>
      <c r="D120" s="939"/>
      <c r="E120" s="1449"/>
      <c r="F120" s="455"/>
      <c r="G120" s="164"/>
      <c r="H120" s="903"/>
      <c r="I120" s="903"/>
      <c r="J120" s="937"/>
      <c r="K120" s="924" t="str">
        <f t="shared" si="12"/>
        <v/>
      </c>
      <c r="L120" s="924" t="str">
        <f t="shared" si="12"/>
        <v/>
      </c>
    </row>
    <row r="121" spans="2:12" ht="45" customHeight="1">
      <c r="B121" s="251" t="s">
        <v>1245</v>
      </c>
      <c r="C121" s="935" t="s">
        <v>1246</v>
      </c>
      <c r="D121" s="940"/>
      <c r="E121" s="1450"/>
      <c r="F121" s="455"/>
      <c r="G121" s="164"/>
      <c r="H121" s="903"/>
      <c r="I121" s="903"/>
      <c r="J121" s="937"/>
      <c r="K121" s="924" t="str">
        <f t="shared" si="12"/>
        <v/>
      </c>
      <c r="L121" s="924" t="str">
        <f t="shared" si="12"/>
        <v/>
      </c>
    </row>
    <row r="122" spans="2:12" ht="45" customHeight="1">
      <c r="B122" s="218" t="s">
        <v>963</v>
      </c>
      <c r="C122" s="271"/>
      <c r="D122" s="271"/>
      <c r="E122" s="85">
        <f>SUM(E119:E121)</f>
        <v>10</v>
      </c>
      <c r="F122" s="85">
        <f>IF(SUM(F119:F121)&gt;10,10,SUM(F119:F121))</f>
        <v>0</v>
      </c>
      <c r="G122" s="164"/>
      <c r="H122" s="272"/>
      <c r="I122" s="272"/>
      <c r="J122" s="217"/>
      <c r="K122" s="217"/>
      <c r="L122" s="272"/>
    </row>
    <row r="123" spans="2:12" ht="30" customHeight="1">
      <c r="C123" s="539"/>
      <c r="D123" s="539"/>
      <c r="E123" s="164"/>
      <c r="F123" s="164"/>
      <c r="G123" s="164"/>
      <c r="H123" s="164"/>
      <c r="I123" s="164"/>
      <c r="J123" s="164"/>
      <c r="K123" s="164"/>
      <c r="L123" s="164"/>
    </row>
    <row r="124" spans="2:12" ht="45" customHeight="1">
      <c r="C124" s="941"/>
      <c r="D124" s="230" t="s">
        <v>437</v>
      </c>
      <c r="E124" s="218"/>
      <c r="F124" s="218"/>
      <c r="G124" s="496"/>
      <c r="H124" s="201" t="s">
        <v>599</v>
      </c>
      <c r="I124" s="201" t="s">
        <v>600</v>
      </c>
      <c r="J124" s="164"/>
      <c r="K124" s="164"/>
      <c r="L124" s="164"/>
    </row>
    <row r="125" spans="2:12" ht="45" customHeight="1">
      <c r="C125" s="941"/>
      <c r="D125" s="231" t="s">
        <v>440</v>
      </c>
      <c r="E125" s="232"/>
      <c r="F125" s="233"/>
      <c r="G125" s="210"/>
      <c r="H125" s="234">
        <f>SUMIF(K9:K121,"Yes",H9:H121)</f>
        <v>0</v>
      </c>
      <c r="I125" s="234">
        <f>SUMIF(L9:L121,"Yes",I9:I121)</f>
        <v>0</v>
      </c>
      <c r="J125" s="164"/>
      <c r="K125" s="164"/>
      <c r="L125" s="164"/>
    </row>
    <row r="126" spans="2:12" ht="45" customHeight="1">
      <c r="C126" s="941"/>
      <c r="D126" s="231" t="s">
        <v>441</v>
      </c>
      <c r="E126" s="232"/>
      <c r="F126" s="233"/>
      <c r="G126" s="210"/>
      <c r="H126" s="225"/>
      <c r="I126" s="225"/>
      <c r="J126" s="164"/>
      <c r="K126" s="164"/>
      <c r="L126" s="164"/>
    </row>
    <row r="127" spans="2:12" ht="45" customHeight="1">
      <c r="C127" s="941"/>
      <c r="D127" s="235" t="s">
        <v>442</v>
      </c>
      <c r="E127" s="236"/>
      <c r="F127" s="237">
        <f>SUM(F125:F126)</f>
        <v>0</v>
      </c>
      <c r="G127" s="210"/>
      <c r="H127" s="164"/>
      <c r="I127" s="225"/>
      <c r="J127" s="164"/>
      <c r="K127" s="164"/>
      <c r="L127" s="164"/>
    </row>
    <row r="128" spans="2:12" ht="45" customHeight="1">
      <c r="C128" s="941"/>
      <c r="D128" s="231" t="s">
        <v>443</v>
      </c>
      <c r="E128" s="232"/>
      <c r="F128" s="233"/>
      <c r="G128" s="210"/>
      <c r="H128" s="164"/>
      <c r="I128" s="225"/>
      <c r="J128" s="164"/>
      <c r="K128" s="164"/>
      <c r="L128" s="164"/>
    </row>
    <row r="129" spans="1:9" ht="45" customHeight="1">
      <c r="A129" s="164"/>
      <c r="C129" s="941"/>
      <c r="D129" s="231" t="s">
        <v>107</v>
      </c>
      <c r="E129" s="232"/>
      <c r="F129" s="237">
        <f>H125</f>
        <v>0</v>
      </c>
      <c r="G129" s="210"/>
      <c r="H129" s="164"/>
      <c r="I129" s="225"/>
    </row>
    <row r="130" spans="1:9" ht="45" customHeight="1">
      <c r="A130" s="164"/>
      <c r="C130" s="941"/>
      <c r="D130" s="231" t="s">
        <v>444</v>
      </c>
      <c r="E130" s="232"/>
      <c r="F130" s="237">
        <f>I125</f>
        <v>0</v>
      </c>
      <c r="G130" s="210"/>
      <c r="H130" s="164"/>
      <c r="I130" s="225"/>
    </row>
    <row r="131" spans="1:9" ht="45" customHeight="1">
      <c r="A131" s="164"/>
      <c r="C131" s="941"/>
      <c r="D131" s="235" t="s">
        <v>445</v>
      </c>
      <c r="E131" s="236"/>
      <c r="F131" s="238">
        <f>SUM(F128:F130)</f>
        <v>0</v>
      </c>
      <c r="G131" s="210"/>
      <c r="H131" s="164"/>
      <c r="I131" s="225"/>
    </row>
    <row r="132" spans="1:9" ht="45" customHeight="1">
      <c r="A132" s="164"/>
      <c r="C132" s="941"/>
      <c r="D132" s="239" t="s">
        <v>112</v>
      </c>
      <c r="E132" s="240"/>
      <c r="F132" s="241">
        <f>IFERROR(F131/F127,0)</f>
        <v>0</v>
      </c>
      <c r="G132" s="210"/>
      <c r="H132" s="164"/>
      <c r="I132" s="225"/>
    </row>
    <row r="133" spans="1:9" ht="45" customHeight="1">
      <c r="A133" s="164"/>
      <c r="C133" s="815"/>
      <c r="D133" s="815"/>
      <c r="E133" s="942"/>
      <c r="F133" s="538"/>
      <c r="G133" s="496"/>
      <c r="H133" s="904"/>
      <c r="I133" s="904"/>
    </row>
    <row r="134" spans="1:9" ht="30" customHeight="1">
      <c r="A134" s="143"/>
      <c r="C134" s="941"/>
      <c r="D134" s="230" t="s">
        <v>101</v>
      </c>
      <c r="E134" s="243"/>
      <c r="F134" s="244" t="s">
        <v>602</v>
      </c>
      <c r="G134" s="243"/>
      <c r="H134" s="904"/>
      <c r="I134" s="904"/>
    </row>
    <row r="135" spans="1:9" ht="35.1" customHeight="1">
      <c r="A135" s="143"/>
      <c r="C135" s="941"/>
      <c r="D135" s="127" t="s">
        <v>447</v>
      </c>
      <c r="E135" s="943" t="s">
        <v>937</v>
      </c>
      <c r="F135" s="1227" t="str">
        <f>IF(E135="Yes","No Issues", IF(E135="No","Contact project team","Check scorecard points"))</f>
        <v>Check scorecard points</v>
      </c>
      <c r="G135" s="1227"/>
      <c r="H135" s="904"/>
      <c r="I135" s="904"/>
    </row>
    <row r="136" spans="1:9" ht="35.1" customHeight="1">
      <c r="A136" s="143"/>
      <c r="C136" s="941"/>
      <c r="D136" s="127" t="s">
        <v>604</v>
      </c>
      <c r="E136" s="943">
        <f>COUNTA(F9:F21,F25:F46,F50:F56,F60:F65,F69:F74,F78:F94,F98:F102,F106:F115,F119:F121)+COUNTIF(Q9:Q121,TRUE)</f>
        <v>0</v>
      </c>
      <c r="F136" s="1227" t="str">
        <f>IF(E136=0,"No credits entered","No Issues")</f>
        <v>No credits entered</v>
      </c>
      <c r="G136" s="1227"/>
      <c r="H136" s="904"/>
      <c r="I136" s="904"/>
    </row>
    <row r="137" spans="1:9" ht="35.1" customHeight="1">
      <c r="A137" s="143"/>
      <c r="C137" s="941"/>
      <c r="D137" s="127" t="s">
        <v>450</v>
      </c>
      <c r="E137" s="943">
        <f>COUNTIF(Q9:Q121,TRUE)</f>
        <v>0</v>
      </c>
      <c r="F137" s="1304" t="str">
        <f>IF(E137=0,"No Issues - No NA credits claimed",CONCATENATE("No Issues - ",E137," Implementation Costs not needed"))</f>
        <v>No Issues - No NA credits claimed</v>
      </c>
      <c r="G137" s="1304"/>
      <c r="H137" s="904"/>
      <c r="I137" s="904"/>
    </row>
    <row r="138" spans="1:9" ht="60" customHeight="1">
      <c r="A138" s="143"/>
      <c r="C138" s="941"/>
      <c r="D138" s="127" t="s">
        <v>451</v>
      </c>
      <c r="E138" s="943">
        <f>COUNTIF(K17:K121,"Yes")</f>
        <v>0</v>
      </c>
      <c r="F138" s="1229" t="str">
        <f>IF(E138&lt;E136,CONCATENATE(E136-E138," documentation costs missing"),IF(E138=0,"No credits entered",IF(COUNTIF(H9:H121,0)&gt;0,CONCATENATE(COUNTIF(H9:H121,0)," $0 cost(s) provided. Enter a value or explain the $0 value in the Comments column."),"No Issues")))</f>
        <v>No credits entered</v>
      </c>
      <c r="G138" s="1229"/>
      <c r="H138" s="454"/>
      <c r="I138" s="596"/>
    </row>
    <row r="139" spans="1:9" ht="60" customHeight="1">
      <c r="A139" s="143"/>
      <c r="C139" s="941"/>
      <c r="D139" s="127" t="s">
        <v>452</v>
      </c>
      <c r="E139" s="943">
        <f>COUNTIF(L17:L121,"Yes")</f>
        <v>0</v>
      </c>
      <c r="F139" s="1229" t="str">
        <f>IF(E139&lt;(E136-E137),CONCATENATE(E136-E139-E137," implementation costs missing"),IF(E139=0,"No credits entered",IF(COUNTIF(I9:I121,0)&gt;ROUND(0.25*E136,0),CONCATENATE(COUNTIF(I9:I121,0)," $0 cost(s) provided. Enter a value or explain the $0 value in the Comments column."),"No Issues")))</f>
        <v>No credits entered</v>
      </c>
      <c r="G139" s="1229"/>
      <c r="H139" s="454"/>
      <c r="I139" s="596"/>
    </row>
    <row r="140" spans="1:9" ht="35.1" customHeight="1">
      <c r="A140" s="143"/>
      <c r="C140" s="941"/>
      <c r="D140" s="127" t="s">
        <v>453</v>
      </c>
      <c r="E140" s="943" t="str">
        <f>IF(F125&gt;0,"Yes","No")</f>
        <v>No</v>
      </c>
      <c r="F140" s="1229" t="str">
        <f>IF(E140="No","Total Design Cost missing","No Issues")</f>
        <v>Total Design Cost missing</v>
      </c>
      <c r="G140" s="1229"/>
      <c r="H140" s="904"/>
      <c r="I140" s="904"/>
    </row>
    <row r="141" spans="1:9" ht="35.1" customHeight="1">
      <c r="A141" s="143"/>
      <c r="C141" s="941"/>
      <c r="D141" s="127" t="s">
        <v>454</v>
      </c>
      <c r="E141" s="943" t="str">
        <f>IF(F126&gt;0,"Yes","No")</f>
        <v>No</v>
      </c>
      <c r="F141" s="1229" t="str">
        <f>IF(E141="No","Total Construction Cost missing","No Issues")</f>
        <v>Total Construction Cost missing</v>
      </c>
      <c r="G141" s="1229"/>
      <c r="H141" s="904"/>
      <c r="I141" s="904"/>
    </row>
    <row r="142" spans="1:9" ht="35.1" customHeight="1">
      <c r="A142" s="143"/>
      <c r="C142" s="941"/>
      <c r="D142" s="127" t="s">
        <v>455</v>
      </c>
      <c r="E142" s="943" t="str">
        <f>IF(F128&gt;0,"Yes","No")</f>
        <v>No</v>
      </c>
      <c r="F142" s="1229" t="str">
        <f>IF(E142="No","Green Star Certification Fees missing","No Issues")</f>
        <v>Green Star Certification Fees missing</v>
      </c>
      <c r="G142" s="1229"/>
      <c r="H142" s="904"/>
      <c r="I142" s="904"/>
    </row>
    <row r="143" spans="1:9" ht="35.1" hidden="1" customHeight="1">
      <c r="A143" s="143" t="s">
        <v>14</v>
      </c>
      <c r="C143" s="941"/>
      <c r="D143" s="591" t="s">
        <v>188</v>
      </c>
      <c r="E143" s="592"/>
      <c r="F143" s="1230" t="s">
        <v>652</v>
      </c>
      <c r="G143" s="1230"/>
      <c r="H143" s="904"/>
      <c r="I143" s="904"/>
    </row>
    <row r="144" spans="1:9" ht="45" hidden="1" customHeight="1">
      <c r="A144" s="143" t="s">
        <v>14</v>
      </c>
      <c r="C144" s="941"/>
      <c r="D144" s="128" t="s">
        <v>457</v>
      </c>
      <c r="E144" s="1446" t="str">
        <f>IF(OR(COUNTIF(F135:G142,"No Issues*")=8,F143="YES"),"1 POINT AWARDED","1 POINT NOT AWARDED")</f>
        <v>1 POINT NOT AWARDED</v>
      </c>
      <c r="F144" s="1446"/>
      <c r="G144" s="1446"/>
      <c r="H144" s="164"/>
      <c r="I144" s="164"/>
    </row>
  </sheetData>
  <sortState xmlns:xlrd2="http://schemas.microsoft.com/office/spreadsheetml/2017/richdata2" ref="S3:AA10">
    <sortCondition ref="S3"/>
  </sortState>
  <customSheetViews>
    <customSheetView guid="{CEACA748-A46A-4C8B-98CF-30E51B671B84}" scale="80" showGridLines="0" hiddenColumns="1">
      <pane ySplit="7" topLeftCell="A132" activePane="bottomLeft" state="frozen"/>
      <selection pane="bottomLeft" activeCell="E145" sqref="E145"/>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32">
    <mergeCell ref="C89:C90"/>
    <mergeCell ref="B1:F1"/>
    <mergeCell ref="B32:B36"/>
    <mergeCell ref="C32:C36"/>
    <mergeCell ref="B62:B63"/>
    <mergeCell ref="C62:C63"/>
    <mergeCell ref="H6:I6"/>
    <mergeCell ref="E119:E121"/>
    <mergeCell ref="E89:E90"/>
    <mergeCell ref="B10:B11"/>
    <mergeCell ref="C10:C11"/>
    <mergeCell ref="B19:B20"/>
    <mergeCell ref="C19:C20"/>
    <mergeCell ref="B79:B80"/>
    <mergeCell ref="C79:C80"/>
    <mergeCell ref="B111:B112"/>
    <mergeCell ref="C111:C112"/>
    <mergeCell ref="B82:B83"/>
    <mergeCell ref="C82:C83"/>
    <mergeCell ref="B84:B85"/>
    <mergeCell ref="C84:C85"/>
    <mergeCell ref="B89:B90"/>
    <mergeCell ref="F135:G135"/>
    <mergeCell ref="E144:G144"/>
    <mergeCell ref="F136:G136"/>
    <mergeCell ref="F138:G138"/>
    <mergeCell ref="F139:G139"/>
    <mergeCell ref="F140:G140"/>
    <mergeCell ref="F141:G141"/>
    <mergeCell ref="F142:G142"/>
    <mergeCell ref="F137:G137"/>
    <mergeCell ref="F143:G143"/>
  </mergeCells>
  <conditionalFormatting sqref="H119:L121 H9:L21 H25:L46 H50:L56 H60:L65 H69:L74 H78:L94 H98:L102 H106:L115">
    <cfRule type="expression" dxfId="66" priority="17">
      <formula>$F9=""</formula>
    </cfRule>
  </conditionalFormatting>
  <conditionalFormatting sqref="K119:L121 K9:L21 K25:L46 K50:L56 K60:L65 K69:L74 K78:L94 K98:L102 K106:L115">
    <cfRule type="cellIs" dxfId="65" priority="10" operator="equal">
      <formula>"Yes"</formula>
    </cfRule>
    <cfRule type="cellIs" dxfId="64" priority="11" operator="equal">
      <formula>"No"</formula>
    </cfRule>
  </conditionalFormatting>
  <conditionalFormatting sqref="D19:F20 B30:F30 D34:F36 B37:F37 B44:F44 B55:F55 B60:F61 B71:F71 B73:F74 D79:F80 D82:F85 B86:F88 B99:F99 B101:F101 B108:F108 B110:F110 D112:F112">
    <cfRule type="expression" dxfId="63" priority="13">
      <formula>$Q19=TRUE</formula>
    </cfRule>
  </conditionalFormatting>
  <conditionalFormatting sqref="H19:H20 H30 H34:H37 H44 H55 H71 H73:H74 H99 H108 H110 H112 J19:K20 J30:K30 J34:K37 J44:K44 J55:K55 J60:K61 J71:K71 J73:K74 J79:K80 J82:K88 J99:K99 J101:K101 J108:K108 J110:K110 J112:K112 H60:H65 H79:H89 H91 H93 H101">
    <cfRule type="expression" dxfId="62" priority="12">
      <formula>$Q19=TRUE</formula>
    </cfRule>
  </conditionalFormatting>
  <conditionalFormatting sqref="C2:C4 F2">
    <cfRule type="containsText" dxfId="61" priority="4" operator="containsText" text="Please">
      <formula>NOT(ISERROR(SEARCH("Please",C2)))</formula>
    </cfRule>
  </conditionalFormatting>
  <conditionalFormatting sqref="L19:L20 L30 L34:L37 L44 L55 L60:L61 L71 L73:L74 L79:L80 L82:L88 L99 L101 L108 L110 L112">
    <cfRule type="cellIs" dxfId="60" priority="6" operator="equal">
      <formula>"NA"</formula>
    </cfRule>
  </conditionalFormatting>
  <conditionalFormatting sqref="F135:G142">
    <cfRule type="containsText" dxfId="59" priority="5" operator="containsText" text="No Issues">
      <formula>NOT(ISERROR(SEARCH("No Issues",F135)))</formula>
    </cfRule>
  </conditionalFormatting>
  <conditionalFormatting sqref="H6:J6">
    <cfRule type="containsText" dxfId="58" priority="2" operator="containsText" text="Select">
      <formula>NOT(ISERROR(SEARCH("Select",H6)))</formula>
    </cfRule>
  </conditionalFormatting>
  <conditionalFormatting sqref="F143">
    <cfRule type="cellIs" dxfId="57" priority="1" operator="equal">
      <formula>"YES"</formula>
    </cfRule>
  </conditionalFormatting>
  <dataValidations disablePrompts="1" xWindow="378" yWindow="341" count="12">
    <dataValidation type="list" allowBlank="1" showInputMessage="1" showErrorMessage="1" promptTitle="Green Star Rating" prompt="Please select the project's targeted rating" sqref="C4" xr:uid="{00000000-0002-0000-0A00-000000000000}">
      <formula1>$N$2:$N$5</formula1>
    </dataValidation>
    <dataValidation allowBlank="1" showInputMessage="1" showErrorMessage="1" promptTitle="Project Name" prompt="Please enter the project name" sqref="C3" xr:uid="{00000000-0002-0000-0A00-000001000000}"/>
    <dataValidation allowBlank="1" showInputMessage="1" showErrorMessage="1" promptTitle="Project number" prompt="Please enter the Green Star number" sqref="C2" xr:uid="{00000000-0002-0000-0A00-000002000000}"/>
    <dataValidation allowBlank="1" showErrorMessage="1" promptTitle="Rating Tool Version" prompt="Please select the project's rating tool version" sqref="C5" xr:uid="{00000000-0002-0000-0A00-000003000000}"/>
    <dataValidation type="list" allowBlank="1" showInputMessage="1" showErrorMessage="1" sqref="J6" xr:uid="{00000000-0002-0000-0A00-000004000000}">
      <formula1>$O$7:$O$9</formula1>
    </dataValidation>
    <dataValidation type="list" allowBlank="1" showInputMessage="1" showErrorMessage="1" sqref="H6" xr:uid="{00000000-0002-0000-0A00-000005000000}">
      <formula1>$N$7:$N$9</formula1>
    </dataValidation>
    <dataValidation type="whole" allowBlank="1" showInputMessage="1" showErrorMessage="1" sqref="F99:F102 F69:F74 F119:F121 F51:F56 F9:F21 F25:F46 F60:F65 F78:F94 F106:F115" xr:uid="{00000000-0002-0000-0A00-000006000000}">
      <formula1>0</formula1>
      <formula2>E9</formula2>
    </dataValidation>
    <dataValidation type="list" allowBlank="1" showInputMessage="1" showErrorMessage="1" sqref="E135" xr:uid="{00000000-0002-0000-0A00-000007000000}">
      <formula1>"Please select, Yes, No"</formula1>
    </dataValidation>
    <dataValidation type="list" allowBlank="1" showInputMessage="1" showErrorMessage="1" sqref="F50 F98" xr:uid="{00000000-0002-0000-0A00-000008000000}">
      <formula1>$N$11:$N$12</formula1>
    </dataValidation>
    <dataValidation type="list" allowBlank="1" showInputMessage="1" showErrorMessage="1" sqref="F2" xr:uid="{00000000-0002-0000-0A00-000009000000}">
      <formula1>$S$2:$S$10</formula1>
    </dataValidation>
    <dataValidation type="decimal" operator="greaterThanOrEqual" allowBlank="1" showInputMessage="1" showErrorMessage="1" sqref="H9:I121 F125:F126 F128" xr:uid="{00000000-0002-0000-0A00-00000A000000}">
      <formula1>0</formula1>
    </dataValidation>
    <dataValidation type="list" allowBlank="1" showInputMessage="1" showErrorMessage="1" sqref="F143:G143" xr:uid="{00000000-0002-0000-0A00-00000B000000}">
      <formula1>"YES/NO, YES, NO"</formula1>
    </dataValidation>
  </dataValidations>
  <pageMargins left="0.7" right="0.7" top="0.75" bottom="0.75" header="0.3" footer="0.3"/>
  <pageSetup orientation="portrait" r:id="rId2"/>
  <ignoredErrors>
    <ignoredError sqref="K31:L33 K30 K38:L43 K34:K37 K45:L54 K44 K56:L59 K55 K62:L70 K60:K61 K72:L72 K71 K75:L78 K73:K74 K81:L81 K79:K80 K89:L98 K82:K88 K100:L100 K99 K102:L107 K101 K109:L109 K108 K111:L111 K110 K113:L127 K112"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5538" r:id="rId5" name="Check Box 2">
              <controlPr defaultSize="0" autoFill="0" autoLine="0" autoPict="0">
                <anchor moveWithCells="1">
                  <from>
                    <xdr:col>0</xdr:col>
                    <xdr:colOff>69850</xdr:colOff>
                    <xdr:row>18</xdr:row>
                    <xdr:rowOff>228600</xdr:rowOff>
                  </from>
                  <to>
                    <xdr:col>1</xdr:col>
                    <xdr:colOff>609600</xdr:colOff>
                    <xdr:row>18</xdr:row>
                    <xdr:rowOff>438150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0</xdr:col>
                    <xdr:colOff>69850</xdr:colOff>
                    <xdr:row>19</xdr:row>
                    <xdr:rowOff>228600</xdr:rowOff>
                  </from>
                  <to>
                    <xdr:col>1</xdr:col>
                    <xdr:colOff>609600</xdr:colOff>
                    <xdr:row>19</xdr:row>
                    <xdr:rowOff>438150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69850</xdr:colOff>
                    <xdr:row>35</xdr:row>
                    <xdr:rowOff>228600</xdr:rowOff>
                  </from>
                  <to>
                    <xdr:col>1</xdr:col>
                    <xdr:colOff>609600</xdr:colOff>
                    <xdr:row>35</xdr:row>
                    <xdr:rowOff>438150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0</xdr:col>
                    <xdr:colOff>69850</xdr:colOff>
                    <xdr:row>36</xdr:row>
                    <xdr:rowOff>228600</xdr:rowOff>
                  </from>
                  <to>
                    <xdr:col>1</xdr:col>
                    <xdr:colOff>609600</xdr:colOff>
                    <xdr:row>36</xdr:row>
                    <xdr:rowOff>438150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0</xdr:col>
                    <xdr:colOff>69850</xdr:colOff>
                    <xdr:row>43</xdr:row>
                    <xdr:rowOff>228600</xdr:rowOff>
                  </from>
                  <to>
                    <xdr:col>1</xdr:col>
                    <xdr:colOff>609600</xdr:colOff>
                    <xdr:row>43</xdr:row>
                    <xdr:rowOff>438150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0</xdr:col>
                    <xdr:colOff>69850</xdr:colOff>
                    <xdr:row>54</xdr:row>
                    <xdr:rowOff>228600</xdr:rowOff>
                  </from>
                  <to>
                    <xdr:col>1</xdr:col>
                    <xdr:colOff>609600</xdr:colOff>
                    <xdr:row>54</xdr:row>
                    <xdr:rowOff>438150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0</xdr:col>
                    <xdr:colOff>69850</xdr:colOff>
                    <xdr:row>60</xdr:row>
                    <xdr:rowOff>228600</xdr:rowOff>
                  </from>
                  <to>
                    <xdr:col>1</xdr:col>
                    <xdr:colOff>609600</xdr:colOff>
                    <xdr:row>60</xdr:row>
                    <xdr:rowOff>438150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0</xdr:col>
                    <xdr:colOff>69850</xdr:colOff>
                    <xdr:row>78</xdr:row>
                    <xdr:rowOff>228600</xdr:rowOff>
                  </from>
                  <to>
                    <xdr:col>1</xdr:col>
                    <xdr:colOff>609600</xdr:colOff>
                    <xdr:row>78</xdr:row>
                    <xdr:rowOff>438150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0</xdr:col>
                    <xdr:colOff>69850</xdr:colOff>
                    <xdr:row>83</xdr:row>
                    <xdr:rowOff>228600</xdr:rowOff>
                  </from>
                  <to>
                    <xdr:col>1</xdr:col>
                    <xdr:colOff>609600</xdr:colOff>
                    <xdr:row>83</xdr:row>
                    <xdr:rowOff>438150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0</xdr:col>
                    <xdr:colOff>69850</xdr:colOff>
                    <xdr:row>84</xdr:row>
                    <xdr:rowOff>228600</xdr:rowOff>
                  </from>
                  <to>
                    <xdr:col>1</xdr:col>
                    <xdr:colOff>609600</xdr:colOff>
                    <xdr:row>84</xdr:row>
                    <xdr:rowOff>438150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0</xdr:col>
                    <xdr:colOff>69850</xdr:colOff>
                    <xdr:row>85</xdr:row>
                    <xdr:rowOff>228600</xdr:rowOff>
                  </from>
                  <to>
                    <xdr:col>1</xdr:col>
                    <xdr:colOff>609600</xdr:colOff>
                    <xdr:row>85</xdr:row>
                    <xdr:rowOff>438150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0</xdr:col>
                    <xdr:colOff>69850</xdr:colOff>
                    <xdr:row>86</xdr:row>
                    <xdr:rowOff>228600</xdr:rowOff>
                  </from>
                  <to>
                    <xdr:col>1</xdr:col>
                    <xdr:colOff>609600</xdr:colOff>
                    <xdr:row>86</xdr:row>
                    <xdr:rowOff>438150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0</xdr:col>
                    <xdr:colOff>69850</xdr:colOff>
                    <xdr:row>87</xdr:row>
                    <xdr:rowOff>228600</xdr:rowOff>
                  </from>
                  <to>
                    <xdr:col>1</xdr:col>
                    <xdr:colOff>609600</xdr:colOff>
                    <xdr:row>87</xdr:row>
                    <xdr:rowOff>438150</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0</xdr:col>
                    <xdr:colOff>69850</xdr:colOff>
                    <xdr:row>98</xdr:row>
                    <xdr:rowOff>228600</xdr:rowOff>
                  </from>
                  <to>
                    <xdr:col>1</xdr:col>
                    <xdr:colOff>609600</xdr:colOff>
                    <xdr:row>98</xdr:row>
                    <xdr:rowOff>438150</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0</xdr:col>
                    <xdr:colOff>69850</xdr:colOff>
                    <xdr:row>100</xdr:row>
                    <xdr:rowOff>228600</xdr:rowOff>
                  </from>
                  <to>
                    <xdr:col>1</xdr:col>
                    <xdr:colOff>609600</xdr:colOff>
                    <xdr:row>100</xdr:row>
                    <xdr:rowOff>438150</xdr:rowOff>
                  </to>
                </anchor>
              </controlPr>
            </control>
          </mc:Choice>
        </mc:AlternateContent>
        <mc:AlternateContent xmlns:mc="http://schemas.openxmlformats.org/markup-compatibility/2006">
          <mc:Choice Requires="x14">
            <control shapeId="65563" r:id="rId30" name="Check Box 27">
              <controlPr defaultSize="0" autoFill="0" autoLine="0" autoPict="0">
                <anchor moveWithCells="1">
                  <from>
                    <xdr:col>0</xdr:col>
                    <xdr:colOff>69850</xdr:colOff>
                    <xdr:row>107</xdr:row>
                    <xdr:rowOff>228600</xdr:rowOff>
                  </from>
                  <to>
                    <xdr:col>1</xdr:col>
                    <xdr:colOff>609600</xdr:colOff>
                    <xdr:row>107</xdr:row>
                    <xdr:rowOff>438150</xdr:rowOff>
                  </to>
                </anchor>
              </controlPr>
            </control>
          </mc:Choice>
        </mc:AlternateContent>
        <mc:AlternateContent xmlns:mc="http://schemas.openxmlformats.org/markup-compatibility/2006">
          <mc:Choice Requires="x14">
            <control shapeId="65564" r:id="rId31" name="Check Box 28">
              <controlPr defaultSize="0" autoFill="0" autoLine="0" autoPict="0">
                <anchor moveWithCells="1">
                  <from>
                    <xdr:col>0</xdr:col>
                    <xdr:colOff>69850</xdr:colOff>
                    <xdr:row>109</xdr:row>
                    <xdr:rowOff>228600</xdr:rowOff>
                  </from>
                  <to>
                    <xdr:col>1</xdr:col>
                    <xdr:colOff>609600</xdr:colOff>
                    <xdr:row>109</xdr:row>
                    <xdr:rowOff>438150</xdr:rowOff>
                  </to>
                </anchor>
              </controlPr>
            </control>
          </mc:Choice>
        </mc:AlternateContent>
        <mc:AlternateContent xmlns:mc="http://schemas.openxmlformats.org/markup-compatibility/2006">
          <mc:Choice Requires="x14">
            <control shapeId="65565" r:id="rId32" name="Check Box 29">
              <controlPr defaultSize="0" autoFill="0" autoLine="0" autoPict="0">
                <anchor moveWithCells="1">
                  <from>
                    <xdr:col>0</xdr:col>
                    <xdr:colOff>69850</xdr:colOff>
                    <xdr:row>111</xdr:row>
                    <xdr:rowOff>228600</xdr:rowOff>
                  </from>
                  <to>
                    <xdr:col>1</xdr:col>
                    <xdr:colOff>609600</xdr:colOff>
                    <xdr:row>111</xdr:row>
                    <xdr:rowOff>438150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499984740745262"/>
  </sheetPr>
  <dimension ref="A1:AY146"/>
  <sheetViews>
    <sheetView showGridLines="0" showRowColHeaders="0" zoomScale="80" zoomScaleNormal="80" workbookViewId="0">
      <pane ySplit="7" topLeftCell="A17" activePane="bottomLeft" state="frozen"/>
      <selection pane="bottomLeft" activeCell="D37" sqref="D37"/>
      <selection activeCell="D37" sqref="D37"/>
    </sheetView>
  </sheetViews>
  <sheetFormatPr defaultColWidth="9.140625" defaultRowHeight="14.1"/>
  <cols>
    <col min="1" max="1" width="4.7109375" style="178" customWidth="1"/>
    <col min="2" max="2" width="30.7109375" style="178" customWidth="1"/>
    <col min="3" max="3" width="55.7109375" style="147" customWidth="1"/>
    <col min="4" max="4" width="52.7109375" style="147" customWidth="1"/>
    <col min="5" max="5" width="15.7109375" style="242" customWidth="1"/>
    <col min="6" max="6" width="15.7109375" style="5" customWidth="1"/>
    <col min="7" max="7" width="10.7109375" style="178" customWidth="1"/>
    <col min="8" max="9" width="26.7109375" style="70" customWidth="1"/>
    <col min="10" max="10" width="45.7109375" style="178" customWidth="1"/>
    <col min="11" max="12" width="19.7109375" style="5" hidden="1" customWidth="1"/>
    <col min="13" max="13" width="9.140625" style="178"/>
    <col min="14" max="14" width="30" style="178" hidden="1" customWidth="1"/>
    <col min="15" max="15" width="33.5703125" style="178" hidden="1" customWidth="1"/>
    <col min="16" max="17" width="9.42578125" style="5" hidden="1" customWidth="1"/>
    <col min="18" max="18" width="13.85546875" style="5" hidden="1" customWidth="1"/>
    <col min="19" max="19" width="9.140625" style="73" hidden="1" customWidth="1"/>
    <col min="20" max="20" width="9.140625" style="178"/>
    <col min="21" max="21" width="20.28515625" style="5" hidden="1" customWidth="1"/>
    <col min="22" max="22" width="14.28515625" style="5" hidden="1" customWidth="1"/>
    <col min="23" max="23" width="28.140625" style="5" hidden="1" customWidth="1"/>
    <col min="24" max="24" width="8" style="5" hidden="1" customWidth="1"/>
    <col min="25" max="25" width="10.7109375" style="5" hidden="1" customWidth="1"/>
    <col min="26" max="26" width="7" style="5" hidden="1" customWidth="1"/>
    <col min="27" max="27" width="10.140625" style="5" hidden="1" customWidth="1"/>
    <col min="28" max="28" width="23.85546875" style="5" hidden="1" customWidth="1"/>
    <col min="29" max="29" width="12" style="5" hidden="1" customWidth="1"/>
    <col min="30" max="30" width="0" style="5" hidden="1" customWidth="1"/>
    <col min="31" max="16384" width="9.140625" style="178"/>
  </cols>
  <sheetData>
    <row r="1" spans="1:37" ht="45" customHeight="1">
      <c r="A1" s="496"/>
      <c r="B1" s="1201" t="s">
        <v>1247</v>
      </c>
      <c r="C1" s="1201"/>
      <c r="D1" s="1201"/>
      <c r="E1" s="1201"/>
      <c r="F1" s="1201"/>
      <c r="G1" s="496"/>
      <c r="H1" s="904"/>
      <c r="I1" s="904"/>
      <c r="J1" s="496"/>
      <c r="K1" s="143" t="s">
        <v>14</v>
      </c>
      <c r="L1" s="143" t="s">
        <v>14</v>
      </c>
      <c r="M1" s="496"/>
      <c r="N1" s="143" t="s">
        <v>14</v>
      </c>
      <c r="O1" s="143" t="s">
        <v>14</v>
      </c>
      <c r="P1" s="143" t="s">
        <v>14</v>
      </c>
      <c r="Q1" s="143" t="s">
        <v>14</v>
      </c>
      <c r="R1" s="143" t="s">
        <v>14</v>
      </c>
      <c r="S1" s="142" t="s">
        <v>14</v>
      </c>
      <c r="T1" s="496"/>
      <c r="U1" s="143" t="s">
        <v>14</v>
      </c>
      <c r="V1" s="143" t="s">
        <v>14</v>
      </c>
      <c r="W1" s="143" t="s">
        <v>14</v>
      </c>
      <c r="X1" s="143" t="s">
        <v>14</v>
      </c>
      <c r="Y1" s="143" t="s">
        <v>14</v>
      </c>
      <c r="Z1" s="143" t="s">
        <v>14</v>
      </c>
      <c r="AA1" s="143" t="s">
        <v>14</v>
      </c>
      <c r="AB1" s="143" t="s">
        <v>14</v>
      </c>
      <c r="AC1" s="143" t="s">
        <v>14</v>
      </c>
      <c r="AD1" s="143" t="s">
        <v>14</v>
      </c>
      <c r="AE1" s="496"/>
      <c r="AF1" s="496"/>
      <c r="AG1" s="496"/>
      <c r="AH1" s="496"/>
      <c r="AI1" s="496"/>
      <c r="AJ1" s="496"/>
      <c r="AK1" s="496"/>
    </row>
    <row r="2" spans="1:37" ht="37.5" customHeight="1">
      <c r="A2" s="496"/>
      <c r="B2" s="111" t="s">
        <v>227</v>
      </c>
      <c r="C2" s="151" t="s">
        <v>228</v>
      </c>
      <c r="D2" s="192"/>
      <c r="E2" s="139" t="s">
        <v>1080</v>
      </c>
      <c r="F2" s="158" t="s">
        <v>1081</v>
      </c>
      <c r="G2" s="496"/>
      <c r="H2" s="107" t="s">
        <v>532</v>
      </c>
      <c r="I2" s="904"/>
      <c r="J2" s="496"/>
      <c r="K2" s="538"/>
      <c r="L2" s="538"/>
      <c r="M2" s="496"/>
      <c r="N2" s="496" t="s">
        <v>235</v>
      </c>
      <c r="O2" s="496" t="s">
        <v>488</v>
      </c>
      <c r="P2" s="1457" t="s">
        <v>1248</v>
      </c>
      <c r="Q2" s="1457"/>
      <c r="R2" s="1457"/>
      <c r="S2" s="944" t="s">
        <v>1082</v>
      </c>
      <c r="T2" s="496"/>
      <c r="U2" s="538" t="s">
        <v>1081</v>
      </c>
      <c r="V2" s="538" t="s">
        <v>254</v>
      </c>
      <c r="W2" s="538" t="s">
        <v>306</v>
      </c>
      <c r="X2" s="538" t="s">
        <v>335</v>
      </c>
      <c r="Y2" s="538" t="s">
        <v>345</v>
      </c>
      <c r="Z2" s="538" t="s">
        <v>353</v>
      </c>
      <c r="AA2" s="538" t="s">
        <v>367</v>
      </c>
      <c r="AB2" s="538" t="s">
        <v>998</v>
      </c>
      <c r="AC2" s="538" t="s">
        <v>404</v>
      </c>
      <c r="AD2" s="538"/>
      <c r="AE2" s="496"/>
      <c r="AF2" s="496"/>
      <c r="AG2" s="496"/>
      <c r="AH2" s="496"/>
      <c r="AI2" s="496"/>
      <c r="AJ2" s="496"/>
      <c r="AK2" s="496"/>
    </row>
    <row r="3" spans="1:37" ht="37.5" customHeight="1">
      <c r="A3" s="496"/>
      <c r="B3" s="112" t="s">
        <v>229</v>
      </c>
      <c r="C3" s="152" t="s">
        <v>531</v>
      </c>
      <c r="D3" s="192"/>
      <c r="E3" s="192"/>
      <c r="F3" s="108"/>
      <c r="G3" s="496"/>
      <c r="H3" s="110">
        <f>SUM(F19,F46,F60,F68,F79,F96,F105,F118,F124)</f>
        <v>0</v>
      </c>
      <c r="I3" s="904"/>
      <c r="J3" s="496"/>
      <c r="K3" s="538"/>
      <c r="L3" s="538"/>
      <c r="M3" s="496"/>
      <c r="N3" s="496" t="s">
        <v>256</v>
      </c>
      <c r="O3" s="496" t="s">
        <v>1249</v>
      </c>
      <c r="P3" s="538" t="s">
        <v>1249</v>
      </c>
      <c r="Q3" s="538" t="s">
        <v>1250</v>
      </c>
      <c r="R3" s="540" t="s">
        <v>1251</v>
      </c>
      <c r="S3" s="846"/>
      <c r="T3" s="496"/>
      <c r="U3" s="538" t="s">
        <v>1083</v>
      </c>
      <c r="V3" s="933" t="str">
        <f t="shared" ref="V3:V10" si="0">IF($C$5=$O$3,0.1,IF($C$5=$O$4,0.09,IF($C$5=$O$5,0.08,"")))</f>
        <v/>
      </c>
      <c r="W3" s="933" t="str">
        <f t="shared" ref="W3:W10" si="1">IF(OR($C$5=$O$3,$C$5=$O$4),0.2,IF($C$5=$O$5,0.25,""))</f>
        <v/>
      </c>
      <c r="X3" s="933" t="str">
        <f>IF(OR($C$5=$O$3,$C$5=$O$4),0.25,IF($C$5=$O$5,0.21,""))</f>
        <v/>
      </c>
      <c r="Y3" s="933" t="str">
        <f t="shared" ref="Y3:Y10" si="2">IF(OR($C$5=$O$3,$C$5=$O$5),0.1,IF($C$5=$O$4,0.08,""))</f>
        <v/>
      </c>
      <c r="Z3" s="933" t="str">
        <f>IF(OR($C$5=$O$3,$C$5=$O$4),0.12,IF($C$5=$O$5,0.02,""))</f>
        <v/>
      </c>
      <c r="AA3" s="933" t="str">
        <f t="shared" ref="AA3:AA10" si="3">IF($C$5=$O$3,0.1,IF($C$5=$O$4,0.14,IF($C$5=$O$5,0.21,"")))</f>
        <v/>
      </c>
      <c r="AB3" s="933" t="str">
        <f>IF($C$5=$O$3,0.08,IF($C$5=$O$4,0.06,IF($C$5=$O$5,0.11,"")))</f>
        <v/>
      </c>
      <c r="AC3" s="933" t="str">
        <f>IF($C$5=$O$3,0.05,IF($C$5=$O$4,0.06,IF($C$5=$O$5,0.02,"")))</f>
        <v/>
      </c>
      <c r="AD3" s="945">
        <f t="shared" ref="AD3:AD10" si="4">SUM(V3:AC3)</f>
        <v>0</v>
      </c>
      <c r="AE3" s="946"/>
      <c r="AF3" s="946"/>
      <c r="AG3" s="946"/>
      <c r="AH3" s="946"/>
      <c r="AI3" s="946"/>
      <c r="AJ3" s="946"/>
      <c r="AK3" s="946"/>
    </row>
    <row r="4" spans="1:37" ht="37.5" customHeight="1">
      <c r="A4" s="496"/>
      <c r="B4" s="112" t="s">
        <v>234</v>
      </c>
      <c r="C4" s="153" t="s">
        <v>235</v>
      </c>
      <c r="D4" s="192"/>
      <c r="E4" s="192"/>
      <c r="F4" s="109"/>
      <c r="G4" s="496"/>
      <c r="H4" s="904"/>
      <c r="I4" s="904"/>
      <c r="J4" s="496"/>
      <c r="K4" s="538"/>
      <c r="L4" s="538"/>
      <c r="M4" s="496"/>
      <c r="N4" s="496" t="s">
        <v>260</v>
      </c>
      <c r="O4" s="496" t="s">
        <v>1250</v>
      </c>
      <c r="P4" s="538"/>
      <c r="Q4" s="538"/>
      <c r="R4" s="538"/>
      <c r="S4" s="846"/>
      <c r="T4" s="496"/>
      <c r="U4" s="538" t="s">
        <v>1084</v>
      </c>
      <c r="V4" s="933" t="str">
        <f t="shared" si="0"/>
        <v/>
      </c>
      <c r="W4" s="933" t="str">
        <f t="shared" si="1"/>
        <v/>
      </c>
      <c r="X4" s="933" t="str">
        <f>IF(OR($C$5=$O$3,$C$5=$O$4),0.25,IF($C$5=$O$5,0.21,""))</f>
        <v/>
      </c>
      <c r="Y4" s="933" t="str">
        <f t="shared" si="2"/>
        <v/>
      </c>
      <c r="Z4" s="933" t="str">
        <f>IF(OR($C$5=$O$3,$C$5=$O$4),0.12,IF($C$5=$O$5,0.02,""))</f>
        <v/>
      </c>
      <c r="AA4" s="933" t="str">
        <f t="shared" si="3"/>
        <v/>
      </c>
      <c r="AB4" s="933" t="str">
        <f>IF($C$5=$O$3,0.08,IF($C$5=$O$4,0.06,IF($C$5=$O$5,0.11,"")))</f>
        <v/>
      </c>
      <c r="AC4" s="933" t="str">
        <f>IF($C$5=$O$3,0.05,IF($C$5=$O$4,0.06,IF($C$5=$O$5,0.02,"")))</f>
        <v/>
      </c>
      <c r="AD4" s="945">
        <f t="shared" si="4"/>
        <v>0</v>
      </c>
      <c r="AE4" s="946"/>
      <c r="AF4" s="946"/>
      <c r="AG4" s="946"/>
      <c r="AH4" s="946"/>
      <c r="AI4" s="946"/>
      <c r="AJ4" s="946"/>
      <c r="AK4" s="946"/>
    </row>
    <row r="5" spans="1:37" ht="37.5" customHeight="1">
      <c r="A5" s="496"/>
      <c r="B5" s="113" t="s">
        <v>238</v>
      </c>
      <c r="C5" s="154" t="s">
        <v>488</v>
      </c>
      <c r="D5" s="192"/>
      <c r="E5" s="192"/>
      <c r="F5" s="109"/>
      <c r="G5" s="496"/>
      <c r="H5" s="904"/>
      <c r="I5" s="904"/>
      <c r="J5" s="496"/>
      <c r="K5" s="538"/>
      <c r="L5" s="538"/>
      <c r="M5" s="496"/>
      <c r="N5" s="496" t="s">
        <v>269</v>
      </c>
      <c r="O5" s="496" t="s">
        <v>1251</v>
      </c>
      <c r="P5" s="538"/>
      <c r="Q5" s="538"/>
      <c r="R5" s="538"/>
      <c r="S5" s="846"/>
      <c r="T5" s="496"/>
      <c r="U5" s="538" t="s">
        <v>1085</v>
      </c>
      <c r="V5" s="933" t="str">
        <f t="shared" si="0"/>
        <v/>
      </c>
      <c r="W5" s="933" t="str">
        <f t="shared" si="1"/>
        <v/>
      </c>
      <c r="X5" s="933" t="str">
        <f>IF(OR($C$5=$O$3,$C$5=$O$4),0.25,IF($C$5=$O$5,0.21,""))</f>
        <v/>
      </c>
      <c r="Y5" s="933" t="str">
        <f t="shared" si="2"/>
        <v/>
      </c>
      <c r="Z5" s="933" t="str">
        <f>IF(OR($C$5=$O$3,$C$5=$O$4),0.1,IF($C$5=$O$5,0.02,""))</f>
        <v/>
      </c>
      <c r="AA5" s="933" t="str">
        <f t="shared" si="3"/>
        <v/>
      </c>
      <c r="AB5" s="933" t="str">
        <f>IF($C$5=$O$3,0.1,IF($C$5=$O$4,0.08,IF($C$5=$O$5,0.11,"")))</f>
        <v/>
      </c>
      <c r="AC5" s="933" t="str">
        <f>IF($C$5=$O$3,0.05,IF($C$5=$O$4,0.06,IF($C$5=$O$5,0.02,"")))</f>
        <v/>
      </c>
      <c r="AD5" s="945">
        <f t="shared" si="4"/>
        <v>0</v>
      </c>
      <c r="AE5" s="946"/>
      <c r="AF5" s="946"/>
      <c r="AG5" s="946"/>
      <c r="AH5" s="946"/>
      <c r="AI5" s="946"/>
      <c r="AJ5" s="946"/>
      <c r="AK5" s="946"/>
    </row>
    <row r="6" spans="1:37" ht="24.95" customHeight="1">
      <c r="A6" s="222"/>
      <c r="B6" s="307"/>
      <c r="C6" s="194"/>
      <c r="D6" s="194"/>
      <c r="E6" s="195"/>
      <c r="F6" s="196"/>
      <c r="G6" s="496"/>
      <c r="H6" s="1465" t="s">
        <v>255</v>
      </c>
      <c r="I6" s="1465"/>
      <c r="J6" s="179" t="s">
        <v>241</v>
      </c>
      <c r="K6" s="192"/>
      <c r="L6" s="496"/>
      <c r="M6" s="496"/>
      <c r="N6" s="496"/>
      <c r="O6" s="496"/>
      <c r="P6" s="538"/>
      <c r="Q6" s="538"/>
      <c r="R6" s="538"/>
      <c r="S6" s="846"/>
      <c r="T6" s="496"/>
      <c r="U6" s="538" t="s">
        <v>1086</v>
      </c>
      <c r="V6" s="933" t="str">
        <f t="shared" si="0"/>
        <v/>
      </c>
      <c r="W6" s="933" t="str">
        <f t="shared" si="1"/>
        <v/>
      </c>
      <c r="X6" s="933" t="str">
        <f>IF(OR($C$5=$O$3,$C$5=$O$4),0.25,IF($C$5=$O$5,0.21,""))</f>
        <v/>
      </c>
      <c r="Y6" s="933" t="str">
        <f t="shared" si="2"/>
        <v/>
      </c>
      <c r="Z6" s="933" t="str">
        <f>IF($C$5=$O$3,0.1,IF($C$5=$O$4,0.14,IF($C$5=$O$5,0.02,"")))</f>
        <v/>
      </c>
      <c r="AA6" s="933" t="str">
        <f t="shared" si="3"/>
        <v/>
      </c>
      <c r="AB6" s="933" t="str">
        <f>IF($C$5=$O$3,0.1,IF($C$5=$O$4,0.04,IF($C$5=$O$5,0.11,"")))</f>
        <v/>
      </c>
      <c r="AC6" s="933" t="str">
        <f>IF($C$5=$O$3,0.05,IF($C$5=$O$4,0.06,IF($C$5=$O$5,0.02,"")))</f>
        <v/>
      </c>
      <c r="AD6" s="945">
        <f t="shared" si="4"/>
        <v>0</v>
      </c>
      <c r="AE6" s="946"/>
      <c r="AF6" s="946"/>
      <c r="AG6" s="946"/>
      <c r="AH6" s="946"/>
      <c r="AI6" s="946"/>
      <c r="AJ6" s="946"/>
      <c r="AK6" s="946"/>
    </row>
    <row r="7" spans="1:37" ht="45" customHeight="1">
      <c r="A7" s="85" t="s">
        <v>242</v>
      </c>
      <c r="B7" s="308" t="s">
        <v>1087</v>
      </c>
      <c r="C7" s="200" t="s">
        <v>246</v>
      </c>
      <c r="D7" s="309"/>
      <c r="E7" s="249" t="s">
        <v>247</v>
      </c>
      <c r="F7" s="200" t="s">
        <v>248</v>
      </c>
      <c r="G7" s="542"/>
      <c r="H7" s="201" t="s">
        <v>940</v>
      </c>
      <c r="I7" s="201" t="s">
        <v>941</v>
      </c>
      <c r="J7" s="202" t="s">
        <v>25</v>
      </c>
      <c r="K7" s="203" t="s">
        <v>252</v>
      </c>
      <c r="L7" s="202" t="s">
        <v>253</v>
      </c>
      <c r="M7" s="164"/>
      <c r="N7" s="496" t="s">
        <v>255</v>
      </c>
      <c r="O7" s="496" t="s">
        <v>241</v>
      </c>
      <c r="P7" s="538"/>
      <c r="Q7" s="538"/>
      <c r="R7" s="538"/>
      <c r="S7" s="846"/>
      <c r="T7" s="496"/>
      <c r="U7" s="538" t="s">
        <v>1088</v>
      </c>
      <c r="V7" s="933" t="str">
        <f t="shared" si="0"/>
        <v/>
      </c>
      <c r="W7" s="933" t="str">
        <f t="shared" si="1"/>
        <v/>
      </c>
      <c r="X7" s="933" t="str">
        <f>IF(OR($C$5=$O$3,$C$5=$O$4),0.25,IF($C$5=$O$5,0.21,""))</f>
        <v/>
      </c>
      <c r="Y7" s="933" t="str">
        <f t="shared" si="2"/>
        <v/>
      </c>
      <c r="Z7" s="933" t="str">
        <f>IF(OR($C$5=$O$3,$C$5=$O$4),0.15,IF($C$5=$O$5,0.02,""))</f>
        <v/>
      </c>
      <c r="AA7" s="933" t="str">
        <f t="shared" si="3"/>
        <v/>
      </c>
      <c r="AB7" s="933" t="str">
        <f>IF($C$5=$O$3,0.05,IF($C$5=$O$4,0.04,IF($C$5=$O$5,0.11,"")))</f>
        <v/>
      </c>
      <c r="AC7" s="933" t="str">
        <f>IF($C$5=$O$3,0.05,IF($C$5=$O$4,0.05,IF($C$5=$O$5,0.02,"")))</f>
        <v/>
      </c>
      <c r="AD7" s="945">
        <f t="shared" si="4"/>
        <v>0</v>
      </c>
      <c r="AE7" s="946"/>
      <c r="AF7" s="946"/>
      <c r="AG7" s="946"/>
      <c r="AH7" s="946"/>
      <c r="AI7" s="946"/>
      <c r="AJ7" s="946"/>
      <c r="AK7" s="946"/>
    </row>
    <row r="8" spans="1:37" ht="45" customHeight="1">
      <c r="A8" s="247"/>
      <c r="B8" s="311" t="s">
        <v>254</v>
      </c>
      <c r="C8" s="312"/>
      <c r="D8" s="313" t="s">
        <v>1089</v>
      </c>
      <c r="E8" s="314" t="str">
        <f>IFERROR(VLOOKUP($F$2,$U$3:$AC$10,2,FALSE),"")</f>
        <v/>
      </c>
      <c r="F8" s="315"/>
      <c r="G8" s="210"/>
      <c r="H8" s="316"/>
      <c r="I8" s="316"/>
      <c r="J8" s="316"/>
      <c r="K8" s="316"/>
      <c r="L8" s="316"/>
      <c r="M8" s="496"/>
      <c r="N8" s="496" t="s">
        <v>240</v>
      </c>
      <c r="O8" s="496" t="s">
        <v>259</v>
      </c>
      <c r="P8" s="538"/>
      <c r="Q8" s="538"/>
      <c r="R8" s="538"/>
      <c r="S8" s="846"/>
      <c r="T8" s="496"/>
      <c r="U8" s="538" t="s">
        <v>1090</v>
      </c>
      <c r="V8" s="933" t="str">
        <f t="shared" si="0"/>
        <v/>
      </c>
      <c r="W8" s="933" t="str">
        <f t="shared" si="1"/>
        <v/>
      </c>
      <c r="X8" s="933" t="str">
        <f>IF($C$5=$O$3,0.2,IF($C$5=$O$4,0.25,IF($C$5=$O$5,0.21,"")))</f>
        <v/>
      </c>
      <c r="Y8" s="933" t="str">
        <f t="shared" si="2"/>
        <v/>
      </c>
      <c r="Z8" s="933" t="str">
        <f>IF($C$5=$O$3,0.15,IF($C$5=$O$4,0.1,IF($C$5=$O$5,0.02,"")))</f>
        <v/>
      </c>
      <c r="AA8" s="933" t="str">
        <f t="shared" si="3"/>
        <v/>
      </c>
      <c r="AB8" s="933" t="str">
        <f>IF($C$5=$O$3,0.1,IF($C$5=$O$4,0.08,IF($C$5=$O$5,0.11,"")))</f>
        <v/>
      </c>
      <c r="AC8" s="933" t="str">
        <f>IF($C$5=$O$3,0.05,IF($C$5=$O$4,0.06,IF($C$5=$O$5,0.02,"")))</f>
        <v/>
      </c>
      <c r="AD8" s="945">
        <f t="shared" si="4"/>
        <v>0</v>
      </c>
      <c r="AE8" s="946"/>
      <c r="AF8" s="946"/>
      <c r="AG8" s="946"/>
      <c r="AH8" s="946"/>
      <c r="AI8" s="946"/>
      <c r="AJ8" s="946"/>
      <c r="AK8" s="946"/>
    </row>
    <row r="9" spans="1:37" ht="45" customHeight="1">
      <c r="A9" s="496"/>
      <c r="B9" s="317" t="s">
        <v>1091</v>
      </c>
      <c r="C9" s="318" t="s">
        <v>257</v>
      </c>
      <c r="D9" s="318"/>
      <c r="E9" s="319">
        <v>2</v>
      </c>
      <c r="F9" s="320"/>
      <c r="G9" s="210"/>
      <c r="H9" s="233"/>
      <c r="I9" s="233"/>
      <c r="J9" s="321"/>
      <c r="K9" s="297" t="str">
        <f>IF(ISBLANK($F9)=FALSE,IF(H9="","No","Yes"),"")</f>
        <v/>
      </c>
      <c r="L9" s="297" t="str">
        <f>IF(ISBLANK($F9)=FALSE,IF(I9="","No","Yes"),"")</f>
        <v/>
      </c>
      <c r="M9" s="496"/>
      <c r="N9" s="496" t="s">
        <v>267</v>
      </c>
      <c r="O9" s="496" t="s">
        <v>268</v>
      </c>
      <c r="P9" s="538"/>
      <c r="Q9" s="538"/>
      <c r="R9" s="538"/>
      <c r="S9" s="846"/>
      <c r="T9" s="496"/>
      <c r="U9" s="538" t="s">
        <v>1092</v>
      </c>
      <c r="V9" s="933" t="str">
        <f t="shared" si="0"/>
        <v/>
      </c>
      <c r="W9" s="933" t="str">
        <f t="shared" si="1"/>
        <v/>
      </c>
      <c r="X9" s="933" t="str">
        <f>IF(OR($C$5=$O$3,$C$5=$O$4),0.25,IF($C$5=$O$5,0.21,""))</f>
        <v/>
      </c>
      <c r="Y9" s="933" t="str">
        <f t="shared" si="2"/>
        <v/>
      </c>
      <c r="Z9" s="933" t="str">
        <f>IF(OR($C$5=$O$3,$C$5=$O$4),0.15,IF($C$5=$O$5,0.02,""))</f>
        <v/>
      </c>
      <c r="AA9" s="933" t="str">
        <f t="shared" si="3"/>
        <v/>
      </c>
      <c r="AB9" s="933" t="str">
        <f>IF($C$5=$O$3,0.05,IF($C$5=$O$4,0.04,IF($C$5=$O$5,0.11,"")))</f>
        <v/>
      </c>
      <c r="AC9" s="933" t="str">
        <f>IF($C$5=$O$3,0.05,IF($C$5=$O$4,0.05,IF($C$5=$O$5,0.02,"")))</f>
        <v/>
      </c>
      <c r="AD9" s="945">
        <f t="shared" si="4"/>
        <v>0</v>
      </c>
      <c r="AE9" s="947"/>
      <c r="AF9" s="947"/>
      <c r="AG9" s="947"/>
      <c r="AH9" s="947"/>
      <c r="AI9" s="947"/>
      <c r="AJ9" s="947"/>
      <c r="AK9" s="947"/>
    </row>
    <row r="10" spans="1:37" ht="45" customHeight="1">
      <c r="A10" s="496"/>
      <c r="B10" s="1466" t="s">
        <v>1093</v>
      </c>
      <c r="C10" s="1460" t="str">
        <f>IF($C$5=$O$5,"Tenancy Fitout Commissioning","Commissioning Clauses")</f>
        <v>Commissioning Clauses</v>
      </c>
      <c r="D10" s="318" t="s">
        <v>1095</v>
      </c>
      <c r="E10" s="319">
        <v>1</v>
      </c>
      <c r="F10" s="320"/>
      <c r="G10" s="210"/>
      <c r="H10" s="233"/>
      <c r="I10" s="233"/>
      <c r="J10" s="321"/>
      <c r="K10" s="297" t="str">
        <f>IF(OR(ISBLANK($F10)=FALSE,$S10=TRUE),IF(H10="","No","Yes"),"")</f>
        <v/>
      </c>
      <c r="L10" s="297" t="str">
        <f>IF(ISBLANK($F10)=FALSE,IF(I10="","No","Yes"),IF($S10=TRUE,"NA",""))</f>
        <v/>
      </c>
      <c r="M10" s="496"/>
      <c r="N10" s="496"/>
      <c r="O10" s="496"/>
      <c r="P10" s="538"/>
      <c r="Q10" s="538"/>
      <c r="R10" s="538" t="s">
        <v>242</v>
      </c>
      <c r="S10" s="846" t="b">
        <v>0</v>
      </c>
      <c r="T10" s="496"/>
      <c r="U10" s="538" t="s">
        <v>1096</v>
      </c>
      <c r="V10" s="933" t="str">
        <f t="shared" si="0"/>
        <v/>
      </c>
      <c r="W10" s="933" t="str">
        <f t="shared" si="1"/>
        <v/>
      </c>
      <c r="X10" s="933" t="str">
        <f>IF(OR($C$5=$O$3,$C$5=$O$4),0.25,IF($C$5=$O$5,0.21,""))</f>
        <v/>
      </c>
      <c r="Y10" s="933" t="str">
        <f t="shared" si="2"/>
        <v/>
      </c>
      <c r="Z10" s="933" t="str">
        <f>IF($C$5=$O$3,0.12,IF($C$5=$O$4,0.14,IF($C$5=$O$5,0.02,"")))</f>
        <v/>
      </c>
      <c r="AA10" s="933" t="str">
        <f t="shared" si="3"/>
        <v/>
      </c>
      <c r="AB10" s="933" t="str">
        <f>IF($C$5=$O$3,0.08,IF($C$5=$O$4,0.05,IF($C$5=$O$5,0.11,"")))</f>
        <v/>
      </c>
      <c r="AC10" s="933" t="str">
        <f>IF($C$5=$O$3,0.05,IF($C$5=$O$4,0.05,IF($C$5=$O$5,0.02,"")))</f>
        <v/>
      </c>
      <c r="AD10" s="945">
        <f t="shared" si="4"/>
        <v>0</v>
      </c>
      <c r="AE10" s="946"/>
      <c r="AF10" s="946"/>
      <c r="AG10" s="946"/>
      <c r="AH10" s="946"/>
      <c r="AI10" s="946"/>
      <c r="AJ10" s="946"/>
      <c r="AK10" s="946"/>
    </row>
    <row r="11" spans="1:37" ht="45" customHeight="1">
      <c r="A11" s="496"/>
      <c r="B11" s="1467"/>
      <c r="C11" s="1461"/>
      <c r="D11" s="318" t="str">
        <f>IF($C$5=$O$5,"Information Transfer","Design Intent")</f>
        <v>Design Intent</v>
      </c>
      <c r="E11" s="319">
        <v>1</v>
      </c>
      <c r="F11" s="320"/>
      <c r="G11" s="210"/>
      <c r="H11" s="233"/>
      <c r="I11" s="233"/>
      <c r="J11" s="321"/>
      <c r="K11" s="297" t="str">
        <f>IF(OR(ISBLANK($F11)=FALSE,$S11=TRUE),IF(H11="","No","Yes"),"")</f>
        <v/>
      </c>
      <c r="L11" s="297" t="str">
        <f>IF(ISBLANK($F11)=FALSE,IF(I11="","No","Yes"),IF($S11=TRUE,"NA",""))</f>
        <v/>
      </c>
      <c r="M11" s="496"/>
      <c r="N11" s="496" t="s">
        <v>266</v>
      </c>
      <c r="O11" s="496"/>
      <c r="P11" s="538"/>
      <c r="Q11" s="538"/>
      <c r="R11" s="538" t="s">
        <v>242</v>
      </c>
      <c r="S11" s="846" t="b">
        <v>0</v>
      </c>
      <c r="T11" s="496"/>
      <c r="U11" s="538"/>
      <c r="V11" s="538"/>
      <c r="W11" s="538"/>
      <c r="X11" s="538"/>
      <c r="Y11" s="538"/>
      <c r="Z11" s="538"/>
      <c r="AA11" s="538"/>
      <c r="AB11" s="538"/>
      <c r="AC11" s="538"/>
      <c r="AD11" s="538"/>
      <c r="AE11" s="496"/>
      <c r="AF11" s="496"/>
      <c r="AG11" s="496"/>
      <c r="AH11" s="496"/>
      <c r="AI11" s="496"/>
      <c r="AJ11" s="496"/>
      <c r="AK11" s="496"/>
    </row>
    <row r="12" spans="1:37" ht="45" customHeight="1">
      <c r="A12" s="496"/>
      <c r="B12" s="317" t="s">
        <v>1098</v>
      </c>
      <c r="C12" s="318" t="str">
        <f>IF($C$5=$O$3,"Commissioning - Building Tuning",IF($C$5=$O$5,"Commissioning - Tenancy Fitout Tuning","Building Tuning"))</f>
        <v>Building Tuning</v>
      </c>
      <c r="D12" s="318"/>
      <c r="E12" s="319">
        <f>IF(OR($C$5=$O$3,$C$5=$O$5),1,2)</f>
        <v>2</v>
      </c>
      <c r="F12" s="320"/>
      <c r="G12" s="210"/>
      <c r="H12" s="233"/>
      <c r="I12" s="233"/>
      <c r="J12" s="321"/>
      <c r="K12" s="297" t="str">
        <f>IF(OR(ISBLANK($F12)=FALSE,$S12=TRUE),IF(H12="","No","Yes"),"")</f>
        <v/>
      </c>
      <c r="L12" s="297" t="str">
        <f>IF(ISBLANK($F12)=FALSE,IF(I12="","No","Yes"),IF($S12=TRUE,"NA",""))</f>
        <v/>
      </c>
      <c r="M12" s="496"/>
      <c r="N12" s="496" t="s">
        <v>274</v>
      </c>
      <c r="O12" s="496"/>
      <c r="P12" s="538"/>
      <c r="Q12" s="538"/>
      <c r="R12" s="538" t="s">
        <v>242</v>
      </c>
      <c r="S12" s="846" t="b">
        <v>0</v>
      </c>
      <c r="T12" s="496"/>
      <c r="U12" s="538"/>
      <c r="V12" s="538"/>
      <c r="W12" s="538"/>
      <c r="X12" s="538"/>
      <c r="Y12" s="538"/>
      <c r="Z12" s="538"/>
      <c r="AA12" s="538"/>
      <c r="AB12" s="538"/>
      <c r="AC12" s="538"/>
      <c r="AD12" s="538"/>
      <c r="AE12" s="496"/>
      <c r="AF12" s="496"/>
      <c r="AG12" s="496"/>
      <c r="AH12" s="496"/>
      <c r="AI12" s="496"/>
      <c r="AJ12" s="496"/>
      <c r="AK12" s="496"/>
    </row>
    <row r="13" spans="1:37" ht="45" customHeight="1">
      <c r="A13" s="496"/>
      <c r="B13" s="317" t="s">
        <v>1100</v>
      </c>
      <c r="C13" s="318" t="str">
        <f>IF($C$5=$O$3,"Commissioning - Commissioning Agent",IF($C$5=$O$5,"Tenant Guide","Independent Commissioning Agent"))</f>
        <v>Independent Commissioning Agent</v>
      </c>
      <c r="D13" s="318"/>
      <c r="E13" s="319">
        <f>IF($C$5=$O$5,3,1)</f>
        <v>1</v>
      </c>
      <c r="F13" s="320"/>
      <c r="G13" s="210"/>
      <c r="H13" s="233"/>
      <c r="I13" s="233"/>
      <c r="J13" s="321"/>
      <c r="K13" s="297" t="str">
        <f t="shared" ref="K13:L18" si="5">IF(ISBLANK($F13)=FALSE,IF(H13="","No","Yes"),"")</f>
        <v/>
      </c>
      <c r="L13" s="297" t="str">
        <f t="shared" si="5"/>
        <v/>
      </c>
      <c r="M13" s="496"/>
      <c r="N13" s="496"/>
      <c r="O13" s="496"/>
      <c r="P13" s="538"/>
      <c r="Q13" s="538"/>
      <c r="R13" s="538"/>
      <c r="S13" s="846"/>
      <c r="T13" s="496"/>
      <c r="U13" s="538"/>
      <c r="V13" s="538"/>
      <c r="W13" s="538"/>
      <c r="X13" s="538"/>
      <c r="Y13" s="538"/>
      <c r="Z13" s="538"/>
      <c r="AA13" s="538"/>
      <c r="AB13" s="538"/>
      <c r="AC13" s="538"/>
      <c r="AD13" s="538"/>
      <c r="AE13" s="496"/>
      <c r="AF13" s="496"/>
      <c r="AG13" s="496"/>
      <c r="AH13" s="496"/>
      <c r="AI13" s="496"/>
      <c r="AJ13" s="496"/>
      <c r="AK13" s="496"/>
    </row>
    <row r="14" spans="1:37" ht="45" customHeight="1">
      <c r="A14" s="496"/>
      <c r="B14" s="1458" t="s">
        <v>1101</v>
      </c>
      <c r="C14" s="1460" t="str">
        <f>IF($C$5=$O$5,"Environmental Management","Building Users' Guide")</f>
        <v>Building Users' Guide</v>
      </c>
      <c r="D14" s="318" t="str">
        <f>IF($C$5=$O$5,"Environmental Management Plan","")</f>
        <v/>
      </c>
      <c r="E14" s="319">
        <f>IF($C$5=$O$5,2,1)</f>
        <v>1</v>
      </c>
      <c r="F14" s="320"/>
      <c r="G14" s="210"/>
      <c r="H14" s="233"/>
      <c r="I14" s="233"/>
      <c r="J14" s="321"/>
      <c r="K14" s="297" t="str">
        <f t="shared" ref="K14:L16" si="6">IF(ISBLANK($F14)=FALSE,IF(H14="","No","Yes"),"")</f>
        <v/>
      </c>
      <c r="L14" s="297" t="str">
        <f t="shared" si="6"/>
        <v/>
      </c>
      <c r="M14" s="496"/>
      <c r="N14" s="496"/>
      <c r="O14" s="496"/>
      <c r="P14" s="538"/>
      <c r="Q14" s="538"/>
      <c r="R14" s="538"/>
      <c r="S14" s="846"/>
      <c r="T14" s="496"/>
      <c r="U14" s="538"/>
      <c r="V14" s="538"/>
      <c r="W14" s="538"/>
      <c r="X14" s="538"/>
      <c r="Y14" s="538"/>
      <c r="Z14" s="538"/>
      <c r="AA14" s="538"/>
      <c r="AB14" s="538"/>
      <c r="AC14" s="538"/>
      <c r="AD14" s="538"/>
      <c r="AE14" s="496"/>
      <c r="AF14" s="496"/>
      <c r="AG14" s="496"/>
      <c r="AH14" s="496"/>
      <c r="AI14" s="496"/>
      <c r="AJ14" s="496"/>
      <c r="AK14" s="496"/>
    </row>
    <row r="15" spans="1:37" ht="45" customHeight="1">
      <c r="A15" s="496"/>
      <c r="B15" s="1459"/>
      <c r="C15" s="1461"/>
      <c r="D15" s="318" t="str">
        <f>IF($C$5=$O$5,"Environmental Management System","-")</f>
        <v>-</v>
      </c>
      <c r="E15" s="319">
        <f>IF($C$5=$O$5,2,0)</f>
        <v>0</v>
      </c>
      <c r="F15" s="320"/>
      <c r="G15" s="210"/>
      <c r="H15" s="233"/>
      <c r="I15" s="233"/>
      <c r="J15" s="321"/>
      <c r="K15" s="297" t="str">
        <f t="shared" si="6"/>
        <v/>
      </c>
      <c r="L15" s="297" t="str">
        <f t="shared" si="6"/>
        <v/>
      </c>
      <c r="M15" s="496"/>
      <c r="N15" s="496"/>
      <c r="O15" s="496"/>
      <c r="P15" s="538"/>
      <c r="Q15" s="538"/>
      <c r="R15" s="538"/>
      <c r="S15" s="846"/>
      <c r="T15" s="496"/>
      <c r="U15" s="538"/>
      <c r="V15" s="538"/>
      <c r="W15" s="538"/>
      <c r="X15" s="538"/>
      <c r="Y15" s="538"/>
      <c r="Z15" s="538"/>
      <c r="AA15" s="538"/>
      <c r="AB15" s="538"/>
      <c r="AC15" s="538"/>
      <c r="AD15" s="538"/>
      <c r="AE15" s="496"/>
      <c r="AF15" s="496"/>
      <c r="AG15" s="496"/>
      <c r="AH15" s="496"/>
      <c r="AI15" s="496"/>
      <c r="AJ15" s="496"/>
      <c r="AK15" s="496"/>
    </row>
    <row r="16" spans="1:37" ht="45" customHeight="1">
      <c r="A16" s="496"/>
      <c r="B16" s="1458" t="s">
        <v>1103</v>
      </c>
      <c r="C16" s="1460" t="str">
        <f>IF($C$5=$O$5,"Waste Management During Tenancy Fitout","Environmental Management")</f>
        <v>Environmental Management</v>
      </c>
      <c r="D16" s="318" t="str">
        <f>IF($C$5=$O$5,"","Envrionmental Management Plan")</f>
        <v>Envrionmental Management Plan</v>
      </c>
      <c r="E16" s="319">
        <f>IF($C$5=$O$3,2,IF($C$5=$O$4,1,IF($C$5=$O$5,3,0)))</f>
        <v>0</v>
      </c>
      <c r="F16" s="320"/>
      <c r="G16" s="210"/>
      <c r="H16" s="233"/>
      <c r="I16" s="233"/>
      <c r="J16" s="321"/>
      <c r="K16" s="297" t="str">
        <f t="shared" si="6"/>
        <v/>
      </c>
      <c r="L16" s="297" t="str">
        <f t="shared" si="6"/>
        <v/>
      </c>
      <c r="M16" s="496"/>
      <c r="N16" s="496"/>
      <c r="O16" s="496"/>
      <c r="P16" s="538"/>
      <c r="Q16" s="538"/>
      <c r="R16" s="538"/>
      <c r="S16" s="846"/>
      <c r="T16" s="496"/>
      <c r="U16" s="538"/>
      <c r="V16" s="538"/>
      <c r="W16" s="538"/>
      <c r="X16" s="538"/>
      <c r="Y16" s="538"/>
      <c r="Z16" s="538"/>
      <c r="AA16" s="538"/>
      <c r="AB16" s="538"/>
      <c r="AC16" s="538"/>
      <c r="AD16" s="538"/>
      <c r="AE16" s="496"/>
      <c r="AF16" s="496"/>
      <c r="AG16" s="496"/>
      <c r="AH16" s="496"/>
      <c r="AI16" s="496"/>
      <c r="AJ16" s="496"/>
      <c r="AK16" s="496"/>
    </row>
    <row r="17" spans="1:51" ht="45" customHeight="1">
      <c r="A17" s="247"/>
      <c r="B17" s="1459"/>
      <c r="C17" s="1461"/>
      <c r="D17" s="318" t="str">
        <f>IF($C$5=$O$5,"-","Envrionmental Management System")</f>
        <v>Envrionmental Management System</v>
      </c>
      <c r="E17" s="319">
        <f>IF($C$5=$O$5,0,1)</f>
        <v>1</v>
      </c>
      <c r="F17" s="320"/>
      <c r="G17" s="210"/>
      <c r="H17" s="233"/>
      <c r="I17" s="233"/>
      <c r="J17" s="321"/>
      <c r="K17" s="297" t="str">
        <f t="shared" si="5"/>
        <v/>
      </c>
      <c r="L17" s="297" t="str">
        <f t="shared" si="5"/>
        <v/>
      </c>
      <c r="M17" s="496"/>
      <c r="N17" s="496"/>
      <c r="O17" s="496"/>
      <c r="P17" s="538"/>
      <c r="Q17" s="538"/>
      <c r="R17" s="538"/>
      <c r="S17" s="846"/>
      <c r="T17" s="496"/>
      <c r="U17" s="538"/>
      <c r="V17" s="538"/>
      <c r="W17" s="538"/>
      <c r="X17" s="538"/>
      <c r="Y17" s="538"/>
      <c r="Z17" s="538"/>
      <c r="AA17" s="538"/>
      <c r="AB17" s="538"/>
      <c r="AC17" s="538"/>
      <c r="AD17" s="538"/>
      <c r="AE17" s="496"/>
      <c r="AF17" s="496"/>
      <c r="AG17" s="496"/>
      <c r="AH17" s="496"/>
      <c r="AI17" s="496"/>
      <c r="AJ17" s="496"/>
      <c r="AK17" s="496"/>
      <c r="AL17" s="496"/>
      <c r="AM17" s="496"/>
      <c r="AN17" s="496"/>
      <c r="AO17" s="496"/>
      <c r="AP17" s="496"/>
      <c r="AQ17" s="496"/>
      <c r="AR17" s="496"/>
      <c r="AS17" s="496"/>
      <c r="AT17" s="496"/>
      <c r="AU17" s="496"/>
      <c r="AV17" s="496"/>
      <c r="AW17" s="496"/>
      <c r="AX17" s="496"/>
      <c r="AY17" s="496"/>
    </row>
    <row r="18" spans="1:51" s="247" customFormat="1" ht="45" customHeight="1">
      <c r="A18" s="496"/>
      <c r="B18" s="317" t="str">
        <f>IF($C$5=$O$5,"","MAN-7")</f>
        <v>MAN-7</v>
      </c>
      <c r="C18" s="318" t="str">
        <f>IF($C$5=$O$5,"","Waste Management")</f>
        <v>Waste Management</v>
      </c>
      <c r="D18" s="318" t="str">
        <f>IF($C$5=$O$5,"-","")</f>
        <v/>
      </c>
      <c r="E18" s="319">
        <f>IF($C$5=$O$5,0,2)</f>
        <v>2</v>
      </c>
      <c r="F18" s="320"/>
      <c r="G18" s="210"/>
      <c r="H18" s="233"/>
      <c r="I18" s="233"/>
      <c r="J18" s="321"/>
      <c r="K18" s="297" t="str">
        <f t="shared" si="5"/>
        <v/>
      </c>
      <c r="L18" s="297" t="str">
        <f t="shared" si="5"/>
        <v/>
      </c>
      <c r="M18" s="496"/>
      <c r="N18" s="496"/>
      <c r="O18" s="496"/>
      <c r="P18" s="904"/>
      <c r="Q18" s="538"/>
      <c r="R18" s="538"/>
      <c r="S18" s="846"/>
      <c r="T18" s="496"/>
      <c r="U18" s="538"/>
      <c r="V18" s="538"/>
      <c r="W18" s="538"/>
      <c r="X18" s="538"/>
      <c r="Y18" s="538"/>
      <c r="Z18" s="538"/>
      <c r="AA18" s="538"/>
      <c r="AB18" s="538"/>
      <c r="AC18" s="538"/>
      <c r="AD18" s="538"/>
      <c r="AE18" s="496"/>
      <c r="AF18" s="496"/>
      <c r="AG18" s="496"/>
      <c r="AH18" s="496"/>
      <c r="AI18" s="496"/>
      <c r="AJ18" s="496"/>
      <c r="AK18" s="496"/>
      <c r="AL18" s="496"/>
      <c r="AM18" s="496"/>
      <c r="AN18" s="496"/>
      <c r="AO18" s="496"/>
      <c r="AP18" s="496"/>
      <c r="AQ18" s="496"/>
      <c r="AR18" s="496"/>
      <c r="AS18" s="496"/>
      <c r="AT18" s="496"/>
      <c r="AU18" s="496"/>
      <c r="AV18" s="496"/>
      <c r="AW18" s="496"/>
      <c r="AX18" s="496"/>
      <c r="AY18" s="496"/>
    </row>
    <row r="19" spans="1:51" ht="45" customHeight="1">
      <c r="A19" s="496"/>
      <c r="B19" s="176" t="s">
        <v>963</v>
      </c>
      <c r="C19" s="93"/>
      <c r="D19" s="322"/>
      <c r="E19" s="85">
        <f>SUM(E9:E18)</f>
        <v>11</v>
      </c>
      <c r="F19" s="216" t="str">
        <f>IFERROR(SUM(F9:F18)/E19*E8*100,"")</f>
        <v/>
      </c>
      <c r="G19" s="210"/>
      <c r="H19" s="323"/>
      <c r="I19" s="323"/>
      <c r="J19" s="324"/>
      <c r="K19" s="325"/>
      <c r="L19" s="325"/>
      <c r="M19" s="496"/>
      <c r="N19" s="496"/>
      <c r="O19" s="496"/>
      <c r="P19" s="538"/>
      <c r="Q19" s="538"/>
      <c r="R19" s="538"/>
      <c r="S19" s="846"/>
      <c r="T19" s="496"/>
      <c r="U19" s="538"/>
      <c r="V19" s="538"/>
      <c r="W19" s="538"/>
      <c r="X19" s="538"/>
      <c r="Y19" s="538"/>
      <c r="Z19" s="538"/>
      <c r="AA19" s="538"/>
      <c r="AB19" s="538"/>
      <c r="AC19" s="538"/>
      <c r="AD19" s="538"/>
      <c r="AE19" s="496"/>
      <c r="AF19" s="496"/>
      <c r="AG19" s="496"/>
      <c r="AH19" s="496"/>
      <c r="AI19" s="496"/>
      <c r="AJ19" s="496"/>
      <c r="AK19" s="496"/>
      <c r="AL19" s="496"/>
      <c r="AM19" s="496"/>
      <c r="AN19" s="496"/>
      <c r="AO19" s="496"/>
      <c r="AP19" s="496"/>
      <c r="AQ19" s="496"/>
      <c r="AR19" s="496"/>
      <c r="AS19" s="496"/>
      <c r="AT19" s="496"/>
      <c r="AU19" s="496"/>
      <c r="AV19" s="496"/>
      <c r="AW19" s="496"/>
      <c r="AX19" s="496"/>
      <c r="AY19" s="496"/>
    </row>
    <row r="20" spans="1:51" ht="45" customHeight="1">
      <c r="A20" s="496"/>
      <c r="B20" s="222"/>
      <c r="C20" s="326"/>
      <c r="D20" s="327"/>
      <c r="E20" s="196"/>
      <c r="F20" s="32"/>
      <c r="G20" s="210"/>
      <c r="H20" s="225"/>
      <c r="I20" s="225"/>
      <c r="J20" s="210"/>
      <c r="K20" s="32"/>
      <c r="L20" s="32"/>
      <c r="M20" s="496"/>
      <c r="N20" s="496"/>
      <c r="O20" s="496"/>
      <c r="P20" s="538"/>
      <c r="Q20" s="538"/>
      <c r="R20" s="538"/>
      <c r="S20" s="846"/>
      <c r="T20" s="496"/>
      <c r="U20" s="538"/>
      <c r="V20" s="538"/>
      <c r="W20" s="538"/>
      <c r="X20" s="538"/>
      <c r="Y20" s="538"/>
      <c r="Z20" s="538"/>
      <c r="AA20" s="538"/>
      <c r="AB20" s="538"/>
      <c r="AC20" s="538"/>
      <c r="AD20" s="538"/>
      <c r="AE20" s="496"/>
      <c r="AF20" s="496"/>
      <c r="AG20" s="496"/>
      <c r="AH20" s="496"/>
      <c r="AI20" s="496"/>
      <c r="AJ20" s="496"/>
      <c r="AK20" s="496"/>
      <c r="AL20" s="496"/>
      <c r="AM20" s="496"/>
      <c r="AN20" s="496"/>
      <c r="AO20" s="496"/>
      <c r="AP20" s="496"/>
      <c r="AQ20" s="496"/>
      <c r="AR20" s="496"/>
      <c r="AS20" s="496"/>
      <c r="AT20" s="496"/>
      <c r="AU20" s="496"/>
      <c r="AV20" s="496"/>
      <c r="AW20" s="496"/>
      <c r="AX20" s="496"/>
      <c r="AY20" s="496"/>
    </row>
    <row r="21" spans="1:51" ht="45" customHeight="1">
      <c r="A21" s="496"/>
      <c r="B21" s="311" t="s">
        <v>306</v>
      </c>
      <c r="C21" s="312"/>
      <c r="D21" s="313" t="s">
        <v>1089</v>
      </c>
      <c r="E21" s="314" t="str">
        <f>IFERROR(VLOOKUP($F$2,$U$3:$AC$10,3,FALSE),"")</f>
        <v/>
      </c>
      <c r="F21" s="315"/>
      <c r="G21" s="210"/>
      <c r="H21" s="316"/>
      <c r="I21" s="316"/>
      <c r="J21" s="316"/>
      <c r="K21" s="316"/>
      <c r="L21" s="316"/>
      <c r="M21" s="496"/>
      <c r="N21" s="496"/>
      <c r="O21" s="496"/>
      <c r="P21" s="538"/>
      <c r="Q21" s="538"/>
      <c r="R21" s="538"/>
      <c r="S21" s="846"/>
      <c r="T21" s="496"/>
      <c r="U21" s="538"/>
      <c r="V21" s="538"/>
      <c r="W21" s="538"/>
      <c r="X21" s="538"/>
      <c r="Y21" s="538"/>
      <c r="Z21" s="538"/>
      <c r="AA21" s="538"/>
      <c r="AB21" s="538"/>
      <c r="AC21" s="538"/>
      <c r="AD21" s="538"/>
      <c r="AE21" s="496"/>
      <c r="AF21" s="496"/>
      <c r="AG21" s="496"/>
      <c r="AH21" s="496"/>
      <c r="AI21" s="496"/>
      <c r="AJ21" s="496"/>
      <c r="AK21" s="496"/>
      <c r="AL21" s="496"/>
      <c r="AM21" s="496"/>
      <c r="AN21" s="496"/>
      <c r="AO21" s="496"/>
      <c r="AP21" s="496"/>
      <c r="AQ21" s="496"/>
      <c r="AR21" s="496"/>
      <c r="AS21" s="496"/>
      <c r="AT21" s="496"/>
      <c r="AU21" s="496"/>
      <c r="AV21" s="496"/>
      <c r="AW21" s="496"/>
      <c r="AX21" s="496"/>
      <c r="AY21" s="496"/>
    </row>
    <row r="22" spans="1:51" ht="45" customHeight="1">
      <c r="A22" s="496"/>
      <c r="B22" s="1458" t="s">
        <v>1116</v>
      </c>
      <c r="C22" s="1460" t="s">
        <v>1117</v>
      </c>
      <c r="D22" s="318" t="str">
        <f>IF($C$5=$O$5,"Outside Air Rates","")</f>
        <v/>
      </c>
      <c r="E22" s="319">
        <v>3</v>
      </c>
      <c r="F22" s="320"/>
      <c r="G22" s="328"/>
      <c r="H22" s="233"/>
      <c r="I22" s="233"/>
      <c r="J22" s="321"/>
      <c r="K22" s="297" t="str">
        <f>IF(OR(ISBLANK($F22)=FALSE,$S22=TRUE),IF(H22="","No","Yes"),"")</f>
        <v/>
      </c>
      <c r="L22" s="297" t="str">
        <f>IF(ISBLANK($F22)=FALSE,IF(I22="","No","Yes"),IF($S22=TRUE,"Yes",""))</f>
        <v/>
      </c>
      <c r="M22" s="496"/>
      <c r="N22" s="496"/>
      <c r="O22" s="496"/>
      <c r="P22" s="538"/>
      <c r="Q22" s="538"/>
      <c r="R22" s="538"/>
      <c r="S22" s="846"/>
      <c r="T22" s="496"/>
      <c r="U22" s="538"/>
      <c r="V22" s="538"/>
      <c r="W22" s="538"/>
      <c r="X22" s="538"/>
      <c r="Y22" s="538"/>
      <c r="Z22" s="538"/>
      <c r="AA22" s="538"/>
      <c r="AB22" s="538"/>
      <c r="AC22" s="538"/>
      <c r="AD22" s="538"/>
      <c r="AE22" s="496"/>
      <c r="AF22" s="496"/>
      <c r="AG22" s="496"/>
      <c r="AH22" s="496"/>
      <c r="AI22" s="496"/>
      <c r="AJ22" s="496"/>
      <c r="AK22" s="496"/>
      <c r="AL22" s="496"/>
      <c r="AM22" s="496"/>
      <c r="AN22" s="496"/>
      <c r="AO22" s="496"/>
      <c r="AP22" s="496"/>
      <c r="AQ22" s="496"/>
      <c r="AR22" s="496"/>
      <c r="AS22" s="496"/>
      <c r="AT22" s="496"/>
      <c r="AU22" s="496"/>
      <c r="AV22" s="496"/>
      <c r="AW22" s="496"/>
      <c r="AX22" s="496"/>
      <c r="AY22" s="496"/>
    </row>
    <row r="23" spans="1:51" ht="45" customHeight="1">
      <c r="A23" s="496"/>
      <c r="B23" s="1459"/>
      <c r="C23" s="1461"/>
      <c r="D23" s="318" t="str">
        <f>IF($C$5=$O$5,"Base Building Alteration","-")</f>
        <v>-</v>
      </c>
      <c r="E23" s="319">
        <f>IF($C$5=$O$5,1,0)</f>
        <v>0</v>
      </c>
      <c r="F23" s="320"/>
      <c r="G23" s="328"/>
      <c r="H23" s="233"/>
      <c r="I23" s="233"/>
      <c r="J23" s="321"/>
      <c r="K23" s="297" t="str">
        <f>IF(OR(ISBLANK($F23)=FALSE,$S23=TRUE),IF(H23="","No","Yes"),"")</f>
        <v/>
      </c>
      <c r="L23" s="297" t="str">
        <f>IF(ISBLANK($F23)=FALSE,IF(I23="","No","Yes"),IF($S23=TRUE,"NA",""))</f>
        <v/>
      </c>
      <c r="M23" s="496"/>
      <c r="N23" s="496"/>
      <c r="O23" s="496"/>
      <c r="P23" s="538"/>
      <c r="Q23" s="538"/>
      <c r="R23" s="538" t="s">
        <v>242</v>
      </c>
      <c r="S23" s="846" t="b">
        <v>0</v>
      </c>
      <c r="T23" s="496"/>
      <c r="U23" s="538"/>
      <c r="V23" s="538"/>
      <c r="W23" s="538"/>
      <c r="X23" s="538"/>
      <c r="Y23" s="538"/>
      <c r="Z23" s="538"/>
      <c r="AA23" s="538"/>
      <c r="AB23" s="538"/>
      <c r="AC23" s="538"/>
      <c r="AD23" s="538"/>
      <c r="AE23" s="496"/>
      <c r="AF23" s="496"/>
      <c r="AG23" s="496"/>
      <c r="AH23" s="496"/>
      <c r="AI23" s="496"/>
      <c r="AJ23" s="496"/>
      <c r="AK23" s="496"/>
      <c r="AL23" s="496"/>
      <c r="AM23" s="496"/>
      <c r="AN23" s="496"/>
      <c r="AO23" s="496"/>
      <c r="AP23" s="496"/>
      <c r="AQ23" s="496"/>
      <c r="AR23" s="496"/>
      <c r="AS23" s="496"/>
      <c r="AT23" s="496"/>
      <c r="AU23" s="496"/>
      <c r="AV23" s="496"/>
      <c r="AW23" s="496"/>
      <c r="AX23" s="496"/>
      <c r="AY23" s="496"/>
    </row>
    <row r="24" spans="1:51" ht="45" customHeight="1">
      <c r="A24" s="496"/>
      <c r="B24" s="317" t="s">
        <v>1118</v>
      </c>
      <c r="C24" s="318" t="str">
        <f>IF($C$5=$O$5,"Carbon Dioxide Monitoring and Control","Air Change Effectiveness")</f>
        <v>Air Change Effectiveness</v>
      </c>
      <c r="D24" s="318"/>
      <c r="E24" s="319">
        <f>IF($C$5=$O$5,1,2)</f>
        <v>2</v>
      </c>
      <c r="F24" s="320"/>
      <c r="G24" s="328"/>
      <c r="H24" s="233"/>
      <c r="I24" s="233"/>
      <c r="J24" s="321"/>
      <c r="K24" s="297" t="str">
        <f t="shared" ref="K24:L29" si="7">IF(ISBLANK($F24)=FALSE,IF(H24="","No","Yes"),"")</f>
        <v/>
      </c>
      <c r="L24" s="297" t="str">
        <f t="shared" si="7"/>
        <v/>
      </c>
      <c r="M24" s="496"/>
      <c r="N24" s="496"/>
      <c r="O24" s="496"/>
      <c r="P24" s="538"/>
      <c r="Q24" s="538"/>
      <c r="R24" s="538"/>
      <c r="S24" s="846"/>
      <c r="T24" s="496"/>
      <c r="U24" s="538"/>
      <c r="V24" s="538"/>
      <c r="W24" s="538"/>
      <c r="X24" s="538"/>
      <c r="Y24" s="538"/>
      <c r="Z24" s="538"/>
      <c r="AA24" s="538"/>
      <c r="AB24" s="538"/>
      <c r="AC24" s="538"/>
      <c r="AD24" s="538"/>
      <c r="AE24" s="496"/>
      <c r="AF24" s="496"/>
      <c r="AG24" s="496"/>
      <c r="AH24" s="496"/>
      <c r="AI24" s="496"/>
      <c r="AJ24" s="496"/>
      <c r="AK24" s="496"/>
      <c r="AL24" s="496"/>
      <c r="AM24" s="496"/>
      <c r="AN24" s="496"/>
      <c r="AO24" s="496"/>
      <c r="AP24" s="496"/>
      <c r="AQ24" s="496"/>
      <c r="AR24" s="496"/>
      <c r="AS24" s="496"/>
      <c r="AT24" s="496"/>
      <c r="AU24" s="496"/>
      <c r="AV24" s="496"/>
      <c r="AW24" s="496"/>
      <c r="AX24" s="496"/>
      <c r="AY24" s="496"/>
    </row>
    <row r="25" spans="1:51" ht="45" customHeight="1">
      <c r="A25" s="496"/>
      <c r="B25" s="317" t="s">
        <v>1120</v>
      </c>
      <c r="C25" s="318" t="str">
        <f>IF($C$5=$O$5,"Daylight","Carbon Dioxide Monitoring &amp; Control")</f>
        <v>Carbon Dioxide Monitoring &amp; Control</v>
      </c>
      <c r="D25" s="318"/>
      <c r="E25" s="319">
        <f>IF($C$5=$O$5,3,1)</f>
        <v>1</v>
      </c>
      <c r="F25" s="320"/>
      <c r="G25" s="328"/>
      <c r="H25" s="233"/>
      <c r="I25" s="233"/>
      <c r="J25" s="321"/>
      <c r="K25" s="297" t="str">
        <f t="shared" si="7"/>
        <v/>
      </c>
      <c r="L25" s="297" t="str">
        <f t="shared" si="7"/>
        <v/>
      </c>
      <c r="M25" s="496"/>
      <c r="N25" s="496"/>
      <c r="O25" s="496"/>
      <c r="P25" s="538"/>
      <c r="Q25" s="538"/>
      <c r="R25" s="538"/>
      <c r="S25" s="846"/>
      <c r="T25" s="496"/>
      <c r="U25" s="538"/>
      <c r="V25" s="538"/>
      <c r="W25" s="538"/>
      <c r="X25" s="538"/>
      <c r="Y25" s="538"/>
      <c r="Z25" s="538"/>
      <c r="AA25" s="538"/>
      <c r="AB25" s="538"/>
      <c r="AC25" s="538"/>
      <c r="AD25" s="538"/>
      <c r="AE25" s="496"/>
      <c r="AF25" s="496"/>
      <c r="AG25" s="496"/>
      <c r="AH25" s="496"/>
      <c r="AI25" s="496"/>
      <c r="AJ25" s="496"/>
      <c r="AK25" s="496"/>
      <c r="AL25" s="496"/>
      <c r="AM25" s="496"/>
      <c r="AN25" s="496"/>
      <c r="AO25" s="496"/>
      <c r="AP25" s="496"/>
      <c r="AQ25" s="496"/>
      <c r="AR25" s="496"/>
      <c r="AS25" s="496"/>
      <c r="AT25" s="496"/>
      <c r="AU25" s="496"/>
      <c r="AV25" s="496"/>
      <c r="AW25" s="496"/>
      <c r="AX25" s="496"/>
      <c r="AY25" s="496"/>
    </row>
    <row r="26" spans="1:51" ht="45" customHeight="1">
      <c r="A26" s="496"/>
      <c r="B26" s="1458" t="s">
        <v>1122</v>
      </c>
      <c r="C26" s="1460" t="str">
        <f>IF($C$5=$O$5,"Daylighting Glare Control",IF($C$5=$O$4,"Daylight","Daylighting"))</f>
        <v>Daylighting</v>
      </c>
      <c r="D26" s="318" t="str">
        <f>IF($C$5=$O$5,"Blinds/Screens","")</f>
        <v/>
      </c>
      <c r="E26" s="319">
        <f>IF($C$5=$O$5,1,3)</f>
        <v>3</v>
      </c>
      <c r="F26" s="320"/>
      <c r="G26" s="328"/>
      <c r="H26" s="233"/>
      <c r="I26" s="233"/>
      <c r="J26" s="321"/>
      <c r="K26" s="297" t="str">
        <f t="shared" si="7"/>
        <v/>
      </c>
      <c r="L26" s="297" t="str">
        <f t="shared" si="7"/>
        <v/>
      </c>
      <c r="M26" s="496"/>
      <c r="N26" s="496"/>
      <c r="O26" s="496"/>
      <c r="P26" s="538"/>
      <c r="Q26" s="538"/>
      <c r="R26" s="538"/>
      <c r="S26" s="846"/>
      <c r="T26" s="496"/>
      <c r="U26" s="538"/>
      <c r="V26" s="538"/>
      <c r="W26" s="538"/>
      <c r="X26" s="538"/>
      <c r="Y26" s="538"/>
      <c r="Z26" s="538"/>
      <c r="AA26" s="538"/>
      <c r="AB26" s="538"/>
      <c r="AC26" s="538"/>
      <c r="AD26" s="538"/>
      <c r="AE26" s="496"/>
      <c r="AF26" s="496"/>
      <c r="AG26" s="496"/>
      <c r="AH26" s="496"/>
      <c r="AI26" s="496"/>
      <c r="AJ26" s="496"/>
      <c r="AK26" s="496"/>
      <c r="AL26" s="496"/>
      <c r="AM26" s="496"/>
      <c r="AN26" s="496"/>
      <c r="AO26" s="496"/>
      <c r="AP26" s="496"/>
      <c r="AQ26" s="496"/>
      <c r="AR26" s="496"/>
      <c r="AS26" s="496"/>
      <c r="AT26" s="496"/>
      <c r="AU26" s="496"/>
      <c r="AV26" s="496"/>
      <c r="AW26" s="496"/>
      <c r="AX26" s="496"/>
      <c r="AY26" s="496"/>
    </row>
    <row r="27" spans="1:51" ht="45" customHeight="1">
      <c r="A27" s="496"/>
      <c r="B27" s="1459"/>
      <c r="C27" s="1461"/>
      <c r="D27" s="318" t="str">
        <f>IF($C$5=$O$5,"Monitors","-")</f>
        <v>-</v>
      </c>
      <c r="E27" s="319">
        <f>IF($C$5=$O$5,1,0)</f>
        <v>0</v>
      </c>
      <c r="F27" s="320"/>
      <c r="G27" s="328"/>
      <c r="H27" s="233"/>
      <c r="I27" s="233"/>
      <c r="J27" s="321"/>
      <c r="K27" s="297" t="str">
        <f t="shared" si="7"/>
        <v/>
      </c>
      <c r="L27" s="297" t="str">
        <f t="shared" si="7"/>
        <v/>
      </c>
      <c r="M27" s="496"/>
      <c r="N27" s="496"/>
      <c r="O27" s="496"/>
      <c r="P27" s="538"/>
      <c r="Q27" s="538"/>
      <c r="R27" s="538"/>
      <c r="S27" s="846"/>
      <c r="T27" s="496"/>
      <c r="U27" s="538"/>
      <c r="V27" s="538"/>
      <c r="W27" s="538"/>
      <c r="X27" s="538"/>
      <c r="Y27" s="538"/>
      <c r="Z27" s="538"/>
      <c r="AA27" s="538"/>
      <c r="AB27" s="538"/>
      <c r="AC27" s="538"/>
      <c r="AD27" s="538"/>
      <c r="AE27" s="496"/>
      <c r="AF27" s="496"/>
      <c r="AG27" s="496"/>
      <c r="AH27" s="496"/>
      <c r="AI27" s="496"/>
      <c r="AJ27" s="496"/>
      <c r="AK27" s="496"/>
      <c r="AL27" s="496"/>
      <c r="AM27" s="496"/>
      <c r="AN27" s="496"/>
      <c r="AO27" s="496"/>
      <c r="AP27" s="496"/>
      <c r="AQ27" s="496"/>
      <c r="AR27" s="496"/>
      <c r="AS27" s="496"/>
      <c r="AT27" s="496"/>
      <c r="AU27" s="496"/>
      <c r="AV27" s="496"/>
      <c r="AW27" s="496"/>
      <c r="AX27" s="496"/>
      <c r="AY27" s="496"/>
    </row>
    <row r="28" spans="1:51" ht="45" customHeight="1">
      <c r="A28" s="496"/>
      <c r="B28" s="317" t="s">
        <v>1123</v>
      </c>
      <c r="C28" s="318" t="str">
        <f>IF($C$5=$O$5,"High Frequency Ballasts","Daylight Glare Control")</f>
        <v>Daylight Glare Control</v>
      </c>
      <c r="D28" s="318"/>
      <c r="E28" s="319">
        <v>1</v>
      </c>
      <c r="F28" s="320"/>
      <c r="G28" s="328"/>
      <c r="H28" s="233"/>
      <c r="I28" s="233"/>
      <c r="J28" s="321"/>
      <c r="K28" s="297" t="str">
        <f t="shared" si="7"/>
        <v/>
      </c>
      <c r="L28" s="297" t="str">
        <f t="shared" si="7"/>
        <v/>
      </c>
      <c r="M28" s="496"/>
      <c r="N28" s="496"/>
      <c r="O28" s="496"/>
      <c r="P28" s="538"/>
      <c r="Q28" s="538"/>
      <c r="R28" s="538"/>
      <c r="S28" s="846"/>
      <c r="T28" s="496"/>
      <c r="U28" s="538"/>
      <c r="V28" s="538"/>
      <c r="W28" s="538"/>
      <c r="X28" s="538"/>
      <c r="Y28" s="538"/>
      <c r="Z28" s="538"/>
      <c r="AA28" s="538"/>
      <c r="AB28" s="538"/>
      <c r="AC28" s="538"/>
      <c r="AD28" s="538"/>
      <c r="AE28" s="496"/>
      <c r="AF28" s="496"/>
      <c r="AG28" s="496"/>
      <c r="AH28" s="496"/>
      <c r="AI28" s="496"/>
      <c r="AJ28" s="496"/>
      <c r="AK28" s="496"/>
      <c r="AL28" s="496"/>
      <c r="AM28" s="496"/>
      <c r="AN28" s="496"/>
      <c r="AO28" s="496"/>
      <c r="AP28" s="496"/>
      <c r="AQ28" s="496"/>
      <c r="AR28" s="496"/>
      <c r="AS28" s="496"/>
      <c r="AT28" s="496"/>
      <c r="AU28" s="496"/>
      <c r="AV28" s="496"/>
      <c r="AW28" s="496"/>
      <c r="AX28" s="496"/>
      <c r="AY28" s="496"/>
    </row>
    <row r="29" spans="1:51" ht="45" customHeight="1">
      <c r="A29" s="496"/>
      <c r="B29" s="317" t="s">
        <v>1124</v>
      </c>
      <c r="C29" s="318" t="str">
        <f>IF($C$5=$O$5,"Electric Lighting Levels","High Frequency Ballasts")</f>
        <v>High Frequency Ballasts</v>
      </c>
      <c r="D29" s="318"/>
      <c r="E29" s="319">
        <f>IF($C$5=$O$5,2,1)</f>
        <v>1</v>
      </c>
      <c r="F29" s="320"/>
      <c r="G29" s="328"/>
      <c r="H29" s="233"/>
      <c r="I29" s="233"/>
      <c r="J29" s="321"/>
      <c r="K29" s="297" t="str">
        <f t="shared" si="7"/>
        <v/>
      </c>
      <c r="L29" s="297" t="str">
        <f t="shared" si="7"/>
        <v/>
      </c>
      <c r="M29" s="496"/>
      <c r="N29" s="496"/>
      <c r="O29" s="496"/>
      <c r="P29" s="538"/>
      <c r="Q29" s="538"/>
      <c r="R29" s="538"/>
      <c r="S29" s="846"/>
      <c r="T29" s="496"/>
      <c r="U29" s="538"/>
      <c r="V29" s="538"/>
      <c r="W29" s="538"/>
      <c r="X29" s="538"/>
      <c r="Y29" s="538"/>
      <c r="Z29" s="538"/>
      <c r="AA29" s="538"/>
      <c r="AB29" s="538"/>
      <c r="AC29" s="538"/>
      <c r="AD29" s="538"/>
      <c r="AE29" s="496"/>
      <c r="AF29" s="496"/>
      <c r="AG29" s="496"/>
      <c r="AH29" s="496"/>
      <c r="AI29" s="496"/>
      <c r="AJ29" s="496"/>
      <c r="AK29" s="496"/>
      <c r="AL29" s="496"/>
      <c r="AM29" s="496"/>
      <c r="AN29" s="496"/>
      <c r="AO29" s="496"/>
      <c r="AP29" s="496"/>
      <c r="AQ29" s="496"/>
      <c r="AR29" s="496"/>
      <c r="AS29" s="496"/>
      <c r="AT29" s="496"/>
      <c r="AU29" s="496"/>
      <c r="AV29" s="496"/>
      <c r="AW29" s="496"/>
      <c r="AX29" s="496"/>
      <c r="AY29" s="496"/>
    </row>
    <row r="30" spans="1:51" ht="45" customHeight="1">
      <c r="A30" s="496"/>
      <c r="B30" s="317" t="s">
        <v>1125</v>
      </c>
      <c r="C30" s="318" t="str">
        <f>IF($C$5=$O$5,"External Views","Electric Lighting Levels")</f>
        <v>Electric Lighting Levels</v>
      </c>
      <c r="D30" s="318"/>
      <c r="E30" s="319">
        <f>IF($C$5=$O$5,2,1)</f>
        <v>1</v>
      </c>
      <c r="F30" s="320"/>
      <c r="G30" s="328"/>
      <c r="H30" s="233"/>
      <c r="I30" s="233"/>
      <c r="J30" s="321"/>
      <c r="K30" s="297" t="str">
        <f>IF(OR(ISBLANK($F30)=FALSE,$S30=TRUE),IF(H30="","No","Yes"),"")</f>
        <v/>
      </c>
      <c r="L30" s="297" t="str">
        <f>IF(ISBLANK($F30)=FALSE,IF(I30="","No","Yes"),IF($S30=TRUE,"Yes",""))</f>
        <v/>
      </c>
      <c r="M30" s="496"/>
      <c r="N30" s="496"/>
      <c r="O30" s="496"/>
      <c r="P30" s="538"/>
      <c r="Q30" s="538"/>
      <c r="R30" s="538"/>
      <c r="S30" s="846"/>
      <c r="T30" s="496"/>
      <c r="U30" s="538"/>
      <c r="V30" s="538"/>
      <c r="W30" s="538"/>
      <c r="X30" s="538"/>
      <c r="Y30" s="538"/>
      <c r="Z30" s="538"/>
      <c r="AA30" s="538"/>
      <c r="AB30" s="538"/>
      <c r="AC30" s="538"/>
      <c r="AD30" s="538"/>
      <c r="AE30" s="496"/>
      <c r="AF30" s="496"/>
      <c r="AG30" s="496"/>
      <c r="AH30" s="496"/>
      <c r="AI30" s="496"/>
      <c r="AJ30" s="496"/>
      <c r="AK30" s="496"/>
      <c r="AL30" s="496"/>
      <c r="AM30" s="496"/>
      <c r="AN30" s="496"/>
      <c r="AO30" s="496"/>
      <c r="AP30" s="496"/>
      <c r="AQ30" s="496"/>
      <c r="AR30" s="496"/>
      <c r="AS30" s="496"/>
      <c r="AT30" s="496"/>
      <c r="AU30" s="496"/>
      <c r="AV30" s="496"/>
      <c r="AW30" s="496"/>
      <c r="AX30" s="496"/>
      <c r="AY30" s="496"/>
    </row>
    <row r="31" spans="1:51" ht="45" customHeight="1">
      <c r="A31" s="496"/>
      <c r="B31" s="1458" t="s">
        <v>1126</v>
      </c>
      <c r="C31" s="1460" t="str">
        <f>IF($C$5=$O$5,"Individual Comfort Control","External Views")</f>
        <v>External Views</v>
      </c>
      <c r="D31" s="318" t="str">
        <f>IF($C$5=$O$5,"Workstation Control","")</f>
        <v/>
      </c>
      <c r="E31" s="319">
        <v>2</v>
      </c>
      <c r="F31" s="320"/>
      <c r="G31" s="328"/>
      <c r="H31" s="233"/>
      <c r="I31" s="233"/>
      <c r="J31" s="321"/>
      <c r="K31" s="297" t="str">
        <f>IF(OR(ISBLANK($F31)=FALSE,$S31=TRUE),IF(H31="","No","Yes"),"")</f>
        <v/>
      </c>
      <c r="L31" s="297" t="str">
        <f>IF(ISBLANK($F31)=FALSE,IF(I31="","No","Yes"),IF($S31=TRUE,"NA",""))</f>
        <v/>
      </c>
      <c r="M31" s="496"/>
      <c r="N31" s="496"/>
      <c r="O31" s="496"/>
      <c r="P31" s="538"/>
      <c r="Q31" s="538"/>
      <c r="R31" s="538" t="s">
        <v>242</v>
      </c>
      <c r="S31" s="846" t="b">
        <v>0</v>
      </c>
      <c r="T31" s="496"/>
      <c r="U31" s="538"/>
      <c r="V31" s="538"/>
      <c r="W31" s="538"/>
      <c r="X31" s="538"/>
      <c r="Y31" s="538"/>
      <c r="Z31" s="538"/>
      <c r="AA31" s="538"/>
      <c r="AB31" s="538"/>
      <c r="AC31" s="538"/>
      <c r="AD31" s="538"/>
      <c r="AE31" s="496"/>
      <c r="AF31" s="496"/>
      <c r="AG31" s="496"/>
      <c r="AH31" s="496"/>
      <c r="AI31" s="496"/>
      <c r="AJ31" s="496"/>
      <c r="AK31" s="496"/>
      <c r="AL31" s="496"/>
      <c r="AM31" s="496"/>
      <c r="AN31" s="496"/>
      <c r="AO31" s="496"/>
      <c r="AP31" s="496"/>
      <c r="AQ31" s="496"/>
      <c r="AR31" s="496"/>
      <c r="AS31" s="496"/>
      <c r="AT31" s="496"/>
      <c r="AU31" s="496"/>
      <c r="AV31" s="496"/>
      <c r="AW31" s="496"/>
      <c r="AX31" s="496"/>
      <c r="AY31" s="496"/>
    </row>
    <row r="32" spans="1:51" ht="45" customHeight="1">
      <c r="A32" s="496"/>
      <c r="B32" s="1459"/>
      <c r="C32" s="1461"/>
      <c r="D32" s="318" t="str">
        <f>IF($C$5=$O$5,"Base Building Alteration.","-")</f>
        <v>-</v>
      </c>
      <c r="E32" s="319">
        <f>IF($C$5=$O$5,1,0)</f>
        <v>0</v>
      </c>
      <c r="F32" s="320"/>
      <c r="G32" s="328"/>
      <c r="H32" s="233"/>
      <c r="I32" s="233"/>
      <c r="J32" s="321"/>
      <c r="K32" s="297" t="str">
        <f>IF(OR(ISBLANK($F32)=FALSE,$S32=TRUE),IF(H32="","No","Yes"),"")</f>
        <v/>
      </c>
      <c r="L32" s="297" t="str">
        <f>IF(ISBLANK($F32)=FALSE,IF(I32="","No","Yes"),IF($S32=TRUE,"NA",""))</f>
        <v/>
      </c>
      <c r="M32" s="496"/>
      <c r="N32" s="496"/>
      <c r="O32" s="496"/>
      <c r="P32" s="538"/>
      <c r="Q32" s="538"/>
      <c r="R32" s="538" t="s">
        <v>242</v>
      </c>
      <c r="S32" s="846" t="b">
        <v>0</v>
      </c>
      <c r="T32" s="496"/>
      <c r="U32" s="538"/>
      <c r="V32" s="538"/>
      <c r="W32" s="538"/>
      <c r="X32" s="538"/>
      <c r="Y32" s="538"/>
      <c r="Z32" s="538"/>
      <c r="AA32" s="538"/>
      <c r="AB32" s="538"/>
      <c r="AC32" s="538"/>
      <c r="AD32" s="538"/>
      <c r="AE32" s="496"/>
      <c r="AF32" s="496"/>
      <c r="AG32" s="496"/>
      <c r="AH32" s="496"/>
      <c r="AI32" s="496"/>
      <c r="AJ32" s="496"/>
      <c r="AK32" s="496"/>
      <c r="AL32" s="496"/>
      <c r="AM32" s="496"/>
      <c r="AN32" s="496"/>
      <c r="AO32" s="496"/>
      <c r="AP32" s="496"/>
      <c r="AQ32" s="496"/>
      <c r="AR32" s="496"/>
      <c r="AS32" s="496"/>
      <c r="AT32" s="496"/>
      <c r="AU32" s="496"/>
      <c r="AV32" s="496"/>
      <c r="AW32" s="496"/>
      <c r="AX32" s="496"/>
      <c r="AY32" s="496"/>
    </row>
    <row r="33" spans="1:51" ht="45" customHeight="1">
      <c r="A33" s="496"/>
      <c r="B33" s="317" t="s">
        <v>1132</v>
      </c>
      <c r="C33" s="318" t="str">
        <f>IF($C$5=$O$5,"Asbestos","Thermal Comfort")</f>
        <v>Thermal Comfort</v>
      </c>
      <c r="D33" s="318"/>
      <c r="E33" s="319">
        <f>IF($C$5=$O$5,1,2)</f>
        <v>2</v>
      </c>
      <c r="F33" s="320"/>
      <c r="G33" s="328"/>
      <c r="H33" s="233"/>
      <c r="I33" s="233"/>
      <c r="J33" s="321"/>
      <c r="K33" s="297" t="str">
        <f>IF(OR(ISBLANK($F33)=FALSE,$S33=TRUE),IF(H33="","No","Yes"),"")</f>
        <v/>
      </c>
      <c r="L33" s="297" t="str">
        <f>IF(ISBLANK($F33)=FALSE,IF(I33="","No","Yes"),IF($S33=TRUE,"NA",""))</f>
        <v/>
      </c>
      <c r="M33" s="496"/>
      <c r="N33" s="496"/>
      <c r="O33" s="496"/>
      <c r="P33" s="538"/>
      <c r="Q33" s="538"/>
      <c r="R33" s="538" t="s">
        <v>242</v>
      </c>
      <c r="S33" s="846" t="b">
        <v>0</v>
      </c>
      <c r="T33" s="496"/>
      <c r="U33" s="538"/>
      <c r="V33" s="538"/>
      <c r="W33" s="538"/>
      <c r="X33" s="538"/>
      <c r="Y33" s="538"/>
      <c r="Z33" s="538"/>
      <c r="AA33" s="538"/>
      <c r="AB33" s="538"/>
      <c r="AC33" s="538"/>
      <c r="AD33" s="538"/>
      <c r="AE33" s="496"/>
      <c r="AF33" s="496"/>
      <c r="AG33" s="496"/>
      <c r="AH33" s="496"/>
      <c r="AI33" s="496"/>
      <c r="AJ33" s="496"/>
      <c r="AK33" s="496"/>
      <c r="AL33" s="496"/>
      <c r="AM33" s="496"/>
      <c r="AN33" s="496"/>
      <c r="AO33" s="496"/>
      <c r="AP33" s="496"/>
      <c r="AQ33" s="496"/>
      <c r="AR33" s="496"/>
      <c r="AS33" s="496"/>
      <c r="AT33" s="496"/>
      <c r="AU33" s="496"/>
      <c r="AV33" s="496"/>
      <c r="AW33" s="496"/>
      <c r="AX33" s="496"/>
      <c r="AY33" s="496"/>
    </row>
    <row r="34" spans="1:51" ht="45" customHeight="1">
      <c r="A34" s="247"/>
      <c r="B34" s="317" t="s">
        <v>1134</v>
      </c>
      <c r="C34" s="318" t="str">
        <f>IF($C$5=$O$3,"Individual Comfort Control",IF($C$5=$O$5,"Internal Noise Levels","Individual Thermal Comfort Control"))</f>
        <v>Individual Thermal Comfort Control</v>
      </c>
      <c r="D34" s="318"/>
      <c r="E34" s="319">
        <f>IF($C$5=$O$5,1,2)</f>
        <v>2</v>
      </c>
      <c r="F34" s="320"/>
      <c r="G34" s="328"/>
      <c r="H34" s="233"/>
      <c r="I34" s="233"/>
      <c r="J34" s="321"/>
      <c r="K34" s="297" t="str">
        <f>IF(ISBLANK($F34)=FALSE,IF(H34="","No","Yes"),"")</f>
        <v/>
      </c>
      <c r="L34" s="297" t="str">
        <f>IF(ISBLANK($F34)=FALSE,IF(I34="","No","Yes"),"")</f>
        <v/>
      </c>
      <c r="M34" s="496"/>
      <c r="N34" s="496"/>
      <c r="O34" s="496"/>
      <c r="P34" s="538"/>
      <c r="Q34" s="538"/>
      <c r="R34" s="538"/>
      <c r="S34" s="846"/>
      <c r="T34" s="496"/>
      <c r="U34" s="538"/>
      <c r="V34" s="538"/>
      <c r="W34" s="538"/>
      <c r="X34" s="538"/>
      <c r="Y34" s="538"/>
      <c r="Z34" s="538"/>
      <c r="AA34" s="538"/>
      <c r="AB34" s="538"/>
      <c r="AC34" s="538"/>
      <c r="AD34" s="538"/>
      <c r="AE34" s="496"/>
      <c r="AF34" s="496"/>
      <c r="AG34" s="496"/>
      <c r="AH34" s="496"/>
      <c r="AI34" s="496"/>
      <c r="AJ34" s="496"/>
      <c r="AK34" s="496"/>
      <c r="AL34" s="496"/>
      <c r="AM34" s="496"/>
      <c r="AN34" s="496"/>
      <c r="AO34" s="496"/>
      <c r="AP34" s="496"/>
      <c r="AQ34" s="496"/>
      <c r="AR34" s="496"/>
      <c r="AS34" s="496"/>
      <c r="AT34" s="496"/>
      <c r="AU34" s="496"/>
      <c r="AV34" s="496"/>
      <c r="AW34" s="496"/>
      <c r="AX34" s="496"/>
      <c r="AY34" s="496"/>
    </row>
    <row r="35" spans="1:51" s="247" customFormat="1" ht="45" customHeight="1">
      <c r="A35" s="496"/>
      <c r="B35" s="1458" t="s">
        <v>1136</v>
      </c>
      <c r="C35" s="1460" t="str">
        <f>IF($C$5=$O$3,"Asbestos",IF($C$5=$O$5,"Volatile Organic Compounds","Hazardous Materials"))</f>
        <v>Hazardous Materials</v>
      </c>
      <c r="D35" s="318" t="str">
        <f>IF($C$5=$O$5,"Paints","")</f>
        <v/>
      </c>
      <c r="E35" s="319">
        <f>IF($C$5=$O$5,2,1)</f>
        <v>1</v>
      </c>
      <c r="F35" s="320"/>
      <c r="G35" s="328"/>
      <c r="H35" s="233"/>
      <c r="I35" s="233"/>
      <c r="J35" s="321"/>
      <c r="K35" s="297" t="str">
        <f>IF(OR(ISBLANK($F35)=FALSE,$S35=TRUE),IF(H35="","No","Yes"),"")</f>
        <v/>
      </c>
      <c r="L35" s="297" t="str">
        <f>IF(ISBLANK($F35)=FALSE,IF(I35="","No","Yes"),IF($S35=TRUE,"NA",""))</f>
        <v/>
      </c>
      <c r="M35" s="496"/>
      <c r="N35" s="496"/>
      <c r="O35" s="496"/>
      <c r="P35" s="538" t="s">
        <v>242</v>
      </c>
      <c r="Q35" s="538" t="s">
        <v>242</v>
      </c>
      <c r="R35" s="538"/>
      <c r="S35" s="846" t="b">
        <v>0</v>
      </c>
      <c r="T35" s="496"/>
      <c r="U35" s="538"/>
      <c r="V35" s="538"/>
      <c r="W35" s="538"/>
      <c r="X35" s="538"/>
      <c r="Y35" s="538"/>
      <c r="Z35" s="538"/>
      <c r="AA35" s="538"/>
      <c r="AB35" s="538"/>
      <c r="AC35" s="538"/>
      <c r="AD35" s="538"/>
      <c r="AE35" s="496"/>
      <c r="AF35" s="496"/>
      <c r="AG35" s="496"/>
      <c r="AH35" s="496"/>
      <c r="AI35" s="496"/>
      <c r="AJ35" s="496"/>
      <c r="AK35" s="496"/>
      <c r="AL35" s="496"/>
      <c r="AM35" s="496"/>
      <c r="AN35" s="496"/>
      <c r="AO35" s="496"/>
      <c r="AP35" s="496"/>
      <c r="AQ35" s="496"/>
      <c r="AR35" s="496"/>
      <c r="AS35" s="496"/>
      <c r="AT35" s="496"/>
      <c r="AU35" s="496"/>
      <c r="AV35" s="496"/>
      <c r="AW35" s="496"/>
      <c r="AX35" s="496"/>
      <c r="AY35" s="496"/>
    </row>
    <row r="36" spans="1:51" ht="45" customHeight="1">
      <c r="A36" s="496"/>
      <c r="B36" s="1468"/>
      <c r="C36" s="1469"/>
      <c r="D36" s="318" t="str">
        <f>IF($C$5=$O$5,"Adhesives and Sealants","-")</f>
        <v>-</v>
      </c>
      <c r="E36" s="319">
        <f>IF($C$5=$O$5,2,0)</f>
        <v>0</v>
      </c>
      <c r="F36" s="320"/>
      <c r="G36" s="328"/>
      <c r="H36" s="233"/>
      <c r="I36" s="233"/>
      <c r="J36" s="321"/>
      <c r="K36" s="297" t="str">
        <f t="shared" ref="K36:L38" si="8">IF(ISBLANK($F36)=FALSE,IF(H36="","No","Yes"),"")</f>
        <v/>
      </c>
      <c r="L36" s="297" t="str">
        <f t="shared" si="8"/>
        <v/>
      </c>
      <c r="M36" s="496"/>
      <c r="N36" s="496"/>
      <c r="O36" s="496"/>
      <c r="P36" s="538"/>
      <c r="Q36" s="538"/>
      <c r="R36" s="538"/>
      <c r="S36" s="846"/>
      <c r="T36" s="496"/>
      <c r="U36" s="538"/>
      <c r="V36" s="538"/>
      <c r="W36" s="538"/>
      <c r="X36" s="538"/>
      <c r="Y36" s="538"/>
      <c r="Z36" s="538"/>
      <c r="AA36" s="538"/>
      <c r="AB36" s="538"/>
      <c r="AC36" s="538"/>
      <c r="AD36" s="538"/>
      <c r="AE36" s="496"/>
      <c r="AF36" s="496"/>
      <c r="AG36" s="496"/>
      <c r="AH36" s="496"/>
      <c r="AI36" s="496"/>
      <c r="AJ36" s="496"/>
      <c r="AK36" s="496"/>
      <c r="AL36" s="496"/>
      <c r="AM36" s="496"/>
      <c r="AN36" s="496"/>
      <c r="AO36" s="496"/>
      <c r="AP36" s="496"/>
      <c r="AQ36" s="496"/>
      <c r="AR36" s="496"/>
      <c r="AS36" s="496"/>
      <c r="AT36" s="496"/>
      <c r="AU36" s="496"/>
      <c r="AV36" s="496"/>
      <c r="AW36" s="496"/>
      <c r="AX36" s="496"/>
      <c r="AY36" s="496"/>
    </row>
    <row r="37" spans="1:51" ht="45" customHeight="1">
      <c r="A37" s="496"/>
      <c r="B37" s="1468"/>
      <c r="C37" s="1469"/>
      <c r="D37" s="318" t="str">
        <f>IF($C$5=$O$5,"Carpets and Flooring","-")</f>
        <v>-</v>
      </c>
      <c r="E37" s="319">
        <f>IF($C$5=$O$5,2,0)</f>
        <v>0</v>
      </c>
      <c r="F37" s="320"/>
      <c r="G37" s="328"/>
      <c r="H37" s="233"/>
      <c r="I37" s="233"/>
      <c r="J37" s="321"/>
      <c r="K37" s="297" t="str">
        <f t="shared" si="8"/>
        <v/>
      </c>
      <c r="L37" s="297" t="str">
        <f t="shared" si="8"/>
        <v/>
      </c>
      <c r="M37" s="496"/>
      <c r="N37" s="496"/>
      <c r="O37" s="496"/>
      <c r="P37" s="538"/>
      <c r="Q37" s="538"/>
      <c r="R37" s="538"/>
      <c r="S37" s="846"/>
      <c r="T37" s="496"/>
      <c r="U37" s="538"/>
      <c r="V37" s="538"/>
      <c r="W37" s="538"/>
      <c r="X37" s="538"/>
      <c r="Y37" s="538"/>
      <c r="Z37" s="538"/>
      <c r="AA37" s="538"/>
      <c r="AB37" s="538"/>
      <c r="AC37" s="538"/>
      <c r="AD37" s="538"/>
      <c r="AE37" s="496"/>
      <c r="AF37" s="496"/>
      <c r="AG37" s="496"/>
      <c r="AH37" s="496"/>
      <c r="AI37" s="496"/>
      <c r="AJ37" s="496"/>
      <c r="AK37" s="496"/>
      <c r="AL37" s="496"/>
      <c r="AM37" s="496"/>
      <c r="AN37" s="496"/>
      <c r="AO37" s="496"/>
      <c r="AP37" s="496"/>
      <c r="AQ37" s="496"/>
      <c r="AR37" s="496"/>
      <c r="AS37" s="496"/>
      <c r="AT37" s="496"/>
      <c r="AU37" s="496"/>
      <c r="AV37" s="496"/>
      <c r="AW37" s="496"/>
      <c r="AX37" s="496"/>
      <c r="AY37" s="496"/>
    </row>
    <row r="38" spans="1:51" ht="45" customHeight="1">
      <c r="A38" s="496"/>
      <c r="B38" s="1459"/>
      <c r="C38" s="1461"/>
      <c r="D38" s="318" t="str">
        <f>IF($C$5=$O$5,"Fitout Items","-")</f>
        <v>-</v>
      </c>
      <c r="E38" s="319">
        <f>IF($C$5=$O$5,2,0)</f>
        <v>0</v>
      </c>
      <c r="F38" s="320"/>
      <c r="G38" s="328"/>
      <c r="H38" s="233"/>
      <c r="I38" s="233"/>
      <c r="J38" s="321"/>
      <c r="K38" s="297" t="str">
        <f t="shared" si="8"/>
        <v/>
      </c>
      <c r="L38" s="297" t="str">
        <f t="shared" si="8"/>
        <v/>
      </c>
      <c r="M38" s="496"/>
      <c r="N38" s="496"/>
      <c r="O38" s="496"/>
      <c r="P38" s="538"/>
      <c r="Q38" s="538"/>
      <c r="R38" s="538"/>
      <c r="S38" s="846"/>
      <c r="T38" s="496"/>
      <c r="U38" s="538"/>
      <c r="V38" s="538"/>
      <c r="W38" s="538"/>
      <c r="X38" s="538"/>
      <c r="Y38" s="538"/>
      <c r="Z38" s="538"/>
      <c r="AA38" s="538"/>
      <c r="AB38" s="538"/>
      <c r="AC38" s="538"/>
      <c r="AD38" s="538"/>
      <c r="AE38" s="496"/>
      <c r="AF38" s="496"/>
      <c r="AG38" s="496"/>
      <c r="AH38" s="496"/>
      <c r="AI38" s="496"/>
      <c r="AJ38" s="496"/>
      <c r="AK38" s="496"/>
      <c r="AL38" s="496"/>
      <c r="AM38" s="496"/>
      <c r="AN38" s="496"/>
      <c r="AO38" s="496"/>
      <c r="AP38" s="496"/>
      <c r="AQ38" s="496"/>
      <c r="AR38" s="496"/>
      <c r="AS38" s="496"/>
      <c r="AT38" s="496"/>
      <c r="AU38" s="496"/>
      <c r="AV38" s="496"/>
      <c r="AW38" s="496"/>
      <c r="AX38" s="496"/>
      <c r="AY38" s="496"/>
    </row>
    <row r="39" spans="1:51" ht="45" customHeight="1">
      <c r="A39" s="496"/>
      <c r="B39" s="317" t="s">
        <v>1138</v>
      </c>
      <c r="C39" s="318" t="str">
        <f>IF($C$5=$O$5,"Formaldehyde Minimisation","Internal Noise Levels")</f>
        <v>Internal Noise Levels</v>
      </c>
      <c r="D39" s="318"/>
      <c r="E39" s="319">
        <v>2</v>
      </c>
      <c r="F39" s="320"/>
      <c r="G39" s="328"/>
      <c r="H39" s="233"/>
      <c r="I39" s="233"/>
      <c r="J39" s="321"/>
      <c r="K39" s="297" t="str">
        <f>IF(OR(ISBLANK($F39)=FALSE,$S39=TRUE),IF(H39="","No","Yes"),"")</f>
        <v/>
      </c>
      <c r="L39" s="297" t="str">
        <f>IF(ISBLANK($F39)=FALSE,IF(I39="","No","Yes"),IF($S39=TRUE,"Yes",""))</f>
        <v/>
      </c>
      <c r="M39" s="496"/>
      <c r="N39" s="496"/>
      <c r="O39" s="496"/>
      <c r="P39" s="538"/>
      <c r="Q39" s="538"/>
      <c r="R39" s="538"/>
      <c r="S39" s="846"/>
      <c r="T39" s="496"/>
      <c r="U39" s="538"/>
      <c r="V39" s="538"/>
      <c r="W39" s="538"/>
      <c r="X39" s="538"/>
      <c r="Y39" s="538"/>
      <c r="Z39" s="538"/>
      <c r="AA39" s="538"/>
      <c r="AB39" s="538"/>
      <c r="AC39" s="538"/>
      <c r="AD39" s="538"/>
      <c r="AE39" s="496"/>
      <c r="AF39" s="496"/>
      <c r="AG39" s="496"/>
      <c r="AH39" s="496"/>
      <c r="AI39" s="496"/>
      <c r="AJ39" s="496"/>
      <c r="AK39" s="496"/>
      <c r="AL39" s="496"/>
      <c r="AM39" s="496"/>
      <c r="AN39" s="496"/>
      <c r="AO39" s="496"/>
      <c r="AP39" s="496"/>
      <c r="AQ39" s="496"/>
      <c r="AR39" s="496"/>
      <c r="AS39" s="496"/>
      <c r="AT39" s="496"/>
      <c r="AU39" s="496"/>
      <c r="AV39" s="496"/>
      <c r="AW39" s="496"/>
      <c r="AX39" s="496"/>
      <c r="AY39" s="496"/>
    </row>
    <row r="40" spans="1:51" ht="45" customHeight="1">
      <c r="A40" s="496"/>
      <c r="B40" s="1458" t="s">
        <v>1140</v>
      </c>
      <c r="C40" s="1460" t="str">
        <f>IF($C$5=$O$5,"Air Supply Ductwork","Volatile Organic Compounds")</f>
        <v>Volatile Organic Compounds</v>
      </c>
      <c r="D40" s="318" t="str">
        <f>IF($C$5=$O$5,"","Paints")</f>
        <v>Paints</v>
      </c>
      <c r="E40" s="319">
        <v>1</v>
      </c>
      <c r="F40" s="320"/>
      <c r="G40" s="328"/>
      <c r="H40" s="233"/>
      <c r="I40" s="233"/>
      <c r="J40" s="321"/>
      <c r="K40" s="297" t="str">
        <f>IF(OR(ISBLANK($F40)=FALSE,$S40=TRUE),IF(H40="","No","Yes"),"")</f>
        <v/>
      </c>
      <c r="L40" s="297" t="str">
        <f>IF(ISBLANK($F40)=FALSE,IF(I40="","No","Yes"),IF($S40=TRUE,"NA",""))</f>
        <v/>
      </c>
      <c r="M40" s="496"/>
      <c r="N40" s="496"/>
      <c r="O40" s="496"/>
      <c r="P40" s="538"/>
      <c r="Q40" s="538"/>
      <c r="R40" s="538" t="s">
        <v>242</v>
      </c>
      <c r="S40" s="846" t="b">
        <v>0</v>
      </c>
      <c r="T40" s="496"/>
      <c r="U40" s="538"/>
      <c r="V40" s="538"/>
      <c r="W40" s="538"/>
      <c r="X40" s="538"/>
      <c r="Y40" s="538"/>
      <c r="Z40" s="538"/>
      <c r="AA40" s="538"/>
      <c r="AB40" s="538"/>
      <c r="AC40" s="538"/>
      <c r="AD40" s="538"/>
      <c r="AE40" s="496"/>
      <c r="AF40" s="496"/>
      <c r="AG40" s="496"/>
      <c r="AH40" s="496"/>
      <c r="AI40" s="496"/>
      <c r="AJ40" s="496"/>
      <c r="AK40" s="496"/>
      <c r="AL40" s="496"/>
      <c r="AM40" s="496"/>
      <c r="AN40" s="496"/>
      <c r="AO40" s="496"/>
      <c r="AP40" s="496"/>
      <c r="AQ40" s="496"/>
      <c r="AR40" s="496"/>
      <c r="AS40" s="496"/>
      <c r="AT40" s="496"/>
      <c r="AU40" s="496"/>
      <c r="AV40" s="496"/>
      <c r="AW40" s="496"/>
      <c r="AX40" s="496"/>
      <c r="AY40" s="496"/>
    </row>
    <row r="41" spans="1:51" ht="45" customHeight="1">
      <c r="A41" s="496"/>
      <c r="B41" s="1468"/>
      <c r="C41" s="1469"/>
      <c r="D41" s="318" t="str">
        <f>IF($C$5=$O$5,"-","Adhesives and Sealants")</f>
        <v>Adhesives and Sealants</v>
      </c>
      <c r="E41" s="319">
        <f>IF($C$5=$O$5,0,1)</f>
        <v>1</v>
      </c>
      <c r="F41" s="320"/>
      <c r="G41" s="328"/>
      <c r="H41" s="233"/>
      <c r="I41" s="233"/>
      <c r="J41" s="321"/>
      <c r="K41" s="297" t="str">
        <f>IF(ISBLANK($F41)=FALSE,IF(H41="","No","Yes"),"")</f>
        <v/>
      </c>
      <c r="L41" s="297" t="str">
        <f>IF(ISBLANK($F41)=FALSE,IF(I41="","No","Yes"),"")</f>
        <v/>
      </c>
      <c r="M41" s="496"/>
      <c r="N41" s="496"/>
      <c r="O41" s="496"/>
      <c r="P41" s="538"/>
      <c r="Q41" s="538"/>
      <c r="R41" s="538"/>
      <c r="S41" s="846"/>
      <c r="T41" s="496"/>
      <c r="U41" s="538"/>
      <c r="V41" s="538"/>
      <c r="W41" s="538"/>
      <c r="X41" s="538"/>
      <c r="Y41" s="538"/>
      <c r="Z41" s="538"/>
      <c r="AA41" s="538"/>
      <c r="AB41" s="538"/>
      <c r="AC41" s="538"/>
      <c r="AD41" s="538"/>
      <c r="AE41" s="496"/>
      <c r="AF41" s="496"/>
      <c r="AG41" s="496"/>
      <c r="AH41" s="496"/>
      <c r="AI41" s="496"/>
      <c r="AJ41" s="496"/>
      <c r="AK41" s="496"/>
      <c r="AL41" s="496"/>
      <c r="AM41" s="496"/>
      <c r="AN41" s="496"/>
      <c r="AO41" s="496"/>
      <c r="AP41" s="496"/>
      <c r="AQ41" s="496"/>
      <c r="AR41" s="496"/>
      <c r="AS41" s="496"/>
      <c r="AT41" s="496"/>
      <c r="AU41" s="496"/>
      <c r="AV41" s="496"/>
      <c r="AW41" s="496"/>
      <c r="AX41" s="496"/>
      <c r="AY41" s="496"/>
    </row>
    <row r="42" spans="1:51" ht="45" customHeight="1">
      <c r="A42" s="247"/>
      <c r="B42" s="1459"/>
      <c r="C42" s="1461"/>
      <c r="D42" s="318" t="str">
        <f>IF($C$5=$O$5,"-","Carpets and Flooring")</f>
        <v>Carpets and Flooring</v>
      </c>
      <c r="E42" s="319">
        <f>IF($C$5=$O$5,0,1)</f>
        <v>1</v>
      </c>
      <c r="F42" s="320"/>
      <c r="G42" s="328"/>
      <c r="H42" s="233"/>
      <c r="I42" s="233"/>
      <c r="J42" s="321"/>
      <c r="K42" s="297" t="str">
        <f>IF(OR(ISBLANK($F42)=FALSE,$S42=TRUE),IF(H42="","No","Yes"),"")</f>
        <v/>
      </c>
      <c r="L42" s="297" t="str">
        <f>IF(ISBLANK($F42)=FALSE,IF(I42="","No","Yes"),IF($S42=TRUE,"NA",""))</f>
        <v/>
      </c>
      <c r="M42" s="496"/>
      <c r="N42" s="496"/>
      <c r="O42" s="496"/>
      <c r="P42" s="538"/>
      <c r="Q42" s="538" t="s">
        <v>242</v>
      </c>
      <c r="R42" s="538"/>
      <c r="S42" s="846" t="b">
        <v>0</v>
      </c>
      <c r="T42" s="496"/>
      <c r="U42" s="538"/>
      <c r="V42" s="538"/>
      <c r="W42" s="538"/>
      <c r="X42" s="538"/>
      <c r="Y42" s="538"/>
      <c r="Z42" s="538"/>
      <c r="AA42" s="538"/>
      <c r="AB42" s="538"/>
      <c r="AC42" s="538"/>
      <c r="AD42" s="538"/>
      <c r="AE42" s="496"/>
      <c r="AF42" s="496"/>
      <c r="AG42" s="496"/>
      <c r="AH42" s="496"/>
      <c r="AI42" s="496"/>
      <c r="AJ42" s="496"/>
      <c r="AK42" s="496"/>
      <c r="AL42" s="496"/>
      <c r="AM42" s="496"/>
      <c r="AN42" s="496"/>
      <c r="AO42" s="496"/>
      <c r="AP42" s="496"/>
      <c r="AQ42" s="496"/>
      <c r="AR42" s="496"/>
      <c r="AS42" s="496"/>
      <c r="AT42" s="496"/>
      <c r="AU42" s="496"/>
      <c r="AV42" s="496"/>
      <c r="AW42" s="496"/>
      <c r="AX42" s="496"/>
      <c r="AY42" s="496"/>
    </row>
    <row r="43" spans="1:51" s="247" customFormat="1" ht="45" customHeight="1">
      <c r="A43" s="496"/>
      <c r="B43" s="317" t="s">
        <v>1142</v>
      </c>
      <c r="C43" s="318" t="str">
        <f>IF($C$5=$O$5,"Tenant Exhaust","Formaldehyde Minimisation")</f>
        <v>Formaldehyde Minimisation</v>
      </c>
      <c r="D43" s="318"/>
      <c r="E43" s="319">
        <v>1</v>
      </c>
      <c r="F43" s="320"/>
      <c r="G43" s="328"/>
      <c r="H43" s="233"/>
      <c r="I43" s="233"/>
      <c r="J43" s="321"/>
      <c r="K43" s="297" t="str">
        <f>IF(OR(ISBLANK($F43)=FALSE,$S43=TRUE),IF(H43="","No","Yes"),"")</f>
        <v/>
      </c>
      <c r="L43" s="297" t="str">
        <f>IF(ISBLANK($F43)=FALSE,IF(I43="","No","Yes"),IF($S43=TRUE,"NA",""))</f>
        <v/>
      </c>
      <c r="M43" s="496"/>
      <c r="N43" s="496"/>
      <c r="O43" s="496"/>
      <c r="P43" s="538" t="s">
        <v>242</v>
      </c>
      <c r="Q43" s="538" t="s">
        <v>242</v>
      </c>
      <c r="R43" s="538"/>
      <c r="S43" s="846" t="b">
        <v>0</v>
      </c>
      <c r="T43" s="496"/>
      <c r="U43" s="538"/>
      <c r="V43" s="538"/>
      <c r="W43" s="538"/>
      <c r="X43" s="538"/>
      <c r="Y43" s="538"/>
      <c r="Z43" s="538"/>
      <c r="AA43" s="538"/>
      <c r="AB43" s="538"/>
      <c r="AC43" s="538"/>
      <c r="AD43" s="538"/>
      <c r="AE43" s="496"/>
      <c r="AF43" s="496"/>
      <c r="AG43" s="496"/>
      <c r="AH43" s="496"/>
      <c r="AI43" s="496"/>
      <c r="AJ43" s="496"/>
      <c r="AK43" s="496"/>
      <c r="AL43" s="496"/>
      <c r="AM43" s="496"/>
      <c r="AN43" s="496"/>
      <c r="AO43" s="496"/>
      <c r="AP43" s="496"/>
      <c r="AQ43" s="496"/>
      <c r="AR43" s="496"/>
      <c r="AS43" s="496"/>
      <c r="AT43" s="496"/>
      <c r="AU43" s="496"/>
      <c r="AV43" s="496"/>
      <c r="AW43" s="496"/>
      <c r="AX43" s="496"/>
      <c r="AY43" s="496"/>
    </row>
    <row r="44" spans="1:51" ht="45" customHeight="1">
      <c r="A44" s="496"/>
      <c r="B44" s="317" t="s">
        <v>1144</v>
      </c>
      <c r="C44" s="318" t="str">
        <f>IF($C$5=$O$3,"Mould Prevention",IF($C$5=$O$5,"Indoor Plants","Air Distribution System (December 2013)"))</f>
        <v>Air Distribution System (December 2013)</v>
      </c>
      <c r="D44" s="318"/>
      <c r="E44" s="319">
        <f>IF($C$5=$O$5,2,1)</f>
        <v>1</v>
      </c>
      <c r="F44" s="320"/>
      <c r="G44" s="328"/>
      <c r="H44" s="233"/>
      <c r="I44" s="233"/>
      <c r="J44" s="321"/>
      <c r="K44" s="297" t="str">
        <f>IF(ISBLANK($F44)=FALSE,IF(H44="","No","Yes"),"")</f>
        <v/>
      </c>
      <c r="L44" s="297" t="str">
        <f>IF(ISBLANK($F44)=FALSE,IF(I44="","No","Yes"),"")</f>
        <v/>
      </c>
      <c r="M44" s="496"/>
      <c r="N44" s="496"/>
      <c r="O44" s="496"/>
      <c r="P44" s="538"/>
      <c r="Q44" s="538"/>
      <c r="R44" s="538"/>
      <c r="S44" s="846"/>
      <c r="T44" s="496"/>
      <c r="U44" s="538"/>
      <c r="V44" s="538"/>
      <c r="W44" s="538"/>
      <c r="X44" s="538"/>
      <c r="Y44" s="538"/>
      <c r="Z44" s="538"/>
      <c r="AA44" s="538"/>
      <c r="AB44" s="538"/>
      <c r="AC44" s="538"/>
      <c r="AD44" s="538"/>
      <c r="AE44" s="496"/>
      <c r="AF44" s="496"/>
      <c r="AG44" s="496"/>
      <c r="AH44" s="496"/>
      <c r="AI44" s="496"/>
      <c r="AJ44" s="496"/>
      <c r="AK44" s="496"/>
      <c r="AL44" s="496"/>
      <c r="AM44" s="496"/>
      <c r="AN44" s="496"/>
      <c r="AO44" s="496"/>
      <c r="AP44" s="496"/>
      <c r="AQ44" s="496"/>
      <c r="AR44" s="496"/>
      <c r="AS44" s="496"/>
      <c r="AT44" s="496"/>
      <c r="AU44" s="496"/>
      <c r="AV44" s="496"/>
      <c r="AW44" s="496"/>
      <c r="AX44" s="496"/>
      <c r="AY44" s="496"/>
    </row>
    <row r="45" spans="1:51" ht="45" customHeight="1">
      <c r="A45" s="496"/>
      <c r="B45" s="317" t="str">
        <f>IF($C$5=$O$5,"","IEQ-16")</f>
        <v>IEQ-16</v>
      </c>
      <c r="C45" s="318" t="str">
        <f>IF($C$5=$O$5,"","Tenant Exhaust Riser")</f>
        <v>Tenant Exhaust Riser</v>
      </c>
      <c r="D45" s="318" t="str">
        <f>IF($C$5=$O$5,"-","")</f>
        <v/>
      </c>
      <c r="E45" s="319">
        <f>IF($C$5=$O$5,0,1)</f>
        <v>1</v>
      </c>
      <c r="F45" s="320"/>
      <c r="G45" s="328"/>
      <c r="H45" s="233"/>
      <c r="I45" s="233"/>
      <c r="J45" s="321"/>
      <c r="K45" s="297" t="str">
        <f>IF(ISBLANK($F45)=FALSE,IF(H45="","No","Yes"),"")</f>
        <v/>
      </c>
      <c r="L45" s="297" t="str">
        <f>IF(ISBLANK($F45)=FALSE,IF(I45="","No","Yes"),"")</f>
        <v/>
      </c>
      <c r="M45" s="496"/>
      <c r="N45" s="496"/>
      <c r="O45" s="496"/>
      <c r="P45" s="538"/>
      <c r="Q45" s="538"/>
      <c r="R45" s="538"/>
      <c r="S45" s="846"/>
      <c r="T45" s="496"/>
      <c r="U45" s="538"/>
      <c r="V45" s="538"/>
      <c r="W45" s="538"/>
      <c r="X45" s="538"/>
      <c r="Y45" s="538"/>
      <c r="Z45" s="538"/>
      <c r="AA45" s="538"/>
      <c r="AB45" s="538"/>
      <c r="AC45" s="538"/>
      <c r="AD45" s="538"/>
      <c r="AE45" s="496"/>
      <c r="AF45" s="496"/>
      <c r="AG45" s="496"/>
      <c r="AH45" s="496"/>
      <c r="AI45" s="496"/>
      <c r="AJ45" s="496"/>
      <c r="AK45" s="496"/>
      <c r="AL45" s="496"/>
      <c r="AM45" s="496"/>
      <c r="AN45" s="496"/>
      <c r="AO45" s="496"/>
      <c r="AP45" s="496"/>
      <c r="AQ45" s="496"/>
      <c r="AR45" s="496"/>
      <c r="AS45" s="496"/>
      <c r="AT45" s="496"/>
      <c r="AU45" s="496"/>
      <c r="AV45" s="496"/>
      <c r="AW45" s="496"/>
      <c r="AX45" s="496"/>
      <c r="AY45" s="496"/>
    </row>
    <row r="46" spans="1:51" ht="45" customHeight="1">
      <c r="A46" s="496"/>
      <c r="B46" s="176" t="s">
        <v>963</v>
      </c>
      <c r="C46" s="93"/>
      <c r="D46" s="322"/>
      <c r="E46" s="85">
        <f>SUM(E22:E45)</f>
        <v>27</v>
      </c>
      <c r="F46" s="216" t="str">
        <f>IFERROR(SUM(F22:F45)/E46*E21*100,"")</f>
        <v/>
      </c>
      <c r="G46" s="210"/>
      <c r="H46" s="323"/>
      <c r="I46" s="323"/>
      <c r="J46" s="324"/>
      <c r="K46" s="325"/>
      <c r="L46" s="325"/>
      <c r="M46" s="496"/>
      <c r="N46" s="496"/>
      <c r="O46" s="496"/>
      <c r="P46" s="538"/>
      <c r="Q46" s="538"/>
      <c r="R46" s="538"/>
      <c r="S46" s="846"/>
      <c r="T46" s="496"/>
      <c r="U46" s="538"/>
      <c r="V46" s="538"/>
      <c r="W46" s="538"/>
      <c r="X46" s="538"/>
      <c r="Y46" s="538"/>
      <c r="Z46" s="538"/>
      <c r="AA46" s="538"/>
      <c r="AB46" s="538"/>
      <c r="AC46" s="538"/>
      <c r="AD46" s="538"/>
      <c r="AE46" s="496"/>
      <c r="AF46" s="496"/>
      <c r="AG46" s="496"/>
      <c r="AH46" s="496"/>
      <c r="AI46" s="496"/>
      <c r="AJ46" s="496"/>
      <c r="AK46" s="496"/>
      <c r="AL46" s="496"/>
      <c r="AM46" s="496"/>
      <c r="AN46" s="496"/>
      <c r="AO46" s="496"/>
      <c r="AP46" s="496"/>
      <c r="AQ46" s="496"/>
      <c r="AR46" s="496"/>
      <c r="AS46" s="496"/>
      <c r="AT46" s="496"/>
      <c r="AU46" s="496"/>
      <c r="AV46" s="496"/>
      <c r="AW46" s="496"/>
      <c r="AX46" s="496"/>
      <c r="AY46" s="496"/>
    </row>
    <row r="47" spans="1:51" ht="45" customHeight="1">
      <c r="A47" s="247"/>
      <c r="B47" s="222"/>
      <c r="C47" s="326"/>
      <c r="D47" s="327"/>
      <c r="E47" s="196"/>
      <c r="F47" s="32"/>
      <c r="G47" s="210"/>
      <c r="H47" s="225"/>
      <c r="I47" s="225"/>
      <c r="J47" s="210"/>
      <c r="K47" s="32"/>
      <c r="L47" s="32"/>
      <c r="M47" s="496"/>
      <c r="N47" s="496"/>
      <c r="O47" s="496"/>
      <c r="P47" s="538"/>
      <c r="Q47" s="538"/>
      <c r="R47" s="538"/>
      <c r="S47" s="846"/>
      <c r="T47" s="496"/>
      <c r="U47" s="538"/>
      <c r="V47" s="538"/>
      <c r="W47" s="538"/>
      <c r="X47" s="538"/>
      <c r="Y47" s="538"/>
      <c r="Z47" s="538"/>
      <c r="AA47" s="538"/>
      <c r="AB47" s="538"/>
      <c r="AC47" s="538"/>
      <c r="AD47" s="538"/>
      <c r="AE47" s="496"/>
      <c r="AF47" s="496"/>
      <c r="AG47" s="496"/>
      <c r="AH47" s="496"/>
      <c r="AI47" s="496"/>
      <c r="AJ47" s="496"/>
      <c r="AK47" s="496"/>
      <c r="AL47" s="496"/>
      <c r="AM47" s="496"/>
      <c r="AN47" s="496"/>
      <c r="AO47" s="496"/>
      <c r="AP47" s="496"/>
      <c r="AQ47" s="496"/>
      <c r="AR47" s="496"/>
      <c r="AS47" s="496"/>
      <c r="AT47" s="496"/>
      <c r="AU47" s="496"/>
      <c r="AV47" s="496"/>
      <c r="AW47" s="496"/>
      <c r="AX47" s="496"/>
      <c r="AY47" s="496"/>
    </row>
    <row r="48" spans="1:51" s="247" customFormat="1" ht="45" customHeight="1">
      <c r="A48" s="496"/>
      <c r="B48" s="311" t="s">
        <v>335</v>
      </c>
      <c r="C48" s="312"/>
      <c r="D48" s="313" t="s">
        <v>1089</v>
      </c>
      <c r="E48" s="314" t="str">
        <f>IFERROR(VLOOKUP($F$2,$U$3:$AC$10,4,FALSE),"")</f>
        <v/>
      </c>
      <c r="F48" s="315"/>
      <c r="G48" s="210"/>
      <c r="H48" s="316"/>
      <c r="I48" s="316"/>
      <c r="J48" s="316"/>
      <c r="K48" s="316"/>
      <c r="L48" s="316"/>
      <c r="M48" s="496"/>
      <c r="N48" s="496"/>
      <c r="O48" s="496"/>
      <c r="P48" s="538"/>
      <c r="Q48" s="538"/>
      <c r="R48" s="538"/>
      <c r="S48" s="846"/>
      <c r="T48" s="496"/>
      <c r="U48" s="538"/>
      <c r="V48" s="538"/>
      <c r="W48" s="538"/>
      <c r="X48" s="538"/>
      <c r="Y48" s="538"/>
      <c r="Z48" s="538"/>
      <c r="AA48" s="538"/>
      <c r="AB48" s="538"/>
      <c r="AC48" s="538"/>
      <c r="AD48" s="538"/>
      <c r="AE48" s="496"/>
      <c r="AF48" s="496"/>
      <c r="AG48" s="496"/>
      <c r="AH48" s="496"/>
      <c r="AI48" s="496"/>
      <c r="AJ48" s="496"/>
      <c r="AK48" s="496"/>
      <c r="AL48" s="496"/>
      <c r="AM48" s="496"/>
      <c r="AN48" s="496"/>
      <c r="AO48" s="496"/>
      <c r="AP48" s="496"/>
      <c r="AQ48" s="496"/>
      <c r="AR48" s="496"/>
      <c r="AS48" s="496"/>
      <c r="AT48" s="496"/>
      <c r="AU48" s="496"/>
      <c r="AV48" s="496"/>
      <c r="AW48" s="496"/>
      <c r="AX48" s="496"/>
      <c r="AY48" s="496"/>
    </row>
    <row r="49" spans="1:51" ht="45" customHeight="1">
      <c r="A49" s="496"/>
      <c r="B49" s="317" t="str">
        <f>IF(OR($C$5=$O$3,$C$5=$O$5),"ENE-1","ENE")</f>
        <v>ENE</v>
      </c>
      <c r="C49" s="318" t="str">
        <f>IF($C$5=$O$3,"Energy (Conditional Requirement)",IF($C$5=$O$5,"Energy Efficiency (Conditional Requirement)","Conditional Requirement"))</f>
        <v>Conditional Requirement</v>
      </c>
      <c r="D49" s="318"/>
      <c r="E49" s="319" t="s">
        <v>264</v>
      </c>
      <c r="F49" s="320"/>
      <c r="G49" s="328"/>
      <c r="H49" s="233"/>
      <c r="I49" s="233"/>
      <c r="J49" s="321"/>
      <c r="K49" s="297" t="str">
        <f>IF(OR(ISBLANK($F49)=FALSE,$S49=TRUE),IF(H49="","No","Yes"),"")</f>
        <v/>
      </c>
      <c r="L49" s="297" t="str">
        <f>IF(ISBLANK($F49)=FALSE,IF(I49="","No","Yes"),IF($S49=TRUE,"Yes",""))</f>
        <v/>
      </c>
      <c r="M49" s="496"/>
      <c r="N49" s="496"/>
      <c r="O49" s="496"/>
      <c r="P49" s="538"/>
      <c r="Q49" s="538"/>
      <c r="R49" s="538"/>
      <c r="S49" s="846"/>
      <c r="T49" s="496"/>
      <c r="U49" s="538"/>
      <c r="V49" s="538"/>
      <c r="W49" s="538"/>
      <c r="X49" s="538"/>
      <c r="Y49" s="538"/>
      <c r="Z49" s="538"/>
      <c r="AA49" s="538"/>
      <c r="AB49" s="538"/>
      <c r="AC49" s="538"/>
      <c r="AD49" s="538"/>
      <c r="AE49" s="496"/>
      <c r="AF49" s="496"/>
      <c r="AG49" s="496"/>
      <c r="AH49" s="496"/>
      <c r="AI49" s="496"/>
      <c r="AJ49" s="496"/>
      <c r="AK49" s="496"/>
      <c r="AL49" s="496"/>
      <c r="AM49" s="496"/>
      <c r="AN49" s="496"/>
      <c r="AO49" s="496"/>
      <c r="AP49" s="496"/>
      <c r="AQ49" s="496"/>
      <c r="AR49" s="496"/>
      <c r="AS49" s="496"/>
      <c r="AT49" s="496"/>
      <c r="AU49" s="496"/>
      <c r="AV49" s="496"/>
      <c r="AW49" s="496"/>
      <c r="AX49" s="496"/>
      <c r="AY49" s="496"/>
    </row>
    <row r="50" spans="1:51" ht="45" customHeight="1">
      <c r="A50" s="496"/>
      <c r="B50" s="1458" t="str">
        <f>IF(OR($C$5=$O$3,$C$5=$O$5),"ENE-2","ENE-1")</f>
        <v>ENE-1</v>
      </c>
      <c r="C50" s="1460" t="str">
        <f>IF($C$5=$O$3,"Energy Improvement",IF($C$5=$O$5,"Energy Improvements","Greenhouse Gas Emissions (December 2013)"))</f>
        <v>Greenhouse Gas Emissions (December 2013)</v>
      </c>
      <c r="D50" s="318" t="str">
        <f>IF($C$5=$O$3,"Improvement of Energy Efficiency","")</f>
        <v/>
      </c>
      <c r="E50" s="319">
        <f>IF($C$5=$O$3,15,IF($C$5=$O$5,12,20))</f>
        <v>20</v>
      </c>
      <c r="F50" s="320"/>
      <c r="G50" s="328"/>
      <c r="H50" s="233"/>
      <c r="I50" s="233"/>
      <c r="J50" s="321"/>
      <c r="K50" s="297" t="str">
        <f t="shared" ref="K50:K58" si="9">IF(ISBLANK($F50)=FALSE,IF(H50="","No","Yes"),"")</f>
        <v/>
      </c>
      <c r="L50" s="297" t="str">
        <f t="shared" ref="L50:L58" si="10">IF(ISBLANK($F50)=FALSE,IF(I50="","No","Yes"),"")</f>
        <v/>
      </c>
      <c r="M50" s="496"/>
      <c r="N50" s="496"/>
      <c r="O50" s="496"/>
      <c r="P50" s="538"/>
      <c r="Q50" s="538"/>
      <c r="R50" s="538"/>
      <c r="S50" s="846"/>
      <c r="T50" s="496"/>
      <c r="U50" s="538"/>
      <c r="V50" s="538"/>
      <c r="W50" s="538"/>
      <c r="X50" s="538"/>
      <c r="Y50" s="538"/>
      <c r="Z50" s="538"/>
      <c r="AA50" s="538"/>
      <c r="AB50" s="538"/>
      <c r="AC50" s="538"/>
      <c r="AD50" s="538"/>
      <c r="AE50" s="496"/>
      <c r="AF50" s="496"/>
      <c r="AG50" s="496"/>
      <c r="AH50" s="496"/>
      <c r="AI50" s="496"/>
      <c r="AJ50" s="496"/>
      <c r="AK50" s="496"/>
      <c r="AL50" s="496"/>
      <c r="AM50" s="496"/>
      <c r="AN50" s="496"/>
      <c r="AO50" s="496"/>
      <c r="AP50" s="496"/>
      <c r="AQ50" s="496"/>
      <c r="AR50" s="496"/>
      <c r="AS50" s="496"/>
      <c r="AT50" s="496"/>
      <c r="AU50" s="496"/>
      <c r="AV50" s="496"/>
      <c r="AW50" s="496"/>
      <c r="AX50" s="496"/>
      <c r="AY50" s="496"/>
    </row>
    <row r="51" spans="1:51" ht="45" customHeight="1">
      <c r="A51" s="496"/>
      <c r="B51" s="1459"/>
      <c r="C51" s="1461"/>
      <c r="D51" s="318" t="str">
        <f>IF($C$5=$O$3,"Car Parking Included in ABGR","-")</f>
        <v>-</v>
      </c>
      <c r="E51" s="319">
        <f>IF($C$5=$O$3,"-",0)</f>
        <v>0</v>
      </c>
      <c r="F51" s="320"/>
      <c r="G51" s="328"/>
      <c r="H51" s="233"/>
      <c r="I51" s="233"/>
      <c r="J51" s="321"/>
      <c r="K51" s="297" t="str">
        <f>IF(OR(ISBLANK($F51)=FALSE,$S51=TRUE),IF(H51="","No","Yes"),"")</f>
        <v/>
      </c>
      <c r="L51" s="297" t="str">
        <f>IF(ISBLANK($F51)=FALSE,IF(I51="","No","Yes"),IF($S51=TRUE,"NA",""))</f>
        <v/>
      </c>
      <c r="M51" s="496"/>
      <c r="N51" s="496"/>
      <c r="O51" s="496"/>
      <c r="P51" s="538" t="s">
        <v>242</v>
      </c>
      <c r="Q51" s="538"/>
      <c r="R51" s="538"/>
      <c r="S51" s="846" t="b">
        <v>0</v>
      </c>
      <c r="T51" s="496"/>
      <c r="U51" s="538"/>
      <c r="V51" s="538"/>
      <c r="W51" s="538"/>
      <c r="X51" s="538"/>
      <c r="Y51" s="538"/>
      <c r="Z51" s="538"/>
      <c r="AA51" s="538"/>
      <c r="AB51" s="538"/>
      <c r="AC51" s="538"/>
      <c r="AD51" s="538"/>
      <c r="AE51" s="496"/>
      <c r="AF51" s="496"/>
      <c r="AG51" s="496"/>
      <c r="AH51" s="496"/>
      <c r="AI51" s="496"/>
      <c r="AJ51" s="496"/>
      <c r="AK51" s="496"/>
      <c r="AL51" s="496"/>
      <c r="AM51" s="496"/>
      <c r="AN51" s="496"/>
      <c r="AO51" s="496"/>
      <c r="AP51" s="496"/>
      <c r="AQ51" s="496"/>
      <c r="AR51" s="496"/>
      <c r="AS51" s="496"/>
      <c r="AT51" s="496"/>
      <c r="AU51" s="496"/>
      <c r="AV51" s="496"/>
      <c r="AW51" s="496"/>
      <c r="AX51" s="496"/>
      <c r="AY51" s="496"/>
    </row>
    <row r="52" spans="1:51" ht="45" customHeight="1">
      <c r="A52" s="496"/>
      <c r="B52" s="1458" t="str">
        <f>IF(OR($C$5=$O$3,$C$5=$O$5),"ENE-3","ENE-2")</f>
        <v>ENE-2</v>
      </c>
      <c r="C52" s="1460" t="str">
        <f>IF(OR($C$5=$O$3,$C$5=$O$5),"Electrical Sub-metering","Energy Sub-metering")</f>
        <v>Energy Sub-metering</v>
      </c>
      <c r="D52" s="318" t="str">
        <f>IF($C$5=$O$3,"",IF($C$5=$O$4,"Metering and Monitoring of Substantive Energy Uses","Separate Sub-metering for Lighting and Small Power Consumption"))</f>
        <v>Separate Sub-metering for Lighting and Small Power Consumption</v>
      </c>
      <c r="E52" s="319">
        <v>1</v>
      </c>
      <c r="F52" s="320"/>
      <c r="G52" s="328"/>
      <c r="H52" s="233"/>
      <c r="I52" s="233"/>
      <c r="J52" s="321"/>
      <c r="K52" s="297" t="str">
        <f t="shared" si="9"/>
        <v/>
      </c>
      <c r="L52" s="297" t="str">
        <f t="shared" si="10"/>
        <v/>
      </c>
      <c r="M52" s="496"/>
      <c r="N52" s="496"/>
      <c r="O52" s="496"/>
      <c r="P52" s="538"/>
      <c r="Q52" s="538"/>
      <c r="R52" s="538"/>
      <c r="S52" s="846"/>
      <c r="T52" s="496"/>
      <c r="U52" s="538"/>
      <c r="V52" s="538"/>
      <c r="W52" s="538"/>
      <c r="X52" s="538"/>
      <c r="Y52" s="538"/>
      <c r="Z52" s="538"/>
      <c r="AA52" s="538"/>
      <c r="AB52" s="538"/>
      <c r="AC52" s="538"/>
      <c r="AD52" s="538"/>
      <c r="AE52" s="496"/>
      <c r="AF52" s="496"/>
      <c r="AG52" s="496"/>
      <c r="AH52" s="496"/>
      <c r="AI52" s="496"/>
      <c r="AJ52" s="496"/>
      <c r="AK52" s="496"/>
      <c r="AL52" s="496"/>
      <c r="AM52" s="496"/>
      <c r="AN52" s="496"/>
      <c r="AO52" s="496"/>
      <c r="AP52" s="496"/>
      <c r="AQ52" s="496"/>
      <c r="AR52" s="496"/>
      <c r="AS52" s="496"/>
      <c r="AT52" s="496"/>
      <c r="AU52" s="496"/>
      <c r="AV52" s="496"/>
      <c r="AW52" s="496"/>
      <c r="AX52" s="496"/>
      <c r="AY52" s="496"/>
    </row>
    <row r="53" spans="1:51" ht="45" customHeight="1">
      <c r="A53" s="247"/>
      <c r="B53" s="1459"/>
      <c r="C53" s="1461"/>
      <c r="D53" s="318" t="str">
        <f>IF($C$5=$O$3,"-",IF($C$5=$O$4,"Metering and Monitoring of Lighting and Power Separetly","Sub-metering for Substantive Energy Use"))</f>
        <v>Sub-metering for Substantive Energy Use</v>
      </c>
      <c r="E53" s="319">
        <f>IF($C$5=$O$3,0,1)</f>
        <v>1</v>
      </c>
      <c r="F53" s="320"/>
      <c r="G53" s="328"/>
      <c r="H53" s="233"/>
      <c r="I53" s="233"/>
      <c r="J53" s="321"/>
      <c r="K53" s="297" t="str">
        <f>IF(OR(ISBLANK($F53)=FALSE,$S53=TRUE),IF(H53="","No","Yes"),"")</f>
        <v/>
      </c>
      <c r="L53" s="297" t="str">
        <f>IF(ISBLANK($F53)=FALSE,IF(I53="","No","Yes"),IF($S53=TRUE,"NA",""))</f>
        <v/>
      </c>
      <c r="M53" s="496"/>
      <c r="N53" s="496"/>
      <c r="O53" s="496"/>
      <c r="P53" s="538"/>
      <c r="Q53" s="538"/>
      <c r="R53" s="538" t="s">
        <v>242</v>
      </c>
      <c r="S53" s="846" t="b">
        <v>0</v>
      </c>
      <c r="T53" s="496"/>
      <c r="U53" s="538"/>
      <c r="V53" s="538"/>
      <c r="W53" s="538"/>
      <c r="X53" s="538"/>
      <c r="Y53" s="538"/>
      <c r="Z53" s="538"/>
      <c r="AA53" s="538"/>
      <c r="AB53" s="538"/>
      <c r="AC53" s="538"/>
      <c r="AD53" s="538"/>
      <c r="AE53" s="496"/>
      <c r="AF53" s="496"/>
      <c r="AG53" s="496"/>
      <c r="AH53" s="496"/>
      <c r="AI53" s="496"/>
      <c r="AJ53" s="496"/>
      <c r="AK53" s="496"/>
      <c r="AL53" s="496"/>
      <c r="AM53" s="496"/>
      <c r="AN53" s="496"/>
      <c r="AO53" s="496"/>
      <c r="AP53" s="496"/>
      <c r="AQ53" s="496"/>
      <c r="AR53" s="496"/>
      <c r="AS53" s="496"/>
      <c r="AT53" s="496"/>
      <c r="AU53" s="496"/>
      <c r="AV53" s="496"/>
      <c r="AW53" s="496"/>
      <c r="AX53" s="496"/>
      <c r="AY53" s="496"/>
    </row>
    <row r="54" spans="1:51" s="247" customFormat="1" ht="45" customHeight="1">
      <c r="A54" s="496"/>
      <c r="B54" s="1458" t="str">
        <f>IF(OR($C$5=$O$3,$C$5=$O$5),"ENE-4","ENE-3")</f>
        <v>ENE-3</v>
      </c>
      <c r="C54" s="1460" t="str">
        <f>IF($C$5=$O$3,"Tenancy Sub-metering",IF($C$5=$O$5,"Office Lighting Zoning","Lighting Power Density"))</f>
        <v>Lighting Power Density</v>
      </c>
      <c r="D54" s="318" t="str">
        <f>IF($C$5=$O$5,"Lighting Zoning","")</f>
        <v/>
      </c>
      <c r="E54" s="319">
        <f>IF($C$5=$O$4,3,1)</f>
        <v>1</v>
      </c>
      <c r="F54" s="320"/>
      <c r="G54" s="328"/>
      <c r="H54" s="233"/>
      <c r="I54" s="233"/>
      <c r="J54" s="321"/>
      <c r="K54" s="297" t="str">
        <f t="shared" si="9"/>
        <v/>
      </c>
      <c r="L54" s="297" t="str">
        <f t="shared" si="10"/>
        <v/>
      </c>
      <c r="M54" s="496"/>
      <c r="N54" s="496"/>
      <c r="O54" s="496"/>
      <c r="P54" s="538"/>
      <c r="Q54" s="538"/>
      <c r="R54" s="538"/>
      <c r="S54" s="846"/>
      <c r="T54" s="496"/>
      <c r="U54" s="538"/>
      <c r="V54" s="538"/>
      <c r="W54" s="538"/>
      <c r="X54" s="538"/>
      <c r="Y54" s="538"/>
      <c r="Z54" s="538"/>
      <c r="AA54" s="538"/>
      <c r="AB54" s="538"/>
      <c r="AC54" s="538"/>
      <c r="AD54" s="538"/>
      <c r="AE54" s="496"/>
      <c r="AF54" s="496"/>
      <c r="AG54" s="496"/>
      <c r="AH54" s="496"/>
      <c r="AI54" s="496"/>
      <c r="AJ54" s="496"/>
      <c r="AK54" s="496"/>
      <c r="AL54" s="496"/>
      <c r="AM54" s="496"/>
      <c r="AN54" s="496"/>
      <c r="AO54" s="496"/>
      <c r="AP54" s="496"/>
      <c r="AQ54" s="496"/>
      <c r="AR54" s="496"/>
      <c r="AS54" s="496"/>
      <c r="AT54" s="496"/>
      <c r="AU54" s="496"/>
      <c r="AV54" s="496"/>
      <c r="AW54" s="496"/>
      <c r="AX54" s="496"/>
      <c r="AY54" s="496"/>
    </row>
    <row r="55" spans="1:51" ht="45" customHeight="1">
      <c r="A55" s="496"/>
      <c r="B55" s="1459"/>
      <c r="C55" s="1461"/>
      <c r="D55" s="318" t="str">
        <f>IF($C$5=$O$5,"Adresssble Lighting System","-")</f>
        <v>-</v>
      </c>
      <c r="E55" s="319">
        <f>IF($C$5=$O$5,1,0)</f>
        <v>0</v>
      </c>
      <c r="F55" s="320"/>
      <c r="G55" s="328"/>
      <c r="H55" s="233"/>
      <c r="I55" s="233"/>
      <c r="J55" s="321"/>
      <c r="K55" s="297" t="str">
        <f t="shared" si="9"/>
        <v/>
      </c>
      <c r="L55" s="297" t="str">
        <f t="shared" si="10"/>
        <v/>
      </c>
      <c r="M55" s="496"/>
      <c r="N55" s="496"/>
      <c r="O55" s="496"/>
      <c r="P55" s="538"/>
      <c r="Q55" s="538"/>
      <c r="R55" s="538"/>
      <c r="S55" s="846"/>
      <c r="T55" s="496"/>
      <c r="U55" s="538"/>
      <c r="V55" s="538"/>
      <c r="W55" s="538"/>
      <c r="X55" s="538"/>
      <c r="Y55" s="538"/>
      <c r="Z55" s="538"/>
      <c r="AA55" s="538"/>
      <c r="AB55" s="538"/>
      <c r="AC55" s="538"/>
      <c r="AD55" s="538"/>
      <c r="AE55" s="496"/>
      <c r="AF55" s="496"/>
      <c r="AG55" s="496"/>
      <c r="AH55" s="496"/>
      <c r="AI55" s="496"/>
      <c r="AJ55" s="496"/>
      <c r="AK55" s="496"/>
      <c r="AL55" s="496"/>
      <c r="AM55" s="496"/>
      <c r="AN55" s="496"/>
      <c r="AO55" s="496"/>
      <c r="AP55" s="496"/>
      <c r="AQ55" s="496"/>
      <c r="AR55" s="496"/>
      <c r="AS55" s="496"/>
      <c r="AT55" s="496"/>
      <c r="AU55" s="496"/>
      <c r="AV55" s="496"/>
      <c r="AW55" s="496"/>
      <c r="AX55" s="496"/>
      <c r="AY55" s="496"/>
    </row>
    <row r="56" spans="1:51" ht="45" customHeight="1">
      <c r="A56" s="496"/>
      <c r="B56" s="1458" t="str">
        <f>IF($C$5=$O$3,"ENE-5",IF($C$5=$O$5,"","ENE-4"))</f>
        <v>ENE-4</v>
      </c>
      <c r="C56" s="1460" t="str">
        <f>IF($C$5=$O$3,"Office Lighting Power Density",IF($C$5=$O$5,"","Lighting Zoning"))</f>
        <v>Lighting Zoning</v>
      </c>
      <c r="D56" s="318" t="str">
        <f>IF($C$5=$O$3,"",IF($C$5=$O$4,"Lighting Zoning","-"))</f>
        <v>-</v>
      </c>
      <c r="E56" s="319">
        <f>IF($C$5=$O$3,4,IF($C$5=$O$4,1,0))</f>
        <v>0</v>
      </c>
      <c r="F56" s="320"/>
      <c r="G56" s="328"/>
      <c r="H56" s="233"/>
      <c r="I56" s="233"/>
      <c r="J56" s="321"/>
      <c r="K56" s="297" t="str">
        <f t="shared" si="9"/>
        <v/>
      </c>
      <c r="L56" s="297" t="str">
        <f t="shared" si="10"/>
        <v/>
      </c>
      <c r="M56" s="496"/>
      <c r="N56" s="496"/>
      <c r="O56" s="496"/>
      <c r="P56" s="538"/>
      <c r="Q56" s="538"/>
      <c r="R56" s="538"/>
      <c r="S56" s="846"/>
      <c r="T56" s="496"/>
      <c r="U56" s="538"/>
      <c r="V56" s="538"/>
      <c r="W56" s="538"/>
      <c r="X56" s="538"/>
      <c r="Y56" s="538"/>
      <c r="Z56" s="538"/>
      <c r="AA56" s="538"/>
      <c r="AB56" s="538"/>
      <c r="AC56" s="538"/>
      <c r="AD56" s="538"/>
      <c r="AE56" s="496"/>
      <c r="AF56" s="496"/>
      <c r="AG56" s="496"/>
      <c r="AH56" s="496"/>
      <c r="AI56" s="496"/>
      <c r="AJ56" s="496"/>
      <c r="AK56" s="496"/>
      <c r="AL56" s="496"/>
      <c r="AM56" s="496"/>
      <c r="AN56" s="496"/>
      <c r="AO56" s="496"/>
      <c r="AP56" s="496"/>
      <c r="AQ56" s="496"/>
      <c r="AR56" s="496"/>
      <c r="AS56" s="496"/>
      <c r="AT56" s="496"/>
      <c r="AU56" s="496"/>
      <c r="AV56" s="496"/>
      <c r="AW56" s="496"/>
      <c r="AX56" s="496"/>
      <c r="AY56" s="496"/>
    </row>
    <row r="57" spans="1:51" ht="45" customHeight="1">
      <c r="A57" s="496"/>
      <c r="B57" s="1459"/>
      <c r="C57" s="1461"/>
      <c r="D57" s="318" t="str">
        <f>IF($C$5=$O$4,"Addressible Lighting System","-")</f>
        <v>-</v>
      </c>
      <c r="E57" s="319">
        <f>IF($C$5=$O$4,1,0)</f>
        <v>0</v>
      </c>
      <c r="F57" s="320"/>
      <c r="G57" s="328"/>
      <c r="H57" s="233"/>
      <c r="I57" s="233"/>
      <c r="J57" s="321"/>
      <c r="K57" s="297" t="str">
        <f t="shared" si="9"/>
        <v/>
      </c>
      <c r="L57" s="297" t="str">
        <f t="shared" si="10"/>
        <v/>
      </c>
      <c r="M57" s="496"/>
      <c r="N57" s="496"/>
      <c r="O57" s="496"/>
      <c r="P57" s="538"/>
      <c r="Q57" s="538"/>
      <c r="R57" s="538"/>
      <c r="S57" s="846"/>
      <c r="T57" s="496"/>
      <c r="U57" s="538"/>
      <c r="V57" s="538"/>
      <c r="W57" s="538"/>
      <c r="X57" s="538"/>
      <c r="Y57" s="538"/>
      <c r="Z57" s="538"/>
      <c r="AA57" s="538"/>
      <c r="AB57" s="538"/>
      <c r="AC57" s="538"/>
      <c r="AD57" s="538"/>
      <c r="AE57" s="496"/>
      <c r="AF57" s="496"/>
      <c r="AG57" s="496"/>
      <c r="AH57" s="496"/>
      <c r="AI57" s="496"/>
      <c r="AJ57" s="496"/>
      <c r="AK57" s="496"/>
      <c r="AL57" s="496"/>
      <c r="AM57" s="496"/>
      <c r="AN57" s="496"/>
      <c r="AO57" s="496"/>
      <c r="AP57" s="496"/>
      <c r="AQ57" s="496"/>
      <c r="AR57" s="496"/>
      <c r="AS57" s="496"/>
      <c r="AT57" s="496"/>
      <c r="AU57" s="496"/>
      <c r="AV57" s="496"/>
      <c r="AW57" s="496"/>
      <c r="AX57" s="496"/>
      <c r="AY57" s="496"/>
    </row>
    <row r="58" spans="1:51" ht="45" customHeight="1">
      <c r="A58" s="496"/>
      <c r="B58" s="317" t="str">
        <f>IF($C$5=$O$3,"ENE-6",IF($C$5=$O$5,"","ENE-5"))</f>
        <v>ENE-5</v>
      </c>
      <c r="C58" s="318" t="str">
        <f>IF($C$5=$O$3,"Office Lighting Zoning",IF($C$5=$O$5,"","Peak Energy Demand Reduction"))</f>
        <v>Peak Energy Demand Reduction</v>
      </c>
      <c r="D58" s="318" t="str">
        <f>IF($C$5=O5,"-","")</f>
        <v/>
      </c>
      <c r="E58" s="319">
        <f>IF($C$5=$O$3,1,IF($C$5=$O$5,0,2))</f>
        <v>2</v>
      </c>
      <c r="F58" s="320"/>
      <c r="G58" s="328"/>
      <c r="H58" s="233"/>
      <c r="I58" s="233"/>
      <c r="J58" s="321"/>
      <c r="K58" s="297" t="str">
        <f t="shared" si="9"/>
        <v/>
      </c>
      <c r="L58" s="297" t="str">
        <f t="shared" si="10"/>
        <v/>
      </c>
      <c r="M58" s="496"/>
      <c r="N58" s="496"/>
      <c r="O58" s="496"/>
      <c r="P58" s="538"/>
      <c r="Q58" s="538"/>
      <c r="R58" s="538"/>
      <c r="S58" s="846"/>
      <c r="T58" s="496"/>
      <c r="U58" s="538"/>
      <c r="V58" s="538"/>
      <c r="W58" s="538"/>
      <c r="X58" s="538"/>
      <c r="Y58" s="538"/>
      <c r="Z58" s="538"/>
      <c r="AA58" s="538"/>
      <c r="AB58" s="538"/>
      <c r="AC58" s="538"/>
      <c r="AD58" s="538"/>
      <c r="AE58" s="496"/>
      <c r="AF58" s="496"/>
      <c r="AG58" s="496"/>
      <c r="AH58" s="496"/>
      <c r="AI58" s="496"/>
      <c r="AJ58" s="496"/>
      <c r="AK58" s="496"/>
      <c r="AL58" s="496"/>
      <c r="AM58" s="496"/>
      <c r="AN58" s="496"/>
      <c r="AO58" s="496"/>
      <c r="AP58" s="496"/>
      <c r="AQ58" s="496"/>
      <c r="AR58" s="496"/>
      <c r="AS58" s="496"/>
      <c r="AT58" s="496"/>
      <c r="AU58" s="496"/>
      <c r="AV58" s="496"/>
      <c r="AW58" s="496"/>
      <c r="AX58" s="496"/>
      <c r="AY58" s="496"/>
    </row>
    <row r="59" spans="1:51" ht="45" customHeight="1">
      <c r="A59" s="496"/>
      <c r="B59" s="317" t="str">
        <f>IF($C$5=$O$3,"ENE-7","")</f>
        <v/>
      </c>
      <c r="C59" s="318" t="str">
        <f>IF($C$5=$O$3,"Peak Energy Demand Reduction","")</f>
        <v/>
      </c>
      <c r="D59" s="318" t="str">
        <f>IF($C$5=$O$3,"","-")</f>
        <v>-</v>
      </c>
      <c r="E59" s="319">
        <f>IF($C$5=$O$3,2,0)</f>
        <v>0</v>
      </c>
      <c r="F59" s="320"/>
      <c r="G59" s="328"/>
      <c r="H59" s="233"/>
      <c r="I59" s="233"/>
      <c r="J59" s="321"/>
      <c r="K59" s="297" t="str">
        <f>IF(OR(ISBLANK($F59)=FALSE,$S59=TRUE),IF(H59="","No","Yes"),"")</f>
        <v/>
      </c>
      <c r="L59" s="297" t="str">
        <f>IF(ISBLANK($F59)=FALSE,IF(I59="","No","Yes"),IF($S59=TRUE,"Yes",""))</f>
        <v/>
      </c>
      <c r="M59" s="496"/>
      <c r="N59" s="496"/>
      <c r="O59" s="496"/>
      <c r="P59" s="538"/>
      <c r="Q59" s="538"/>
      <c r="R59" s="538"/>
      <c r="S59" s="846"/>
      <c r="T59" s="496"/>
      <c r="U59" s="538"/>
      <c r="V59" s="538"/>
      <c r="W59" s="538"/>
      <c r="X59" s="538"/>
      <c r="Y59" s="538"/>
      <c r="Z59" s="538"/>
      <c r="AA59" s="538"/>
      <c r="AB59" s="538"/>
      <c r="AC59" s="538"/>
      <c r="AD59" s="538"/>
      <c r="AE59" s="496"/>
      <c r="AF59" s="496"/>
      <c r="AG59" s="496"/>
      <c r="AH59" s="496"/>
      <c r="AI59" s="496"/>
      <c r="AJ59" s="496"/>
      <c r="AK59" s="496"/>
      <c r="AL59" s="496"/>
      <c r="AM59" s="496"/>
      <c r="AN59" s="496"/>
      <c r="AO59" s="496"/>
      <c r="AP59" s="496"/>
      <c r="AQ59" s="496"/>
      <c r="AR59" s="496"/>
      <c r="AS59" s="496"/>
      <c r="AT59" s="496"/>
      <c r="AU59" s="496"/>
      <c r="AV59" s="496"/>
      <c r="AW59" s="496"/>
      <c r="AX59" s="496"/>
      <c r="AY59" s="496"/>
    </row>
    <row r="60" spans="1:51" ht="45" customHeight="1">
      <c r="A60" s="496"/>
      <c r="B60" s="176" t="s">
        <v>963</v>
      </c>
      <c r="C60" s="93"/>
      <c r="D60" s="322"/>
      <c r="E60" s="85">
        <f>SUM(E49:E59)</f>
        <v>25</v>
      </c>
      <c r="F60" s="216" t="str">
        <f>IFERROR(SUM(F49:F59)/E60*E48*100,"")</f>
        <v/>
      </c>
      <c r="G60" s="210"/>
      <c r="H60" s="323"/>
      <c r="I60" s="323"/>
      <c r="J60" s="324"/>
      <c r="K60" s="325"/>
      <c r="L60" s="325"/>
      <c r="M60" s="496"/>
      <c r="N60" s="496"/>
      <c r="O60" s="496"/>
      <c r="P60" s="538"/>
      <c r="Q60" s="538"/>
      <c r="R60" s="538"/>
      <c r="S60" s="846"/>
      <c r="T60" s="496"/>
      <c r="U60" s="538"/>
      <c r="V60" s="538"/>
      <c r="W60" s="538"/>
      <c r="X60" s="538"/>
      <c r="Y60" s="538"/>
      <c r="Z60" s="538"/>
      <c r="AA60" s="538"/>
      <c r="AB60" s="538"/>
      <c r="AC60" s="538"/>
      <c r="AD60" s="538"/>
      <c r="AE60" s="496"/>
      <c r="AF60" s="496"/>
      <c r="AG60" s="496"/>
      <c r="AH60" s="496"/>
      <c r="AI60" s="496"/>
      <c r="AJ60" s="496"/>
      <c r="AK60" s="496"/>
      <c r="AL60" s="496"/>
      <c r="AM60" s="496"/>
      <c r="AN60" s="496"/>
      <c r="AO60" s="496"/>
      <c r="AP60" s="496"/>
      <c r="AQ60" s="496"/>
      <c r="AR60" s="496"/>
      <c r="AS60" s="496"/>
      <c r="AT60" s="496"/>
      <c r="AU60" s="496"/>
      <c r="AV60" s="496"/>
      <c r="AW60" s="496"/>
      <c r="AX60" s="496"/>
      <c r="AY60" s="496"/>
    </row>
    <row r="61" spans="1:51" ht="45" customHeight="1">
      <c r="A61" s="496"/>
      <c r="B61" s="222"/>
      <c r="C61" s="326"/>
      <c r="D61" s="327"/>
      <c r="E61" s="196"/>
      <c r="F61" s="32"/>
      <c r="G61" s="210"/>
      <c r="H61" s="225"/>
      <c r="I61" s="225"/>
      <c r="J61" s="210"/>
      <c r="K61" s="32"/>
      <c r="L61" s="32"/>
      <c r="M61" s="496"/>
      <c r="N61" s="496"/>
      <c r="O61" s="496"/>
      <c r="P61" s="538"/>
      <c r="Q61" s="538"/>
      <c r="R61" s="538"/>
      <c r="S61" s="846"/>
      <c r="T61" s="496"/>
      <c r="U61" s="538"/>
      <c r="V61" s="538"/>
      <c r="W61" s="538"/>
      <c r="X61" s="538"/>
      <c r="Y61" s="538"/>
      <c r="Z61" s="538"/>
      <c r="AA61" s="538"/>
      <c r="AB61" s="538"/>
      <c r="AC61" s="538"/>
      <c r="AD61" s="538"/>
      <c r="AE61" s="496"/>
      <c r="AF61" s="496"/>
      <c r="AG61" s="496"/>
      <c r="AH61" s="496"/>
      <c r="AI61" s="496"/>
      <c r="AJ61" s="496"/>
      <c r="AK61" s="496"/>
      <c r="AL61" s="496"/>
      <c r="AM61" s="496"/>
      <c r="AN61" s="496"/>
      <c r="AO61" s="496"/>
      <c r="AP61" s="496"/>
      <c r="AQ61" s="496"/>
      <c r="AR61" s="496"/>
      <c r="AS61" s="496"/>
      <c r="AT61" s="496"/>
      <c r="AU61" s="496"/>
      <c r="AV61" s="496"/>
      <c r="AW61" s="496"/>
      <c r="AX61" s="496"/>
      <c r="AY61" s="496"/>
    </row>
    <row r="62" spans="1:51" ht="45" customHeight="1">
      <c r="A62" s="496"/>
      <c r="B62" s="311" t="s">
        <v>345</v>
      </c>
      <c r="C62" s="312"/>
      <c r="D62" s="313" t="s">
        <v>1089</v>
      </c>
      <c r="E62" s="314" t="str">
        <f>IFERROR(VLOOKUP($F$2,$U$3:$AC$10,5,FALSE),"")</f>
        <v/>
      </c>
      <c r="F62" s="315"/>
      <c r="G62" s="210"/>
      <c r="H62" s="316"/>
      <c r="I62" s="316"/>
      <c r="J62" s="316"/>
      <c r="K62" s="316"/>
      <c r="L62" s="316"/>
      <c r="M62" s="496"/>
      <c r="N62" s="496"/>
      <c r="O62" s="496"/>
      <c r="P62" s="538"/>
      <c r="Q62" s="538"/>
      <c r="R62" s="538"/>
      <c r="S62" s="846"/>
      <c r="T62" s="496"/>
      <c r="U62" s="538"/>
      <c r="V62" s="538"/>
      <c r="W62" s="538"/>
      <c r="X62" s="538"/>
      <c r="Y62" s="538"/>
      <c r="Z62" s="538"/>
      <c r="AA62" s="538"/>
      <c r="AB62" s="538"/>
      <c r="AC62" s="538"/>
      <c r="AD62" s="538"/>
      <c r="AE62" s="496"/>
      <c r="AF62" s="496"/>
      <c r="AG62" s="496"/>
      <c r="AH62" s="496"/>
      <c r="AI62" s="496"/>
      <c r="AJ62" s="496"/>
      <c r="AK62" s="496"/>
      <c r="AL62" s="496"/>
      <c r="AM62" s="496"/>
      <c r="AN62" s="496"/>
      <c r="AO62" s="496"/>
      <c r="AP62" s="496"/>
      <c r="AQ62" s="496"/>
      <c r="AR62" s="496"/>
      <c r="AS62" s="496"/>
      <c r="AT62" s="496"/>
      <c r="AU62" s="496"/>
      <c r="AV62" s="496"/>
      <c r="AW62" s="496"/>
      <c r="AX62" s="496"/>
      <c r="AY62" s="496"/>
    </row>
    <row r="63" spans="1:51" ht="45" customHeight="1">
      <c r="A63" s="496"/>
      <c r="B63" s="317" t="s">
        <v>1164</v>
      </c>
      <c r="C63" s="318" t="str">
        <f>IF($C$5=$O$5,"Public Transport","Provision of Car Parking")</f>
        <v>Provision of Car Parking</v>
      </c>
      <c r="D63" s="318"/>
      <c r="E63" s="319">
        <f>IF($C$5=$O$5,5,2)</f>
        <v>2</v>
      </c>
      <c r="F63" s="320"/>
      <c r="G63" s="328"/>
      <c r="H63" s="233"/>
      <c r="I63" s="233"/>
      <c r="J63" s="321"/>
      <c r="K63" s="297" t="str">
        <f>IF(OR(ISBLANK($F63)=FALSE,$S63=TRUE),IF(H63="","No","Yes"),"")</f>
        <v/>
      </c>
      <c r="L63" s="297" t="str">
        <f>IF(ISBLANK($F63)=FALSE,IF(I63="","No","Yes"),IF($S63=TRUE,"NA",""))</f>
        <v/>
      </c>
      <c r="M63" s="496"/>
      <c r="N63" s="496"/>
      <c r="O63" s="496"/>
      <c r="P63" s="538" t="s">
        <v>242</v>
      </c>
      <c r="Q63" s="538" t="s">
        <v>242</v>
      </c>
      <c r="R63" s="538"/>
      <c r="S63" s="846" t="b">
        <v>0</v>
      </c>
      <c r="T63" s="496"/>
      <c r="U63" s="538"/>
      <c r="V63" s="538"/>
      <c r="W63" s="538"/>
      <c r="X63" s="538"/>
      <c r="Y63" s="538"/>
      <c r="Z63" s="538"/>
      <c r="AA63" s="538"/>
      <c r="AB63" s="538"/>
      <c r="AC63" s="538"/>
      <c r="AD63" s="538"/>
      <c r="AE63" s="496"/>
      <c r="AF63" s="496"/>
      <c r="AG63" s="496"/>
      <c r="AH63" s="496"/>
      <c r="AI63" s="496"/>
      <c r="AJ63" s="496"/>
      <c r="AK63" s="496"/>
      <c r="AL63" s="496"/>
      <c r="AM63" s="496"/>
      <c r="AN63" s="496"/>
      <c r="AO63" s="496"/>
      <c r="AP63" s="496"/>
      <c r="AQ63" s="496"/>
      <c r="AR63" s="496"/>
      <c r="AS63" s="496"/>
      <c r="AT63" s="496"/>
      <c r="AU63" s="496"/>
      <c r="AV63" s="496"/>
      <c r="AW63" s="496"/>
      <c r="AX63" s="496"/>
      <c r="AY63" s="496"/>
    </row>
    <row r="64" spans="1:51" ht="45" customHeight="1">
      <c r="A64" s="496"/>
      <c r="B64" s="317" t="s">
        <v>1166</v>
      </c>
      <c r="C64" s="318" t="str">
        <f>IF($C$5=$O$3,"Small Parking Spaces",IF($C$5=$O$5,"Car Parking","Fuel-Efficient Transport"))</f>
        <v>Fuel-Efficient Transport</v>
      </c>
      <c r="D64" s="318"/>
      <c r="E64" s="319">
        <f>IF($C$5=$O$5,2,1)</f>
        <v>1</v>
      </c>
      <c r="F64" s="320"/>
      <c r="G64" s="328"/>
      <c r="H64" s="233"/>
      <c r="I64" s="233"/>
      <c r="J64" s="321"/>
      <c r="K64" s="297" t="str">
        <f>IF(OR(ISBLANK($F64)=FALSE,$S64=TRUE),IF(H64="","No","Yes"),"")</f>
        <v/>
      </c>
      <c r="L64" s="297" t="str">
        <f>IF(ISBLANK($F64)=FALSE,IF(I64="","No","Yes"),IF($S64=TRUE,"NA",""))</f>
        <v/>
      </c>
      <c r="M64" s="496"/>
      <c r="N64" s="496"/>
      <c r="O64" s="496"/>
      <c r="P64" s="538" t="s">
        <v>242</v>
      </c>
      <c r="Q64" s="538" t="s">
        <v>242</v>
      </c>
      <c r="R64" s="538" t="s">
        <v>242</v>
      </c>
      <c r="S64" s="846" t="b">
        <v>0</v>
      </c>
      <c r="T64" s="496"/>
      <c r="U64" s="538"/>
      <c r="V64" s="538"/>
      <c r="W64" s="538"/>
      <c r="X64" s="538"/>
      <c r="Y64" s="538"/>
      <c r="Z64" s="538"/>
      <c r="AA64" s="538"/>
      <c r="AB64" s="538"/>
      <c r="AC64" s="538"/>
      <c r="AD64" s="538"/>
      <c r="AE64" s="496"/>
      <c r="AF64" s="496"/>
      <c r="AG64" s="496"/>
      <c r="AH64" s="496"/>
      <c r="AI64" s="496"/>
      <c r="AJ64" s="496"/>
      <c r="AK64" s="496"/>
      <c r="AL64" s="496"/>
      <c r="AM64" s="496"/>
      <c r="AN64" s="496"/>
      <c r="AO64" s="496"/>
      <c r="AP64" s="496"/>
      <c r="AQ64" s="496"/>
      <c r="AR64" s="496"/>
      <c r="AS64" s="496"/>
      <c r="AT64" s="496"/>
      <c r="AU64" s="496"/>
      <c r="AV64" s="496"/>
      <c r="AW64" s="496"/>
      <c r="AX64" s="496"/>
      <c r="AY64" s="496"/>
    </row>
    <row r="65" spans="1:19" ht="45" customHeight="1">
      <c r="A65" s="496"/>
      <c r="B65" s="1458" t="s">
        <v>1168</v>
      </c>
      <c r="C65" s="1460" t="s">
        <v>1169</v>
      </c>
      <c r="D65" s="318" t="str">
        <f>IF($C$5=$O$3,"Staff Bicycle Storage",IF($C$5=$O$4,"Staff Cyclist Facilities","Provision of Cyclist Facilities"))</f>
        <v>Provision of Cyclist Facilities</v>
      </c>
      <c r="E65" s="319">
        <v>2</v>
      </c>
      <c r="F65" s="320"/>
      <c r="G65" s="328"/>
      <c r="H65" s="233"/>
      <c r="I65" s="233"/>
      <c r="J65" s="321"/>
      <c r="K65" s="297" t="str">
        <f>IF(ISBLANK($F65)=FALSE,IF(H65="","No","Yes"),"")</f>
        <v/>
      </c>
      <c r="L65" s="297" t="str">
        <f>IF(ISBLANK($F65)=FALSE,IF(I65="","No","Yes"),"")</f>
        <v/>
      </c>
      <c r="M65" s="496"/>
      <c r="N65" s="496"/>
      <c r="O65" s="496"/>
      <c r="P65" s="538"/>
      <c r="Q65" s="538"/>
      <c r="R65" s="538"/>
      <c r="S65" s="846"/>
    </row>
    <row r="66" spans="1:19" ht="45" customHeight="1">
      <c r="A66" s="496"/>
      <c r="B66" s="1459"/>
      <c r="C66" s="1461"/>
      <c r="D66" s="318" t="str">
        <f>IF($C$5=$O$3,"Visitor Bicycle Storage",IF($C$5=$O$4,"Visitor Bicycle Parking","Tenant-Initiated Cyclist Faciliaites"))</f>
        <v>Tenant-Initiated Cyclist Faciliaites</v>
      </c>
      <c r="E66" s="319">
        <v>1</v>
      </c>
      <c r="F66" s="320"/>
      <c r="G66" s="328"/>
      <c r="H66" s="233"/>
      <c r="I66" s="233"/>
      <c r="J66" s="321"/>
      <c r="K66" s="297" t="str">
        <f>IF(OR(ISBLANK($F66)=FALSE,$S66=TRUE),IF(H66="","No","Yes"),"")</f>
        <v/>
      </c>
      <c r="L66" s="297" t="str">
        <f>IF(ISBLANK($F66)=FALSE,IF(I66="","No","Yes"),IF($S66=TRUE,"NA",""))</f>
        <v/>
      </c>
      <c r="M66" s="496"/>
      <c r="N66" s="496"/>
      <c r="O66" s="496"/>
      <c r="P66" s="538"/>
      <c r="Q66" s="538"/>
      <c r="R66" s="538" t="s">
        <v>242</v>
      </c>
      <c r="S66" s="846" t="b">
        <v>0</v>
      </c>
    </row>
    <row r="67" spans="1:19" ht="45" customHeight="1">
      <c r="A67" s="496"/>
      <c r="B67" s="317" t="str">
        <f>IF($C$5=$O$5,"","TRA-4")</f>
        <v>TRA-4</v>
      </c>
      <c r="C67" s="318" t="str">
        <f>IF($C$5=$O$3,"Commuting Public Transport",IF($C$5=$O$5,"","Commuting Mass Transport"))</f>
        <v>Commuting Mass Transport</v>
      </c>
      <c r="D67" s="318" t="str">
        <f>IF($C$5=O5,"-","")</f>
        <v/>
      </c>
      <c r="E67" s="319">
        <f>IF($C$5=$O$5,0,5)</f>
        <v>5</v>
      </c>
      <c r="F67" s="320"/>
      <c r="G67" s="328"/>
      <c r="H67" s="233"/>
      <c r="I67" s="233"/>
      <c r="J67" s="321"/>
      <c r="K67" s="297" t="str">
        <f>IF(OR(ISBLANK($F67)=FALSE,$S67=TRUE),IF(H67="","No","Yes"),"")</f>
        <v/>
      </c>
      <c r="L67" s="297" t="str">
        <f>IF(ISBLANK($F67)=FALSE,IF(I67="","No","Yes"),IF($S67=TRUE,"Yes",""))</f>
        <v/>
      </c>
      <c r="M67" s="496"/>
      <c r="N67" s="496"/>
      <c r="O67" s="496"/>
      <c r="P67" s="538"/>
      <c r="Q67" s="538"/>
      <c r="R67" s="538"/>
      <c r="S67" s="846"/>
    </row>
    <row r="68" spans="1:19" ht="45" customHeight="1">
      <c r="A68" s="496"/>
      <c r="B68" s="176" t="s">
        <v>963</v>
      </c>
      <c r="C68" s="93"/>
      <c r="D68" s="322"/>
      <c r="E68" s="85">
        <f>SUM(E63:E67)</f>
        <v>11</v>
      </c>
      <c r="F68" s="216" t="str">
        <f>IFERROR(SUM(F63:F67)/E68*E62*100,"")</f>
        <v/>
      </c>
      <c r="G68" s="210"/>
      <c r="H68" s="323"/>
      <c r="I68" s="323"/>
      <c r="J68" s="324"/>
      <c r="K68" s="325"/>
      <c r="L68" s="325"/>
      <c r="M68" s="496"/>
      <c r="N68" s="496"/>
      <c r="O68" s="496"/>
      <c r="P68" s="538"/>
      <c r="Q68" s="538"/>
      <c r="R68" s="538"/>
      <c r="S68" s="846"/>
    </row>
    <row r="69" spans="1:19" ht="45" customHeight="1">
      <c r="A69" s="496"/>
      <c r="B69" s="222"/>
      <c r="C69" s="326"/>
      <c r="D69" s="327"/>
      <c r="E69" s="196"/>
      <c r="F69" s="32"/>
      <c r="G69" s="210"/>
      <c r="H69" s="225"/>
      <c r="I69" s="225"/>
      <c r="J69" s="210"/>
      <c r="K69" s="32"/>
      <c r="L69" s="32"/>
      <c r="M69" s="496"/>
      <c r="N69" s="496"/>
      <c r="O69" s="496"/>
      <c r="P69" s="538"/>
      <c r="Q69" s="538"/>
      <c r="R69" s="538"/>
      <c r="S69" s="846"/>
    </row>
    <row r="70" spans="1:19" ht="45" customHeight="1">
      <c r="A70" s="496"/>
      <c r="B70" s="311" t="s">
        <v>353</v>
      </c>
      <c r="C70" s="312"/>
      <c r="D70" s="313" t="s">
        <v>1089</v>
      </c>
      <c r="E70" s="314" t="str">
        <f>IFERROR(VLOOKUP($F$2,$U$3:$AC$10,6,FALSE),"")</f>
        <v/>
      </c>
      <c r="F70" s="315"/>
      <c r="G70" s="210"/>
      <c r="H70" s="316"/>
      <c r="I70" s="316"/>
      <c r="J70" s="316"/>
      <c r="K70" s="316"/>
      <c r="L70" s="316"/>
      <c r="M70" s="496"/>
      <c r="N70" s="496"/>
      <c r="O70" s="496"/>
      <c r="P70" s="538"/>
      <c r="Q70" s="538"/>
      <c r="R70" s="538"/>
      <c r="S70" s="846"/>
    </row>
    <row r="71" spans="1:19" ht="45" customHeight="1">
      <c r="A71" s="496"/>
      <c r="B71" s="1458" t="s">
        <v>1175</v>
      </c>
      <c r="C71" s="1460" t="str">
        <f>IF($C$5=$O$3,"Occupant Amenity Potable Water Efficiency",IF($C$5=$O$5,"Potable Water Efficiency","Occupant Amenity Water"))</f>
        <v>Occupant Amenity Water</v>
      </c>
      <c r="D71" s="318" t="str">
        <f>IF($C$5=$O$5,"Predicated Potable Water Consumption","")</f>
        <v/>
      </c>
      <c r="E71" s="319">
        <f>IF($C$5=$O$5,12,5)</f>
        <v>5</v>
      </c>
      <c r="F71" s="320"/>
      <c r="G71" s="328"/>
      <c r="H71" s="233"/>
      <c r="I71" s="233"/>
      <c r="J71" s="321"/>
      <c r="K71" s="297" t="str">
        <f t="shared" ref="K71:L75" si="11">IF(ISBLANK($F71)=FALSE,IF(H71="","No","Yes"),"")</f>
        <v/>
      </c>
      <c r="L71" s="297" t="str">
        <f t="shared" si="11"/>
        <v/>
      </c>
      <c r="M71" s="496"/>
      <c r="N71" s="496"/>
      <c r="O71" s="496"/>
      <c r="P71" s="538"/>
      <c r="Q71" s="538"/>
      <c r="R71" s="538"/>
      <c r="S71" s="846"/>
    </row>
    <row r="72" spans="1:19" ht="45" customHeight="1">
      <c r="A72" s="496"/>
      <c r="B72" s="1468"/>
      <c r="C72" s="1469"/>
      <c r="D72" s="318" t="str">
        <f>IF($C$5=$O$5,"Dishwashers","-")</f>
        <v>-</v>
      </c>
      <c r="E72" s="319">
        <f>IF($C$5=$O$5,1,0)</f>
        <v>0</v>
      </c>
      <c r="F72" s="320"/>
      <c r="G72" s="328"/>
      <c r="H72" s="233"/>
      <c r="I72" s="233"/>
      <c r="J72" s="321"/>
      <c r="K72" s="297" t="str">
        <f>IF(OR(ISBLANK($F72)=FALSE,$S72=TRUE),IF(H72="","No","Yes"),"")</f>
        <v/>
      </c>
      <c r="L72" s="297" t="str">
        <f>IF(ISBLANK($F72)=FALSE,IF(I72="","No","Yes"),IF($S72=TRUE,"NA",""))</f>
        <v/>
      </c>
      <c r="M72" s="496"/>
      <c r="N72" s="496"/>
      <c r="O72" s="496"/>
      <c r="P72" s="538"/>
      <c r="Q72" s="538"/>
      <c r="R72" s="538" t="s">
        <v>242</v>
      </c>
      <c r="S72" s="846" t="b">
        <v>0</v>
      </c>
    </row>
    <row r="73" spans="1:19" ht="45" customHeight="1">
      <c r="A73" s="496"/>
      <c r="B73" s="1459"/>
      <c r="C73" s="1461"/>
      <c r="D73" s="318" t="str">
        <f>IF($C$5=$O$5,"Replacement of Base Building Fixtures","-")</f>
        <v>-</v>
      </c>
      <c r="E73" s="319">
        <f>IF($C$5=$O$5,1,0)</f>
        <v>0</v>
      </c>
      <c r="F73" s="320"/>
      <c r="G73" s="328"/>
      <c r="H73" s="233"/>
      <c r="I73" s="233"/>
      <c r="J73" s="321"/>
      <c r="K73" s="297" t="str">
        <f>IF(OR(ISBLANK($F73)=FALSE,$S73=TRUE),IF(H73="","No","Yes"),"")</f>
        <v/>
      </c>
      <c r="L73" s="297" t="str">
        <f>IF(ISBLANK($F73)=FALSE,IF(I73="","No","Yes"),IF($S73=TRUE,"NA",""))</f>
        <v/>
      </c>
      <c r="M73" s="496"/>
      <c r="N73" s="496"/>
      <c r="O73" s="496"/>
      <c r="P73" s="538"/>
      <c r="Q73" s="538"/>
      <c r="R73" s="538" t="s">
        <v>242</v>
      </c>
      <c r="S73" s="846" t="b">
        <v>0</v>
      </c>
    </row>
    <row r="74" spans="1:19" ht="45" customHeight="1">
      <c r="A74" s="496"/>
      <c r="B74" s="1458" t="str">
        <f>IF($C$5=$O$5,"","WAT-2")</f>
        <v>WAT-2</v>
      </c>
      <c r="C74" s="1460" t="str">
        <f>IF($C$5=$O$5,"","Water Meters")</f>
        <v>Water Meters</v>
      </c>
      <c r="D74" s="318" t="str">
        <f>IF($C$5=$O$3,"Water Meters",IF($C$5=$O$4,"","-"))</f>
        <v>-</v>
      </c>
      <c r="E74" s="319">
        <f>IF($C$5=$O$5,0,1)</f>
        <v>1</v>
      </c>
      <c r="F74" s="320"/>
      <c r="G74" s="328"/>
      <c r="H74" s="233"/>
      <c r="I74" s="233"/>
      <c r="J74" s="321"/>
      <c r="K74" s="297" t="str">
        <f t="shared" si="11"/>
        <v/>
      </c>
      <c r="L74" s="297" t="str">
        <f t="shared" si="11"/>
        <v/>
      </c>
      <c r="M74" s="496"/>
      <c r="N74" s="496"/>
      <c r="O74" s="496"/>
      <c r="P74" s="538"/>
      <c r="Q74" s="538"/>
      <c r="R74" s="538"/>
      <c r="S74" s="846"/>
    </row>
    <row r="75" spans="1:19" ht="45" customHeight="1">
      <c r="A75" s="496"/>
      <c r="B75" s="1459"/>
      <c r="C75" s="1461"/>
      <c r="D75" s="318" t="str">
        <f>IF($C$5=$O$3,"Building Management System","-")</f>
        <v>-</v>
      </c>
      <c r="E75" s="319">
        <f>IF($C$5=$O$3,1,0)</f>
        <v>0</v>
      </c>
      <c r="F75" s="320"/>
      <c r="G75" s="328"/>
      <c r="H75" s="233"/>
      <c r="I75" s="233"/>
      <c r="J75" s="321"/>
      <c r="K75" s="297" t="str">
        <f t="shared" si="11"/>
        <v/>
      </c>
      <c r="L75" s="297" t="str">
        <f t="shared" si="11"/>
        <v/>
      </c>
      <c r="M75" s="496"/>
      <c r="N75" s="496"/>
      <c r="O75" s="496"/>
      <c r="P75" s="538"/>
      <c r="Q75" s="538"/>
      <c r="R75" s="538"/>
      <c r="S75" s="846"/>
    </row>
    <row r="76" spans="1:19" ht="45" customHeight="1">
      <c r="A76" s="496"/>
      <c r="B76" s="317" t="str">
        <f>IF($C$5=$O$5,"","WAT-3")</f>
        <v>WAT-3</v>
      </c>
      <c r="C76" s="318" t="str">
        <f>IF($C$5=$O$3,"Landscape Irrigation Water Efficiency",IF($C$5=$O$5,"","Landscape Irrigation"))</f>
        <v>Landscape Irrigation</v>
      </c>
      <c r="D76" s="318" t="str">
        <f>IF($C$5=$O$5,"-","")</f>
        <v/>
      </c>
      <c r="E76" s="319">
        <f>IF($C$5=$O$5,0,1)</f>
        <v>1</v>
      </c>
      <c r="F76" s="320"/>
      <c r="G76" s="328"/>
      <c r="H76" s="233"/>
      <c r="I76" s="233"/>
      <c r="J76" s="321"/>
      <c r="K76" s="297" t="str">
        <f>IF(OR(ISBLANK($F76)=FALSE,$S76=TRUE),IF(H76="","No","Yes"),"")</f>
        <v/>
      </c>
      <c r="L76" s="297" t="str">
        <f>IF(ISBLANK($F76)=FALSE,IF(I76="","No","Yes"),IF($S76=TRUE,"NA",""))</f>
        <v/>
      </c>
      <c r="M76" s="496"/>
      <c r="N76" s="496"/>
      <c r="O76" s="496"/>
      <c r="P76" s="538" t="s">
        <v>242</v>
      </c>
      <c r="Q76" s="538" t="s">
        <v>242</v>
      </c>
      <c r="R76" s="538"/>
      <c r="S76" s="846" t="b">
        <v>0</v>
      </c>
    </row>
    <row r="77" spans="1:19" ht="45" customHeight="1">
      <c r="A77" s="496"/>
      <c r="B77" s="317" t="str">
        <f>IF($C$5=$O$5,"","WAT-4")</f>
        <v>WAT-4</v>
      </c>
      <c r="C77" s="318" t="str">
        <f>IF($C$5=$O$3,"Cooling Tower Water Consumption",IF($C$5=$O$5,"","Heat Rejection Water"))</f>
        <v>Heat Rejection Water</v>
      </c>
      <c r="D77" s="318" t="str">
        <f>IF($C$5=$O$5,"-","")</f>
        <v/>
      </c>
      <c r="E77" s="319">
        <f>IF($C$5=$O$5,0,4)</f>
        <v>4</v>
      </c>
      <c r="F77" s="320"/>
      <c r="G77" s="328"/>
      <c r="H77" s="233"/>
      <c r="I77" s="233"/>
      <c r="J77" s="321"/>
      <c r="K77" s="297" t="str">
        <f>IF(ISBLANK($F77)=FALSE,IF(H77="","No","Yes"),"")</f>
        <v/>
      </c>
      <c r="L77" s="297" t="str">
        <f>IF(ISBLANK($F77)=FALSE,IF(I77="","No","Yes"),"")</f>
        <v/>
      </c>
      <c r="M77" s="496"/>
      <c r="N77" s="496"/>
      <c r="O77" s="496"/>
      <c r="P77" s="538"/>
      <c r="Q77" s="538"/>
      <c r="R77" s="538"/>
      <c r="S77" s="846"/>
    </row>
    <row r="78" spans="1:19" ht="45" customHeight="1">
      <c r="A78" s="496"/>
      <c r="B78" s="317" t="str">
        <f>IF($C$5=$O$5,"","WAT-5")</f>
        <v>WAT-5</v>
      </c>
      <c r="C78" s="318" t="str">
        <f>IF($C$5=$O$5,"","Fire System Water Consumption")</f>
        <v>Fire System Water Consumption</v>
      </c>
      <c r="D78" s="318" t="str">
        <f>IF($C$5=$O$5,"-","")</f>
        <v/>
      </c>
      <c r="E78" s="319">
        <f>IF($C$5=$O$5,0,1)</f>
        <v>1</v>
      </c>
      <c r="F78" s="320"/>
      <c r="G78" s="328"/>
      <c r="H78" s="233"/>
      <c r="I78" s="233"/>
      <c r="J78" s="321"/>
      <c r="K78" s="297" t="str">
        <f>IF(OR(ISBLANK($F78)=FALSE,$S78=TRUE),IF(H78="","No","Yes"),"")</f>
        <v/>
      </c>
      <c r="L78" s="297" t="str">
        <f>IF(ISBLANK($F78)=FALSE,IF(I78="","No","Yes"),IF($S78=TRUE,"NA",""))</f>
        <v/>
      </c>
      <c r="M78" s="496"/>
      <c r="N78" s="496"/>
      <c r="O78" s="496"/>
      <c r="P78" s="538" t="s">
        <v>242</v>
      </c>
      <c r="Q78" s="538" t="s">
        <v>242</v>
      </c>
      <c r="R78" s="538"/>
      <c r="S78" s="846" t="b">
        <v>0</v>
      </c>
    </row>
    <row r="79" spans="1:19" ht="45" customHeight="1">
      <c r="A79" s="496"/>
      <c r="B79" s="176" t="s">
        <v>963</v>
      </c>
      <c r="C79" s="93"/>
      <c r="D79" s="322"/>
      <c r="E79" s="85">
        <f>SUM(E71:E78)</f>
        <v>12</v>
      </c>
      <c r="F79" s="216" t="str">
        <f>IFERROR(SUM(F71:F78)/E79*E70*100,"")</f>
        <v/>
      </c>
      <c r="G79" s="210"/>
      <c r="H79" s="323"/>
      <c r="I79" s="323"/>
      <c r="J79" s="324"/>
      <c r="K79" s="325"/>
      <c r="L79" s="325"/>
      <c r="M79" s="496"/>
      <c r="N79" s="496"/>
      <c r="O79" s="496"/>
      <c r="P79" s="538"/>
      <c r="Q79" s="538"/>
      <c r="R79" s="538"/>
      <c r="S79" s="846"/>
    </row>
    <row r="80" spans="1:19" ht="45" customHeight="1">
      <c r="A80" s="496"/>
      <c r="B80" s="222"/>
      <c r="C80" s="326"/>
      <c r="D80" s="327"/>
      <c r="E80" s="196"/>
      <c r="F80" s="32"/>
      <c r="G80" s="210"/>
      <c r="H80" s="225"/>
      <c r="I80" s="225"/>
      <c r="J80" s="210"/>
      <c r="K80" s="32"/>
      <c r="L80" s="32"/>
      <c r="M80" s="496"/>
      <c r="N80" s="496"/>
      <c r="O80" s="496"/>
      <c r="P80" s="538"/>
      <c r="Q80" s="538"/>
      <c r="R80" s="538"/>
      <c r="S80" s="846"/>
    </row>
    <row r="81" spans="1:51" ht="45" customHeight="1">
      <c r="A81" s="496"/>
      <c r="B81" s="311" t="s">
        <v>367</v>
      </c>
      <c r="C81" s="312"/>
      <c r="D81" s="313" t="s">
        <v>1089</v>
      </c>
      <c r="E81" s="314" t="str">
        <f>IFERROR(VLOOKUP($F$2,$U$3:$AC$10,7,FALSE),"")</f>
        <v/>
      </c>
      <c r="F81" s="315"/>
      <c r="G81" s="210"/>
      <c r="H81" s="316"/>
      <c r="I81" s="316"/>
      <c r="J81" s="316"/>
      <c r="K81" s="316"/>
      <c r="L81" s="316"/>
      <c r="M81" s="496"/>
      <c r="N81" s="496"/>
      <c r="O81" s="496"/>
      <c r="P81" s="538"/>
      <c r="Q81" s="538"/>
      <c r="R81" s="538"/>
      <c r="S81" s="846"/>
      <c r="T81" s="496"/>
      <c r="U81" s="538"/>
      <c r="V81" s="538"/>
      <c r="W81" s="538"/>
      <c r="X81" s="538"/>
      <c r="Y81" s="538"/>
      <c r="Z81" s="538"/>
      <c r="AA81" s="538"/>
      <c r="AB81" s="538"/>
      <c r="AC81" s="538"/>
      <c r="AD81" s="538"/>
      <c r="AE81" s="496"/>
      <c r="AF81" s="496"/>
      <c r="AG81" s="496"/>
      <c r="AH81" s="496"/>
      <c r="AI81" s="496"/>
      <c r="AJ81" s="496"/>
      <c r="AK81" s="496"/>
      <c r="AL81" s="496"/>
      <c r="AM81" s="496"/>
      <c r="AN81" s="496"/>
      <c r="AO81" s="496"/>
      <c r="AP81" s="496"/>
      <c r="AQ81" s="496"/>
      <c r="AR81" s="496"/>
      <c r="AS81" s="496"/>
      <c r="AT81" s="496"/>
      <c r="AU81" s="496"/>
      <c r="AV81" s="496"/>
      <c r="AW81" s="496"/>
      <c r="AX81" s="496"/>
      <c r="AY81" s="496"/>
    </row>
    <row r="82" spans="1:51" ht="45" customHeight="1">
      <c r="A82" s="496"/>
      <c r="B82" s="317" t="s">
        <v>1186</v>
      </c>
      <c r="C82" s="318" t="str">
        <f>IF($C$5=$O$5,"Workstations","Recycling Waste Storage")</f>
        <v>Recycling Waste Storage</v>
      </c>
      <c r="D82" s="318"/>
      <c r="E82" s="319">
        <f>IF($C$5=$O$5,7,2)</f>
        <v>2</v>
      </c>
      <c r="F82" s="320"/>
      <c r="G82" s="328"/>
      <c r="H82" s="233"/>
      <c r="I82" s="233"/>
      <c r="J82" s="321"/>
      <c r="K82" s="297" t="str">
        <f>IF(ISBLANK($F82)=FALSE,IF(H82="","No","Yes"),"")</f>
        <v/>
      </c>
      <c r="L82" s="297" t="str">
        <f>IF(ISBLANK($F82)=FALSE,IF(I82="","No","Yes"),"")</f>
        <v/>
      </c>
      <c r="M82" s="496"/>
      <c r="N82" s="496"/>
      <c r="O82" s="496"/>
      <c r="P82" s="538"/>
      <c r="Q82" s="538"/>
      <c r="R82" s="538"/>
      <c r="S82" s="846"/>
      <c r="T82" s="496"/>
      <c r="U82" s="538"/>
      <c r="V82" s="538"/>
      <c r="W82" s="538"/>
      <c r="X82" s="538"/>
      <c r="Y82" s="538"/>
      <c r="Z82" s="538"/>
      <c r="AA82" s="538"/>
      <c r="AB82" s="538"/>
      <c r="AC82" s="538"/>
      <c r="AD82" s="538"/>
      <c r="AE82" s="496"/>
      <c r="AF82" s="496"/>
      <c r="AG82" s="496"/>
      <c r="AH82" s="496"/>
      <c r="AI82" s="496"/>
      <c r="AJ82" s="496"/>
      <c r="AK82" s="496"/>
      <c r="AL82" s="496"/>
      <c r="AM82" s="496"/>
      <c r="AN82" s="496"/>
      <c r="AO82" s="496"/>
      <c r="AP82" s="496"/>
      <c r="AQ82" s="496"/>
      <c r="AR82" s="496"/>
      <c r="AS82" s="496"/>
      <c r="AT82" s="496"/>
      <c r="AU82" s="496"/>
      <c r="AV82" s="496"/>
      <c r="AW82" s="496"/>
      <c r="AX82" s="496"/>
      <c r="AY82" s="496"/>
    </row>
    <row r="83" spans="1:51" ht="45" customHeight="1">
      <c r="A83" s="496"/>
      <c r="B83" s="317" t="s">
        <v>1188</v>
      </c>
      <c r="C83" s="318" t="str">
        <f>IF($C$5=$O$3,"Re-use of Façade",IF($C$5=$O$5,"Flooring","Building Re-use"))</f>
        <v>Building Re-use</v>
      </c>
      <c r="D83" s="318"/>
      <c r="E83" s="319">
        <f>IF($C$5=$O$3,2,IF($C$5=$O$5,5,6))</f>
        <v>6</v>
      </c>
      <c r="F83" s="320"/>
      <c r="G83" s="328"/>
      <c r="H83" s="233"/>
      <c r="I83" s="233"/>
      <c r="J83" s="321"/>
      <c r="K83" s="297" t="str">
        <f>IF(OR(ISBLANK($F83)=FALSE,$S83=TRUE),IF(H83="","No","Yes"),"")</f>
        <v/>
      </c>
      <c r="L83" s="297" t="str">
        <f>IF(ISBLANK($F83)=FALSE,IF(I83="","No","Yes"),IF($S83=TRUE,"NA",""))</f>
        <v/>
      </c>
      <c r="M83" s="496"/>
      <c r="N83" s="496"/>
      <c r="O83" s="496"/>
      <c r="P83" s="538" t="s">
        <v>242</v>
      </c>
      <c r="Q83" s="538" t="s">
        <v>242</v>
      </c>
      <c r="R83" s="538"/>
      <c r="S83" s="846" t="b">
        <v>0</v>
      </c>
      <c r="T83" s="496"/>
      <c r="U83" s="538"/>
      <c r="V83" s="538"/>
      <c r="W83" s="538"/>
      <c r="X83" s="538"/>
      <c r="Y83" s="538"/>
      <c r="Z83" s="538"/>
      <c r="AA83" s="538"/>
      <c r="AB83" s="538"/>
      <c r="AC83" s="538"/>
      <c r="AD83" s="538"/>
      <c r="AE83" s="496"/>
      <c r="AF83" s="496"/>
      <c r="AG83" s="496"/>
      <c r="AH83" s="496"/>
      <c r="AI83" s="496"/>
      <c r="AJ83" s="496"/>
      <c r="AK83" s="496"/>
      <c r="AL83" s="496"/>
      <c r="AM83" s="496"/>
      <c r="AN83" s="496"/>
      <c r="AO83" s="496"/>
      <c r="AP83" s="496"/>
      <c r="AQ83" s="496"/>
      <c r="AR83" s="496"/>
      <c r="AS83" s="496"/>
      <c r="AT83" s="496"/>
      <c r="AU83" s="496"/>
      <c r="AV83" s="496"/>
      <c r="AW83" s="496"/>
      <c r="AX83" s="496"/>
      <c r="AY83" s="496"/>
    </row>
    <row r="84" spans="1:51" ht="45" customHeight="1">
      <c r="A84" s="496"/>
      <c r="B84" s="1458" t="s">
        <v>1191</v>
      </c>
      <c r="C84" s="1460" t="str">
        <f>IF($C$5=$O$3,"Re-use of Structure",IF($C$5=$O$5,"Walls and Partitions","Reused Materials"))</f>
        <v>Reused Materials</v>
      </c>
      <c r="D84" s="318" t="str">
        <f>IF($C$5=$O$5,"Reduced Built Zone Area","")</f>
        <v/>
      </c>
      <c r="E84" s="319">
        <f>IF($C$5=$O$3,4,IF($C$5=$O$4,1,IF($C$5=$O$5,2,0)))</f>
        <v>0</v>
      </c>
      <c r="F84" s="320"/>
      <c r="G84" s="328"/>
      <c r="H84" s="233"/>
      <c r="I84" s="233"/>
      <c r="J84" s="321"/>
      <c r="K84" s="297" t="str">
        <f>IF(OR(ISBLANK($F84)=FALSE,$S84=TRUE),IF(H84="","No","Yes"),"")</f>
        <v/>
      </c>
      <c r="L84" s="297" t="str">
        <f>IF(ISBLANK($F84)=FALSE,IF(I84="","No","Yes"),IF($S84=TRUE,"NA",""))</f>
        <v/>
      </c>
      <c r="M84" s="496"/>
      <c r="N84" s="496"/>
      <c r="O84" s="496"/>
      <c r="P84" s="538" t="s">
        <v>242</v>
      </c>
      <c r="Q84" s="538"/>
      <c r="R84" s="538"/>
      <c r="S84" s="846" t="b">
        <v>0</v>
      </c>
      <c r="T84" s="496"/>
      <c r="U84" s="538"/>
      <c r="V84" s="538"/>
      <c r="W84" s="538"/>
      <c r="X84" s="538"/>
      <c r="Y84" s="538"/>
      <c r="Z84" s="538"/>
      <c r="AA84" s="538"/>
      <c r="AB84" s="538"/>
      <c r="AC84" s="538"/>
      <c r="AD84" s="538"/>
      <c r="AE84" s="496"/>
      <c r="AF84" s="496"/>
      <c r="AG84" s="496"/>
      <c r="AH84" s="496"/>
      <c r="AI84" s="496"/>
      <c r="AJ84" s="496"/>
      <c r="AK84" s="496"/>
      <c r="AL84" s="496"/>
      <c r="AM84" s="496"/>
      <c r="AN84" s="496"/>
      <c r="AO84" s="496"/>
      <c r="AP84" s="496"/>
      <c r="AQ84" s="496"/>
      <c r="AR84" s="496"/>
      <c r="AS84" s="496"/>
      <c r="AT84" s="496"/>
      <c r="AU84" s="496"/>
      <c r="AV84" s="496"/>
      <c r="AW84" s="496"/>
      <c r="AX84" s="496"/>
      <c r="AY84" s="496"/>
    </row>
    <row r="85" spans="1:51" ht="45" customHeight="1">
      <c r="A85" s="496"/>
      <c r="B85" s="1459"/>
      <c r="C85" s="1461"/>
      <c r="D85" s="318" t="str">
        <f>IF($C$5=$O$5,"Reduced Environmental Impact","-")</f>
        <v>-</v>
      </c>
      <c r="E85" s="319">
        <f>IF($C$5=$O$5,3,0)</f>
        <v>0</v>
      </c>
      <c r="F85" s="320"/>
      <c r="G85" s="328"/>
      <c r="H85" s="233"/>
      <c r="I85" s="233"/>
      <c r="J85" s="321"/>
      <c r="K85" s="297" t="str">
        <f>IF(ISBLANK($F85)=FALSE,IF(H85="","No","Yes"),"")</f>
        <v/>
      </c>
      <c r="L85" s="297" t="str">
        <f>IF(ISBLANK($F85)=FALSE,IF(I85="","No","Yes"),"")</f>
        <v/>
      </c>
      <c r="M85" s="496"/>
      <c r="N85" s="496"/>
      <c r="O85" s="496"/>
      <c r="P85" s="538"/>
      <c r="Q85" s="538"/>
      <c r="R85" s="538"/>
      <c r="S85" s="846"/>
      <c r="T85" s="496"/>
      <c r="U85" s="538"/>
      <c r="V85" s="538"/>
      <c r="W85" s="538"/>
      <c r="X85" s="538"/>
      <c r="Y85" s="538"/>
      <c r="Z85" s="538"/>
      <c r="AA85" s="538"/>
      <c r="AB85" s="538"/>
      <c r="AC85" s="538"/>
      <c r="AD85" s="538"/>
      <c r="AE85" s="496"/>
      <c r="AF85" s="496"/>
      <c r="AG85" s="496"/>
      <c r="AH85" s="496"/>
      <c r="AI85" s="496"/>
      <c r="AJ85" s="496"/>
      <c r="AK85" s="496"/>
      <c r="AL85" s="496"/>
      <c r="AM85" s="496"/>
      <c r="AN85" s="496"/>
      <c r="AO85" s="496"/>
      <c r="AP85" s="496"/>
      <c r="AQ85" s="496"/>
      <c r="AR85" s="496"/>
      <c r="AS85" s="496"/>
      <c r="AT85" s="496"/>
      <c r="AU85" s="496"/>
      <c r="AV85" s="496"/>
      <c r="AW85" s="496"/>
      <c r="AX85" s="496"/>
      <c r="AY85" s="496"/>
    </row>
    <row r="86" spans="1:51" ht="45" customHeight="1">
      <c r="A86" s="256"/>
      <c r="B86" s="317" t="s">
        <v>1193</v>
      </c>
      <c r="C86" s="318" t="str">
        <f>IF($C$5=$O$5,"Chairs","Shell and Core or Integrated Fitout")</f>
        <v>Shell and Core or Integrated Fitout</v>
      </c>
      <c r="D86" s="318"/>
      <c r="E86" s="319">
        <f>IF(OR($C$5=$O$3,$C$5=$O$5),3,2)</f>
        <v>2</v>
      </c>
      <c r="F86" s="320"/>
      <c r="G86" s="328"/>
      <c r="H86" s="233"/>
      <c r="I86" s="233"/>
      <c r="J86" s="321"/>
      <c r="K86" s="297" t="str">
        <f t="shared" ref="K86:K95" si="12">IF(OR(ISBLANK($F86)=FALSE,$S86=TRUE),IF(H86="","No","Yes"),"")</f>
        <v/>
      </c>
      <c r="L86" s="297" t="str">
        <f>IF(ISBLANK($F86)=FALSE,IF(I86="","No","Yes"),IF($S86=TRUE,"Yes",""))</f>
        <v/>
      </c>
      <c r="M86" s="496"/>
      <c r="N86" s="496"/>
      <c r="O86" s="496"/>
      <c r="P86" s="538"/>
      <c r="Q86" s="538"/>
      <c r="R86" s="538"/>
      <c r="S86" s="846"/>
      <c r="T86" s="496"/>
      <c r="U86" s="538"/>
      <c r="V86" s="538"/>
      <c r="W86" s="538"/>
      <c r="X86" s="538"/>
      <c r="Y86" s="538"/>
      <c r="Z86" s="538"/>
      <c r="AA86" s="538"/>
      <c r="AB86" s="538"/>
      <c r="AC86" s="538"/>
      <c r="AD86" s="538"/>
      <c r="AE86" s="496"/>
      <c r="AF86" s="496"/>
      <c r="AG86" s="496"/>
      <c r="AH86" s="496"/>
      <c r="AI86" s="496"/>
      <c r="AJ86" s="496"/>
      <c r="AK86" s="496"/>
      <c r="AL86" s="496"/>
      <c r="AM86" s="496"/>
      <c r="AN86" s="496"/>
      <c r="AO86" s="496"/>
      <c r="AP86" s="496"/>
      <c r="AQ86" s="496"/>
      <c r="AR86" s="496"/>
      <c r="AS86" s="496"/>
      <c r="AT86" s="496"/>
      <c r="AU86" s="496"/>
      <c r="AV86" s="496"/>
      <c r="AW86" s="496"/>
      <c r="AX86" s="496"/>
      <c r="AY86" s="496"/>
    </row>
    <row r="87" spans="1:51" s="256" customFormat="1" ht="45" customHeight="1">
      <c r="A87" s="496"/>
      <c r="B87" s="1458" t="s">
        <v>1197</v>
      </c>
      <c r="C87" s="1460" t="str">
        <f>IF($C$5=$O$5,"Tables","Concrete (July 2012)")</f>
        <v>Concrete (July 2012)</v>
      </c>
      <c r="D87" s="318" t="str">
        <f>IF($C$5=$O$5,"","Portland Cement")</f>
        <v>Portland Cement</v>
      </c>
      <c r="E87" s="319">
        <f>IF($C$5=$O$5,1,2)</f>
        <v>2</v>
      </c>
      <c r="F87" s="320"/>
      <c r="G87" s="328"/>
      <c r="H87" s="233"/>
      <c r="I87" s="233"/>
      <c r="J87" s="321"/>
      <c r="K87" s="297" t="str">
        <f t="shared" si="12"/>
        <v/>
      </c>
      <c r="L87" s="297" t="str">
        <f t="shared" ref="L87:L95" si="13">IF(ISBLANK($F87)=FALSE,IF(I87="","No","Yes"),IF($S87=TRUE,"NA",""))</f>
        <v/>
      </c>
      <c r="M87" s="496"/>
      <c r="N87" s="100"/>
      <c r="O87" s="143"/>
      <c r="P87" s="904" t="s">
        <v>242</v>
      </c>
      <c r="Q87" s="538" t="s">
        <v>242</v>
      </c>
      <c r="R87" s="538"/>
      <c r="S87" s="846" t="b">
        <v>0</v>
      </c>
      <c r="T87" s="100"/>
      <c r="U87" s="143"/>
      <c r="V87" s="143"/>
      <c r="W87" s="143"/>
      <c r="X87" s="143"/>
      <c r="Y87" s="143"/>
      <c r="Z87" s="143"/>
      <c r="AA87" s="143"/>
      <c r="AB87" s="143"/>
      <c r="AC87" s="143"/>
      <c r="AD87" s="143"/>
      <c r="AE87" s="100"/>
      <c r="AF87" s="100"/>
      <c r="AG87" s="100"/>
      <c r="AH87" s="100"/>
      <c r="AI87" s="100"/>
      <c r="AJ87" s="100"/>
      <c r="AK87" s="100"/>
      <c r="AL87" s="100"/>
      <c r="AM87" s="100"/>
      <c r="AN87" s="100"/>
      <c r="AO87" s="100"/>
      <c r="AP87" s="100"/>
      <c r="AQ87" s="100"/>
      <c r="AR87" s="100"/>
      <c r="AS87" s="100"/>
      <c r="AT87" s="100"/>
      <c r="AU87" s="100"/>
      <c r="AV87" s="100"/>
      <c r="AW87" s="100"/>
      <c r="AX87" s="100"/>
      <c r="AY87" s="100"/>
    </row>
    <row r="88" spans="1:51" ht="45" customHeight="1">
      <c r="A88" s="256"/>
      <c r="B88" s="1459"/>
      <c r="C88" s="1461"/>
      <c r="D88" s="318" t="str">
        <f>IF($C$5=$O$5,"-","Aggregate and Water")</f>
        <v>Aggregate and Water</v>
      </c>
      <c r="E88" s="319">
        <f>IF($C$5=$O$5,0,1)</f>
        <v>1</v>
      </c>
      <c r="F88" s="320"/>
      <c r="G88" s="328"/>
      <c r="H88" s="233"/>
      <c r="I88" s="233"/>
      <c r="J88" s="321"/>
      <c r="K88" s="297" t="str">
        <f t="shared" si="12"/>
        <v/>
      </c>
      <c r="L88" s="297" t="str">
        <f t="shared" si="13"/>
        <v/>
      </c>
      <c r="M88" s="496"/>
      <c r="N88" s="496"/>
      <c r="O88" s="496"/>
      <c r="P88" s="538" t="s">
        <v>242</v>
      </c>
      <c r="Q88" s="538" t="s">
        <v>242</v>
      </c>
      <c r="R88" s="538"/>
      <c r="S88" s="846" t="b">
        <v>0</v>
      </c>
      <c r="T88" s="496"/>
      <c r="U88" s="538"/>
      <c r="V88" s="538"/>
      <c r="W88" s="538"/>
      <c r="X88" s="538"/>
      <c r="Y88" s="538"/>
      <c r="Z88" s="538"/>
      <c r="AA88" s="538"/>
      <c r="AB88" s="538"/>
      <c r="AC88" s="538"/>
      <c r="AD88" s="538"/>
      <c r="AE88" s="496"/>
      <c r="AF88" s="496"/>
      <c r="AG88" s="496"/>
      <c r="AH88" s="496"/>
      <c r="AI88" s="496"/>
      <c r="AJ88" s="496"/>
      <c r="AK88" s="496"/>
      <c r="AL88" s="496"/>
      <c r="AM88" s="496"/>
      <c r="AN88" s="496"/>
      <c r="AO88" s="496"/>
      <c r="AP88" s="496"/>
      <c r="AQ88" s="496"/>
      <c r="AR88" s="496"/>
      <c r="AS88" s="496"/>
      <c r="AT88" s="496"/>
      <c r="AU88" s="496"/>
      <c r="AV88" s="496"/>
      <c r="AW88" s="496"/>
      <c r="AX88" s="496"/>
      <c r="AY88" s="496"/>
    </row>
    <row r="89" spans="1:51" s="256" customFormat="1" ht="45" customHeight="1">
      <c r="A89" s="222"/>
      <c r="B89" s="1458" t="s">
        <v>1201</v>
      </c>
      <c r="C89" s="1460" t="str">
        <f>IF($C$5=$O$5,"Storage","Steel (August 2010)")</f>
        <v>Steel (August 2010)</v>
      </c>
      <c r="D89" s="318" t="str">
        <f>IF($C$5=$O$5,"","Structural Steel")</f>
        <v>Structural Steel</v>
      </c>
      <c r="E89" s="1462">
        <f>IF($C$5=$O$5,1,2)</f>
        <v>2</v>
      </c>
      <c r="F89" s="320"/>
      <c r="G89" s="328"/>
      <c r="H89" s="233"/>
      <c r="I89" s="233"/>
      <c r="J89" s="321"/>
      <c r="K89" s="297" t="str">
        <f t="shared" si="12"/>
        <v/>
      </c>
      <c r="L89" s="297" t="str">
        <f t="shared" si="13"/>
        <v/>
      </c>
      <c r="M89" s="496"/>
      <c r="N89" s="496"/>
      <c r="O89" s="496"/>
      <c r="P89" s="538" t="s">
        <v>242</v>
      </c>
      <c r="Q89" s="538" t="s">
        <v>242</v>
      </c>
      <c r="R89" s="538"/>
      <c r="S89" s="846" t="b">
        <v>0</v>
      </c>
      <c r="T89" s="100"/>
      <c r="U89" s="143"/>
      <c r="V89" s="143"/>
      <c r="W89" s="143"/>
      <c r="X89" s="143"/>
      <c r="Y89" s="143"/>
      <c r="Z89" s="143"/>
      <c r="AA89" s="143"/>
      <c r="AB89" s="143"/>
      <c r="AC89" s="143"/>
      <c r="AD89" s="143"/>
      <c r="AE89" s="100"/>
      <c r="AF89" s="100"/>
      <c r="AG89" s="100"/>
      <c r="AH89" s="100"/>
      <c r="AI89" s="100"/>
      <c r="AJ89" s="100"/>
      <c r="AK89" s="100"/>
      <c r="AL89" s="100"/>
      <c r="AM89" s="100"/>
      <c r="AN89" s="100"/>
      <c r="AO89" s="100"/>
      <c r="AP89" s="100"/>
      <c r="AQ89" s="100"/>
      <c r="AR89" s="100"/>
      <c r="AS89" s="100"/>
      <c r="AT89" s="100"/>
      <c r="AU89" s="100"/>
      <c r="AV89" s="100"/>
      <c r="AW89" s="100"/>
      <c r="AX89" s="100"/>
      <c r="AY89" s="100"/>
    </row>
    <row r="90" spans="1:51" s="222" customFormat="1" ht="45" customHeight="1">
      <c r="B90" s="1459"/>
      <c r="C90" s="1461"/>
      <c r="D90" s="318" t="str">
        <f>IF($C$5=$O$5,"-","Reinforcing Steel")</f>
        <v>Reinforcing Steel</v>
      </c>
      <c r="E90" s="1463"/>
      <c r="F90" s="320"/>
      <c r="G90" s="328"/>
      <c r="H90" s="233"/>
      <c r="I90" s="233"/>
      <c r="J90" s="321"/>
      <c r="K90" s="297" t="str">
        <f t="shared" si="12"/>
        <v/>
      </c>
      <c r="L90" s="297" t="str">
        <f t="shared" si="13"/>
        <v/>
      </c>
      <c r="M90" s="496"/>
      <c r="N90" s="496"/>
      <c r="O90" s="538"/>
      <c r="P90" s="538" t="s">
        <v>242</v>
      </c>
      <c r="Q90" s="538" t="s">
        <v>242</v>
      </c>
      <c r="R90" s="538"/>
      <c r="S90" s="846" t="b">
        <v>0</v>
      </c>
      <c r="T90" s="496"/>
      <c r="U90" s="538"/>
      <c r="V90" s="538"/>
      <c r="W90" s="538"/>
      <c r="X90" s="538"/>
      <c r="Y90" s="538"/>
      <c r="Z90" s="538"/>
      <c r="AA90" s="538"/>
      <c r="AB90" s="538"/>
      <c r="AC90" s="538"/>
      <c r="AD90" s="538"/>
      <c r="AE90" s="496"/>
      <c r="AF90" s="496"/>
      <c r="AG90" s="496"/>
      <c r="AH90" s="496"/>
      <c r="AI90" s="496"/>
      <c r="AJ90" s="496"/>
      <c r="AK90" s="496"/>
      <c r="AL90" s="496"/>
      <c r="AM90" s="496"/>
      <c r="AN90" s="496"/>
      <c r="AO90" s="496"/>
      <c r="AP90" s="496"/>
      <c r="AQ90" s="496"/>
      <c r="AR90" s="496"/>
      <c r="AS90" s="496"/>
      <c r="AT90" s="496"/>
      <c r="AU90" s="496"/>
      <c r="AV90" s="496"/>
      <c r="AW90" s="496"/>
      <c r="AX90" s="496"/>
      <c r="AY90" s="496"/>
    </row>
    <row r="91" spans="1:51" s="222" customFormat="1" ht="45" customHeight="1">
      <c r="B91" s="317" t="s">
        <v>1203</v>
      </c>
      <c r="C91" s="318" t="str">
        <f>IF($C$5=$O$5,"Joinery","PVC (May 2011)")</f>
        <v>PVC (May 2011)</v>
      </c>
      <c r="D91" s="318"/>
      <c r="E91" s="319">
        <f>IF($C$5=$O$5,1,2)</f>
        <v>2</v>
      </c>
      <c r="F91" s="320"/>
      <c r="G91" s="328"/>
      <c r="H91" s="233"/>
      <c r="I91" s="233"/>
      <c r="J91" s="321"/>
      <c r="K91" s="297" t="str">
        <f t="shared" si="12"/>
        <v/>
      </c>
      <c r="L91" s="297" t="str">
        <f t="shared" si="13"/>
        <v/>
      </c>
      <c r="M91" s="496"/>
      <c r="N91" s="496"/>
      <c r="O91" s="496"/>
      <c r="P91" s="538" t="s">
        <v>242</v>
      </c>
      <c r="Q91" s="538"/>
      <c r="R91" s="538"/>
      <c r="S91" s="846" t="b">
        <v>0</v>
      </c>
      <c r="T91" s="496"/>
      <c r="U91" s="538"/>
      <c r="V91" s="538"/>
      <c r="W91" s="538"/>
      <c r="X91" s="538"/>
      <c r="Y91" s="538"/>
      <c r="Z91" s="538"/>
      <c r="AA91" s="538"/>
      <c r="AB91" s="538"/>
      <c r="AC91" s="538"/>
      <c r="AD91" s="538"/>
      <c r="AE91" s="496"/>
      <c r="AF91" s="496"/>
      <c r="AG91" s="496"/>
      <c r="AH91" s="496"/>
      <c r="AI91" s="496"/>
      <c r="AJ91" s="496"/>
      <c r="AK91" s="496"/>
      <c r="AL91" s="496"/>
      <c r="AM91" s="496"/>
      <c r="AN91" s="496"/>
      <c r="AO91" s="496"/>
      <c r="AP91" s="496"/>
      <c r="AQ91" s="496"/>
      <c r="AR91" s="496"/>
      <c r="AS91" s="496"/>
      <c r="AT91" s="496"/>
      <c r="AU91" s="496"/>
      <c r="AV91" s="496"/>
      <c r="AW91" s="496"/>
      <c r="AX91" s="496"/>
      <c r="AY91" s="496"/>
    </row>
    <row r="92" spans="1:51" s="222" customFormat="1" ht="45" customHeight="1">
      <c r="B92" s="317" t="s">
        <v>1205</v>
      </c>
      <c r="C92" s="318" t="str">
        <f>IF($C$5=$O$5,"Ceilings","Timber (January 2010)")</f>
        <v>Timber (January 2010)</v>
      </c>
      <c r="D92" s="318"/>
      <c r="E92" s="319">
        <v>1</v>
      </c>
      <c r="F92" s="320"/>
      <c r="G92" s="328"/>
      <c r="H92" s="233"/>
      <c r="I92" s="233"/>
      <c r="J92" s="321"/>
      <c r="K92" s="297" t="str">
        <f t="shared" si="12"/>
        <v/>
      </c>
      <c r="L92" s="297" t="str">
        <f t="shared" si="13"/>
        <v/>
      </c>
      <c r="M92" s="496"/>
      <c r="N92" s="496"/>
      <c r="O92" s="496"/>
      <c r="P92" s="538" t="s">
        <v>242</v>
      </c>
      <c r="Q92" s="538" t="s">
        <v>242</v>
      </c>
      <c r="R92" s="538"/>
      <c r="S92" s="846" t="b">
        <v>0</v>
      </c>
      <c r="T92" s="496"/>
      <c r="U92" s="538"/>
      <c r="V92" s="538"/>
      <c r="W92" s="538"/>
      <c r="X92" s="538"/>
      <c r="Y92" s="538"/>
      <c r="Z92" s="538"/>
      <c r="AA92" s="538"/>
      <c r="AB92" s="538"/>
      <c r="AC92" s="538"/>
      <c r="AD92" s="538"/>
      <c r="AE92" s="496"/>
      <c r="AF92" s="496"/>
      <c r="AG92" s="496"/>
      <c r="AH92" s="496"/>
      <c r="AI92" s="496"/>
      <c r="AJ92" s="496"/>
      <c r="AK92" s="496"/>
      <c r="AL92" s="496"/>
      <c r="AM92" s="496"/>
      <c r="AN92" s="496"/>
      <c r="AO92" s="496"/>
      <c r="AP92" s="496"/>
      <c r="AQ92" s="496"/>
      <c r="AR92" s="496"/>
      <c r="AS92" s="496"/>
      <c r="AT92" s="496"/>
      <c r="AU92" s="496"/>
      <c r="AV92" s="496"/>
      <c r="AW92" s="496"/>
      <c r="AX92" s="496"/>
      <c r="AY92" s="496"/>
    </row>
    <row r="93" spans="1:51" s="222" customFormat="1" ht="45" customHeight="1">
      <c r="A93" s="256"/>
      <c r="B93" s="317" t="str">
        <f>IF($C$5=$O$3,"","MAT-9")</f>
        <v>MAT-9</v>
      </c>
      <c r="C93" s="318" t="str">
        <f>IF($C$5=$O$3,"",IF($C$5=$O$5,"Waste Management for Tenancy Operation","Design for Disassembly"))</f>
        <v>Design for Disassembly</v>
      </c>
      <c r="D93" s="318" t="str">
        <f>IF($C$5=$O$3,"-","")</f>
        <v/>
      </c>
      <c r="E93" s="319">
        <f>IF($C$5=$O$3,0,IF($C$5=$O$5,2,1))</f>
        <v>1</v>
      </c>
      <c r="F93" s="320"/>
      <c r="G93" s="210"/>
      <c r="H93" s="233"/>
      <c r="I93" s="233"/>
      <c r="J93" s="321"/>
      <c r="K93" s="297" t="str">
        <f t="shared" si="12"/>
        <v/>
      </c>
      <c r="L93" s="297" t="str">
        <f t="shared" si="13"/>
        <v/>
      </c>
      <c r="M93" s="496"/>
      <c r="N93" s="496"/>
      <c r="O93" s="496"/>
      <c r="P93" s="538"/>
      <c r="Q93" s="538" t="s">
        <v>242</v>
      </c>
      <c r="R93" s="538"/>
      <c r="S93" s="846" t="b">
        <v>0</v>
      </c>
      <c r="T93" s="496"/>
      <c r="U93" s="538"/>
      <c r="V93" s="538"/>
      <c r="W93" s="538"/>
      <c r="X93" s="538"/>
      <c r="Y93" s="538"/>
      <c r="Z93" s="538"/>
      <c r="AA93" s="538"/>
      <c r="AB93" s="538"/>
      <c r="AC93" s="538"/>
      <c r="AD93" s="538"/>
      <c r="AE93" s="496"/>
      <c r="AF93" s="496"/>
      <c r="AG93" s="496"/>
      <c r="AH93" s="496"/>
      <c r="AI93" s="496"/>
      <c r="AJ93" s="496"/>
      <c r="AK93" s="496"/>
      <c r="AL93" s="496"/>
      <c r="AM93" s="496"/>
      <c r="AN93" s="496"/>
      <c r="AO93" s="496"/>
      <c r="AP93" s="496"/>
      <c r="AQ93" s="496"/>
      <c r="AR93" s="496"/>
      <c r="AS93" s="496"/>
      <c r="AT93" s="496"/>
      <c r="AU93" s="496"/>
      <c r="AV93" s="496"/>
      <c r="AW93" s="496"/>
      <c r="AX93" s="496"/>
      <c r="AY93" s="496"/>
    </row>
    <row r="94" spans="1:51" s="256" customFormat="1" ht="45" customHeight="1">
      <c r="A94" s="496"/>
      <c r="B94" s="459" t="str">
        <f>IF($C$5=$O$3,"","MAT-10")</f>
        <v>MAT-10</v>
      </c>
      <c r="C94" s="329" t="str">
        <f>IF($C$5=$O$3,"",IF($C$5=$O$5,"PVC (May 2011)","Dematerialisation"))</f>
        <v>Dematerialisation</v>
      </c>
      <c r="D94" s="318" t="str">
        <f>IF($C$5=$O$3,"-","")</f>
        <v/>
      </c>
      <c r="E94" s="330">
        <f>IF($C$5=$O$3,0,IF($C$5=$O$5,2,1))</f>
        <v>1</v>
      </c>
      <c r="F94" s="320"/>
      <c r="G94" s="210"/>
      <c r="H94" s="233"/>
      <c r="I94" s="233"/>
      <c r="J94" s="321"/>
      <c r="K94" s="297" t="str">
        <f t="shared" si="12"/>
        <v/>
      </c>
      <c r="L94" s="297" t="str">
        <f t="shared" si="13"/>
        <v/>
      </c>
      <c r="M94" s="100"/>
      <c r="N94" s="496"/>
      <c r="O94" s="496"/>
      <c r="P94" s="538"/>
      <c r="Q94" s="538"/>
      <c r="R94" s="538" t="s">
        <v>242</v>
      </c>
      <c r="S94" s="846" t="b">
        <v>0</v>
      </c>
      <c r="T94" s="100"/>
      <c r="U94" s="143"/>
      <c r="V94" s="143"/>
      <c r="W94" s="143"/>
      <c r="X94" s="143"/>
      <c r="Y94" s="143"/>
      <c r="Z94" s="143"/>
      <c r="AA94" s="143"/>
      <c r="AB94" s="143"/>
      <c r="AC94" s="143"/>
      <c r="AD94" s="143"/>
      <c r="AE94" s="100"/>
      <c r="AF94" s="100"/>
      <c r="AG94" s="100"/>
      <c r="AH94" s="100"/>
      <c r="AI94" s="100"/>
      <c r="AJ94" s="100"/>
      <c r="AK94" s="100"/>
      <c r="AL94" s="100"/>
      <c r="AM94" s="100"/>
      <c r="AN94" s="100"/>
      <c r="AO94" s="100"/>
      <c r="AP94" s="100"/>
      <c r="AQ94" s="100"/>
      <c r="AR94" s="100"/>
      <c r="AS94" s="100"/>
      <c r="AT94" s="100"/>
      <c r="AU94" s="100"/>
      <c r="AV94" s="100"/>
      <c r="AW94" s="100"/>
      <c r="AX94" s="100"/>
      <c r="AY94" s="100"/>
    </row>
    <row r="95" spans="1:51" ht="45" customHeight="1">
      <c r="A95" s="496"/>
      <c r="B95" s="317" t="str">
        <f>IF($C$5=$O$5,"MAT-11","")</f>
        <v/>
      </c>
      <c r="C95" s="318" t="str">
        <f>IF($C$5=$O$5,"Timber (January 2010)","")</f>
        <v/>
      </c>
      <c r="D95" s="318" t="str">
        <f>IF($C$5=$O$5,"","-")</f>
        <v>-</v>
      </c>
      <c r="E95" s="319">
        <f>IF($C$5=$O$5,1,0)</f>
        <v>0</v>
      </c>
      <c r="F95" s="320"/>
      <c r="G95" s="210"/>
      <c r="H95" s="233"/>
      <c r="I95" s="233"/>
      <c r="J95" s="321"/>
      <c r="K95" s="297" t="str">
        <f t="shared" si="12"/>
        <v/>
      </c>
      <c r="L95" s="297" t="str">
        <f t="shared" si="13"/>
        <v/>
      </c>
      <c r="M95" s="496"/>
      <c r="N95" s="496"/>
      <c r="O95" s="496"/>
      <c r="P95" s="538"/>
      <c r="Q95" s="538"/>
      <c r="R95" s="538" t="s">
        <v>242</v>
      </c>
      <c r="S95" s="846" t="b">
        <v>0</v>
      </c>
      <c r="T95" s="496"/>
      <c r="U95" s="538"/>
      <c r="V95" s="538"/>
      <c r="W95" s="538"/>
      <c r="X95" s="538"/>
      <c r="Y95" s="538"/>
      <c r="Z95" s="538"/>
      <c r="AA95" s="538"/>
      <c r="AB95" s="538"/>
      <c r="AC95" s="538"/>
      <c r="AD95" s="538"/>
      <c r="AE95" s="496"/>
      <c r="AF95" s="496"/>
      <c r="AG95" s="496"/>
      <c r="AH95" s="496"/>
      <c r="AI95" s="496"/>
      <c r="AJ95" s="496"/>
      <c r="AK95" s="496"/>
      <c r="AL95" s="496"/>
      <c r="AM95" s="496"/>
      <c r="AN95" s="496"/>
      <c r="AO95" s="496"/>
      <c r="AP95" s="496"/>
      <c r="AQ95" s="496"/>
      <c r="AR95" s="496"/>
      <c r="AS95" s="496"/>
      <c r="AT95" s="496"/>
      <c r="AU95" s="496"/>
      <c r="AV95" s="496"/>
      <c r="AW95" s="496"/>
      <c r="AX95" s="496"/>
      <c r="AY95" s="496"/>
    </row>
    <row r="96" spans="1:51" ht="45" customHeight="1">
      <c r="A96" s="496"/>
      <c r="B96" s="176" t="s">
        <v>963</v>
      </c>
      <c r="C96" s="93"/>
      <c r="D96" s="322"/>
      <c r="E96" s="85">
        <f>SUM(E82:E95)</f>
        <v>20</v>
      </c>
      <c r="F96" s="216" t="str">
        <f>IFERROR(SUM(F82:F95)/E96*E81*100,"")</f>
        <v/>
      </c>
      <c r="G96" s="210"/>
      <c r="H96" s="323"/>
      <c r="I96" s="323"/>
      <c r="J96" s="324"/>
      <c r="K96" s="325"/>
      <c r="L96" s="325"/>
      <c r="M96" s="496"/>
      <c r="N96" s="496"/>
      <c r="O96" s="496"/>
      <c r="P96" s="538"/>
      <c r="Q96" s="538"/>
      <c r="R96" s="538"/>
      <c r="S96" s="846"/>
      <c r="T96" s="496"/>
      <c r="U96" s="538"/>
      <c r="V96" s="538"/>
      <c r="W96" s="538"/>
      <c r="X96" s="538"/>
      <c r="Y96" s="538"/>
      <c r="Z96" s="538"/>
      <c r="AA96" s="538"/>
      <c r="AB96" s="538"/>
      <c r="AC96" s="538"/>
      <c r="AD96" s="538"/>
      <c r="AE96" s="496"/>
      <c r="AF96" s="496"/>
      <c r="AG96" s="496"/>
      <c r="AH96" s="496"/>
      <c r="AI96" s="496"/>
      <c r="AJ96" s="496"/>
      <c r="AK96" s="496"/>
      <c r="AL96" s="496"/>
      <c r="AM96" s="496"/>
      <c r="AN96" s="496"/>
      <c r="AO96" s="496"/>
      <c r="AP96" s="496"/>
      <c r="AQ96" s="496"/>
      <c r="AR96" s="496"/>
      <c r="AS96" s="496"/>
      <c r="AT96" s="496"/>
      <c r="AU96" s="496"/>
      <c r="AV96" s="496"/>
      <c r="AW96" s="496"/>
      <c r="AX96" s="496"/>
      <c r="AY96" s="496"/>
    </row>
    <row r="97" spans="1:30" ht="45" customHeight="1">
      <c r="A97" s="496"/>
      <c r="B97" s="222"/>
      <c r="C97" s="326"/>
      <c r="D97" s="327"/>
      <c r="E97" s="196"/>
      <c r="F97" s="32"/>
      <c r="G97" s="210"/>
      <c r="H97" s="225"/>
      <c r="I97" s="225"/>
      <c r="J97" s="210"/>
      <c r="K97" s="32"/>
      <c r="L97" s="32"/>
      <c r="M97" s="496"/>
      <c r="N97" s="496"/>
      <c r="O97" s="496"/>
      <c r="P97" s="538"/>
      <c r="Q97" s="538"/>
      <c r="R97" s="538"/>
      <c r="S97" s="846"/>
      <c r="T97" s="496"/>
      <c r="U97" s="538"/>
      <c r="V97" s="538"/>
      <c r="W97" s="538"/>
      <c r="X97" s="538"/>
      <c r="Y97" s="538"/>
      <c r="Z97" s="538"/>
      <c r="AA97" s="538"/>
      <c r="AB97" s="538"/>
      <c r="AC97" s="538"/>
      <c r="AD97" s="538"/>
    </row>
    <row r="98" spans="1:30" ht="45" customHeight="1">
      <c r="A98" s="496"/>
      <c r="B98" s="311" t="s">
        <v>396</v>
      </c>
      <c r="C98" s="312"/>
      <c r="D98" s="313" t="s">
        <v>1089</v>
      </c>
      <c r="E98" s="314" t="str">
        <f>IFERROR(VLOOKUP($F$2,$U$3:$AC$10,8,FALSE),"")</f>
        <v/>
      </c>
      <c r="F98" s="315"/>
      <c r="G98" s="210"/>
      <c r="H98" s="316"/>
      <c r="I98" s="316"/>
      <c r="J98" s="331"/>
      <c r="K98" s="315"/>
      <c r="L98" s="315"/>
      <c r="M98" s="496"/>
      <c r="N98" s="496"/>
      <c r="O98" s="496"/>
      <c r="P98" s="538"/>
      <c r="Q98" s="538"/>
      <c r="R98" s="538"/>
      <c r="S98" s="846"/>
      <c r="T98" s="496"/>
      <c r="U98" s="538"/>
      <c r="V98" s="538"/>
      <c r="W98" s="538"/>
      <c r="X98" s="538"/>
      <c r="Y98" s="538"/>
      <c r="Z98" s="538"/>
      <c r="AA98" s="538"/>
      <c r="AB98" s="538"/>
      <c r="AC98" s="538"/>
      <c r="AD98" s="538"/>
    </row>
    <row r="99" spans="1:30" ht="45" customHeight="1">
      <c r="A99" s="496"/>
      <c r="B99" s="317" t="str">
        <f>IF(OR($C$5=$O$3,$C$5=$O$5),"ECO-1","ECO")</f>
        <v>ECO</v>
      </c>
      <c r="C99" s="318" t="str">
        <f>IF($C$5=$O$5,"Green Star - Office As Built Certified Building","Conditional Requirement (March 2009)")</f>
        <v>Conditional Requirement (March 2009)</v>
      </c>
      <c r="D99" s="318"/>
      <c r="E99" s="319" t="str">
        <f>IF($C$5=$O$5,6,"-")</f>
        <v>-</v>
      </c>
      <c r="F99" s="320"/>
      <c r="G99" s="328"/>
      <c r="H99" s="233"/>
      <c r="I99" s="233"/>
      <c r="J99" s="321"/>
      <c r="K99" s="297" t="str">
        <f>IF(ISBLANK($F99)=FALSE,IF(H99="","No","Yes"),"")</f>
        <v/>
      </c>
      <c r="L99" s="297" t="str">
        <f>IF(ISBLANK($F99)=FALSE,IF(I99="","No","Yes"),"")</f>
        <v/>
      </c>
      <c r="M99" s="496"/>
      <c r="N99" s="496"/>
      <c r="O99" s="496"/>
      <c r="P99" s="538"/>
      <c r="Q99" s="538"/>
      <c r="R99" s="538"/>
      <c r="S99" s="846"/>
      <c r="T99" s="496"/>
      <c r="U99" s="538"/>
      <c r="V99" s="538"/>
      <c r="W99" s="538"/>
      <c r="X99" s="538"/>
      <c r="Y99" s="538"/>
      <c r="Z99" s="538"/>
      <c r="AA99" s="538"/>
      <c r="AB99" s="538"/>
      <c r="AC99" s="538"/>
      <c r="AD99" s="538"/>
    </row>
    <row r="100" spans="1:30" ht="45" customHeight="1">
      <c r="A100" s="496"/>
      <c r="B100" s="317" t="str">
        <f>IF(OR($C$5=$O$3,$C$5=$O$5),"ECO-2","ECO-1")</f>
        <v>ECO-1</v>
      </c>
      <c r="C100" s="318" t="str">
        <f>IF($C$5=$O$3,"Re-use of Land",IF($C$5=$O$5,"Building Layout Efficiency","Topsoil (December 2013)"))</f>
        <v>Topsoil (December 2013)</v>
      </c>
      <c r="D100" s="318"/>
      <c r="E100" s="319">
        <f>IF($C$5=$O$5,2,1)</f>
        <v>1</v>
      </c>
      <c r="F100" s="320"/>
      <c r="G100" s="328"/>
      <c r="H100" s="233"/>
      <c r="I100" s="233"/>
      <c r="J100" s="321"/>
      <c r="K100" s="297" t="str">
        <f>IF(OR(ISBLANK($F100)=FALSE,$S100=TRUE),IF(H100="","No","Yes"),"")</f>
        <v/>
      </c>
      <c r="L100" s="297" t="str">
        <f>IF(ISBLANK($F100)=FALSE,IF(I100="","No","Yes"),IF($S100=TRUE,"NA",""))</f>
        <v/>
      </c>
      <c r="M100" s="496"/>
      <c r="N100" s="496"/>
      <c r="O100" s="496"/>
      <c r="P100" s="538"/>
      <c r="Q100" s="538" t="s">
        <v>242</v>
      </c>
      <c r="R100" s="538"/>
      <c r="S100" s="846" t="b">
        <v>0</v>
      </c>
      <c r="T100" s="496"/>
      <c r="U100" s="538"/>
      <c r="V100" s="538"/>
      <c r="W100" s="538"/>
      <c r="X100" s="538"/>
      <c r="Y100" s="538"/>
      <c r="Z100" s="538"/>
      <c r="AA100" s="538"/>
      <c r="AB100" s="538"/>
      <c r="AC100" s="538"/>
      <c r="AD100" s="538"/>
    </row>
    <row r="101" spans="1:30" ht="45" customHeight="1">
      <c r="A101" s="496"/>
      <c r="B101" s="317" t="str">
        <f>IF(OR($C$5=$O$3,$C$5=$O$5),"ECO-3","ECO-2")</f>
        <v>ECO-2</v>
      </c>
      <c r="C101" s="318" t="str">
        <f>IF($C$5=$O$3,"Reclaimed Contaminated Land",IF($C$5=$O$5,"Building Environmental Management","Re-use of Land"))</f>
        <v>Re-use of Land</v>
      </c>
      <c r="D101" s="318"/>
      <c r="E101" s="319">
        <f>IF($C$5=$O$3,2,IF($C$5=$O$5,3,1))</f>
        <v>1</v>
      </c>
      <c r="F101" s="320"/>
      <c r="G101" s="328"/>
      <c r="H101" s="233"/>
      <c r="I101" s="233"/>
      <c r="J101" s="321"/>
      <c r="K101" s="297" t="str">
        <f>IF(OR(ISBLANK($F101)=FALSE,$S101=TRUE),IF(H101="","No","Yes"),"")</f>
        <v/>
      </c>
      <c r="L101" s="297" t="str">
        <f>IF(ISBLANK($F101)=FALSE,IF(I101="","No","Yes"),IF($S101=TRUE,"NA",""))</f>
        <v/>
      </c>
      <c r="M101" s="496"/>
      <c r="N101" s="496"/>
      <c r="O101" s="496"/>
      <c r="P101" s="538" t="s">
        <v>242</v>
      </c>
      <c r="Q101" s="538"/>
      <c r="R101" s="538"/>
      <c r="S101" s="846" t="b">
        <v>0</v>
      </c>
      <c r="T101" s="496"/>
      <c r="U101" s="538"/>
      <c r="V101" s="538"/>
      <c r="W101" s="538"/>
      <c r="X101" s="538"/>
      <c r="Y101" s="538"/>
      <c r="Z101" s="538"/>
      <c r="AA101" s="538"/>
      <c r="AB101" s="538"/>
      <c r="AC101" s="538"/>
      <c r="AD101" s="538"/>
    </row>
    <row r="102" spans="1:30" ht="45" customHeight="1">
      <c r="A102" s="496"/>
      <c r="B102" s="317" t="str">
        <f>IF(OR($C$5=$O$3,$C$5=$O$5),"ECO-4","ECO-3")</f>
        <v>ECO-3</v>
      </c>
      <c r="C102" s="318" t="str">
        <f>IF($C$5=$O$3,"Change of Ecological Value",IF($C$5=$O$5,"Commitment to Building Performance","Reclaimed Contaminated Land"))</f>
        <v>Reclaimed Contaminated Land</v>
      </c>
      <c r="D102" s="318"/>
      <c r="E102" s="319">
        <f>IF($C$5=$O$3,4,IF($C$5=$O$5,3,2))</f>
        <v>2</v>
      </c>
      <c r="F102" s="320"/>
      <c r="G102" s="328"/>
      <c r="H102" s="233"/>
      <c r="I102" s="233"/>
      <c r="J102" s="321"/>
      <c r="K102" s="297" t="str">
        <f>IF(OR(ISBLANK($F102)=FALSE,$S102=TRUE),IF(H102="","No","Yes"),"")</f>
        <v/>
      </c>
      <c r="L102" s="297" t="str">
        <f>IF(ISBLANK($F102)=FALSE,IF(I102="","No","Yes"),IF($S102=TRUE,"NA",""))</f>
        <v/>
      </c>
      <c r="M102" s="496"/>
      <c r="N102" s="496"/>
      <c r="O102" s="496"/>
      <c r="P102" s="538"/>
      <c r="Q102" s="538" t="s">
        <v>242</v>
      </c>
      <c r="R102" s="538"/>
      <c r="S102" s="846" t="b">
        <v>0</v>
      </c>
      <c r="T102" s="496"/>
      <c r="U102" s="538"/>
      <c r="V102" s="538"/>
      <c r="W102" s="538"/>
      <c r="X102" s="538"/>
      <c r="Y102" s="538"/>
      <c r="Z102" s="538"/>
      <c r="AA102" s="538"/>
      <c r="AB102" s="538"/>
      <c r="AC102" s="538"/>
      <c r="AD102" s="538"/>
    </row>
    <row r="103" spans="1:30" ht="45" customHeight="1">
      <c r="A103" s="496"/>
      <c r="B103" s="317" t="str">
        <f>IF(OR($C$5=$O$3,$C$5=$O$5),"ECO-5","ECO-4")</f>
        <v>ECO-4</v>
      </c>
      <c r="C103" s="318" t="str">
        <f>IF($C$5=$O$3,"Topsoil and Fill Removal from Site",IF($C$5=$O$5,"Shell and Core or Integrated Fitout","Change of Ecological Value"))</f>
        <v>Change of Ecological Value</v>
      </c>
      <c r="D103" s="318"/>
      <c r="E103" s="319">
        <f>IF($C$5=$O$3,1,IF($C$5=$O$5,3,4))</f>
        <v>4</v>
      </c>
      <c r="F103" s="320"/>
      <c r="G103" s="328"/>
      <c r="H103" s="233"/>
      <c r="I103" s="233"/>
      <c r="J103" s="321"/>
      <c r="K103" s="297" t="str">
        <f>IF(OR(ISBLANK($F103)=FALSE,$S103=TRUE),IF(H103="","No","Yes"),"")</f>
        <v/>
      </c>
      <c r="L103" s="297" t="str">
        <f>IF(ISBLANK($F103)=FALSE,IF(I103="","No","Yes"),IF($S103=TRUE,"NA",""))</f>
        <v/>
      </c>
      <c r="M103" s="496"/>
      <c r="N103" s="496"/>
      <c r="O103" s="496"/>
      <c r="P103" s="538" t="s">
        <v>242</v>
      </c>
      <c r="Q103" s="538"/>
      <c r="R103" s="538" t="s">
        <v>242</v>
      </c>
      <c r="S103" s="846" t="b">
        <v>0</v>
      </c>
      <c r="T103" s="496"/>
      <c r="U103" s="538"/>
      <c r="V103" s="538"/>
      <c r="W103" s="538"/>
      <c r="X103" s="538"/>
      <c r="Y103" s="538"/>
      <c r="Z103" s="538"/>
      <c r="AA103" s="538"/>
      <c r="AB103" s="538"/>
      <c r="AC103" s="538"/>
      <c r="AD103" s="538"/>
    </row>
    <row r="104" spans="1:30" ht="45" customHeight="1">
      <c r="A104" s="496"/>
      <c r="B104" s="317" t="str">
        <f>IF($C$5=$O$5,"ECO-6","")</f>
        <v/>
      </c>
      <c r="C104" s="318" t="str">
        <f>IF($C$5=$O$5,"Building Conservation","")</f>
        <v/>
      </c>
      <c r="D104" s="318" t="str">
        <f>IF($C$5=$O$5,"","-")</f>
        <v>-</v>
      </c>
      <c r="E104" s="319">
        <f>IF($C$5=$O$5,2,0)</f>
        <v>0</v>
      </c>
      <c r="F104" s="332"/>
      <c r="G104" s="210"/>
      <c r="H104" s="233"/>
      <c r="I104" s="233"/>
      <c r="J104" s="321"/>
      <c r="K104" s="297" t="str">
        <f>IF(ISBLANK($F104)=FALSE,IF(H104="","No","Yes"),"")</f>
        <v/>
      </c>
      <c r="L104" s="297" t="str">
        <f>IF(ISBLANK($F104)=FALSE,IF(I104="","No","Yes"),"")</f>
        <v/>
      </c>
      <c r="M104" s="496"/>
      <c r="N104" s="496"/>
      <c r="O104" s="496"/>
      <c r="P104" s="538"/>
      <c r="Q104" s="538"/>
      <c r="R104" s="538"/>
      <c r="S104" s="846"/>
      <c r="T104" s="496"/>
      <c r="U104" s="538"/>
      <c r="V104" s="538"/>
      <c r="W104" s="538"/>
      <c r="X104" s="538"/>
      <c r="Y104" s="538"/>
      <c r="Z104" s="538"/>
      <c r="AA104" s="538"/>
      <c r="AB104" s="538"/>
      <c r="AC104" s="538"/>
      <c r="AD104" s="538"/>
    </row>
    <row r="105" spans="1:30" ht="45" customHeight="1">
      <c r="A105" s="496"/>
      <c r="B105" s="176" t="s">
        <v>963</v>
      </c>
      <c r="C105" s="93"/>
      <c r="D105" s="322"/>
      <c r="E105" s="85">
        <f>SUM(E99:E104)</f>
        <v>8</v>
      </c>
      <c r="F105" s="216" t="str">
        <f>IFERROR(SUM(F99:F104)/E105*E98*100,"")</f>
        <v/>
      </c>
      <c r="G105" s="210"/>
      <c r="H105" s="323"/>
      <c r="I105" s="323"/>
      <c r="J105" s="324"/>
      <c r="K105" s="325"/>
      <c r="L105" s="325"/>
      <c r="M105" s="496"/>
      <c r="N105" s="496"/>
      <c r="O105" s="496"/>
      <c r="P105" s="538"/>
      <c r="Q105" s="538"/>
      <c r="R105" s="538"/>
      <c r="S105" s="846"/>
      <c r="T105" s="496"/>
      <c r="U105" s="538"/>
      <c r="V105" s="538"/>
      <c r="W105" s="538"/>
      <c r="X105" s="538"/>
      <c r="Y105" s="538"/>
      <c r="Z105" s="538"/>
      <c r="AA105" s="538"/>
      <c r="AB105" s="538"/>
      <c r="AC105" s="538"/>
      <c r="AD105" s="538"/>
    </row>
    <row r="106" spans="1:30" ht="45" customHeight="1">
      <c r="A106" s="496"/>
      <c r="B106" s="222"/>
      <c r="C106" s="326"/>
      <c r="D106" s="327"/>
      <c r="E106" s="196"/>
      <c r="F106" s="32"/>
      <c r="G106" s="210"/>
      <c r="H106" s="225"/>
      <c r="I106" s="225"/>
      <c r="J106" s="210"/>
      <c r="K106" s="32"/>
      <c r="L106" s="32"/>
      <c r="M106" s="496"/>
      <c r="N106" s="496"/>
      <c r="O106" s="496"/>
      <c r="P106" s="538"/>
      <c r="Q106" s="538"/>
      <c r="R106" s="538"/>
      <c r="S106" s="846"/>
      <c r="T106" s="496"/>
      <c r="U106" s="538"/>
      <c r="V106" s="538"/>
      <c r="W106" s="538"/>
      <c r="X106" s="538"/>
      <c r="Y106" s="538"/>
      <c r="Z106" s="538"/>
      <c r="AA106" s="538"/>
      <c r="AB106" s="538"/>
      <c r="AC106" s="538"/>
      <c r="AD106" s="538"/>
    </row>
    <row r="107" spans="1:30" ht="45" customHeight="1">
      <c r="A107" s="496"/>
      <c r="B107" s="311" t="s">
        <v>404</v>
      </c>
      <c r="C107" s="312"/>
      <c r="D107" s="313" t="s">
        <v>1089</v>
      </c>
      <c r="E107" s="314" t="str">
        <f>IFERROR(VLOOKUP($F$2,$U$3:$AC$10,9,FALSE),"")</f>
        <v/>
      </c>
      <c r="F107" s="315"/>
      <c r="G107" s="210"/>
      <c r="H107" s="316"/>
      <c r="I107" s="316"/>
      <c r="J107" s="331"/>
      <c r="K107" s="315"/>
      <c r="L107" s="315"/>
      <c r="M107" s="496"/>
      <c r="N107" s="496"/>
      <c r="O107" s="496"/>
      <c r="P107" s="538"/>
      <c r="Q107" s="538"/>
      <c r="R107" s="538"/>
      <c r="S107" s="846"/>
      <c r="T107" s="496"/>
      <c r="U107" s="538"/>
      <c r="V107" s="538"/>
      <c r="W107" s="538"/>
      <c r="X107" s="538"/>
      <c r="Y107" s="538"/>
      <c r="Z107" s="538"/>
      <c r="AA107" s="538"/>
      <c r="AB107" s="538"/>
      <c r="AC107" s="538"/>
      <c r="AD107" s="538"/>
    </row>
    <row r="108" spans="1:30" ht="45" customHeight="1">
      <c r="A108" s="496"/>
      <c r="B108" s="317" t="s">
        <v>1223</v>
      </c>
      <c r="C108" s="318" t="str">
        <f>IF($C$5=$O$5,"Refrigerant Ozone Depleting Potential","Refrigerant ODP")</f>
        <v>Refrigerant ODP</v>
      </c>
      <c r="D108" s="318"/>
      <c r="E108" s="319">
        <f>IF(OR($C$5=$O$3,$C$5=$O$5),2,1)</f>
        <v>1</v>
      </c>
      <c r="F108" s="320"/>
      <c r="G108" s="328"/>
      <c r="H108" s="233"/>
      <c r="I108" s="233"/>
      <c r="J108" s="321"/>
      <c r="K108" s="297" t="str">
        <f>IF(OR(ISBLANK($F108)=FALSE,$S108=TRUE),IF(H108="","No","Yes"),"")</f>
        <v/>
      </c>
      <c r="L108" s="297" t="str">
        <f>IF(ISBLANK($F108)=FALSE,IF(I108="","No","Yes"),IF($S108=TRUE,"NA",""))</f>
        <v/>
      </c>
      <c r="M108" s="496"/>
      <c r="N108" s="496"/>
      <c r="O108" s="496"/>
      <c r="P108" s="538"/>
      <c r="Q108" s="538"/>
      <c r="R108" s="538" t="s">
        <v>242</v>
      </c>
      <c r="S108" s="846" t="b">
        <v>0</v>
      </c>
      <c r="T108" s="496"/>
      <c r="U108" s="538"/>
      <c r="V108" s="538"/>
      <c r="W108" s="538"/>
      <c r="X108" s="538"/>
      <c r="Y108" s="538"/>
      <c r="Z108" s="538"/>
      <c r="AA108" s="538"/>
      <c r="AB108" s="538"/>
      <c r="AC108" s="538"/>
      <c r="AD108" s="538"/>
    </row>
    <row r="109" spans="1:30" ht="45" customHeight="1">
      <c r="A109" s="496"/>
      <c r="B109" s="317" t="s">
        <v>1225</v>
      </c>
      <c r="C109" s="318" t="str">
        <f>IF($C$5=$O$5,"Insultaion Ozone Depleting Potential","Refrigerant GWP")</f>
        <v>Refrigerant GWP</v>
      </c>
      <c r="D109" s="318"/>
      <c r="E109" s="319">
        <f>IF(OR($C$5=$O$3,$C$5=$O$5),1,2)</f>
        <v>2</v>
      </c>
      <c r="F109" s="320"/>
      <c r="G109" s="328"/>
      <c r="H109" s="233"/>
      <c r="I109" s="233"/>
      <c r="J109" s="321"/>
      <c r="K109" s="297" t="str">
        <f>IF(OR(ISBLANK($F109)=FALSE,$S109=TRUE),IF(H109="","No","Yes"),"")</f>
        <v/>
      </c>
      <c r="L109" s="297" t="str">
        <f>IF(ISBLANK($F109)=FALSE,IF(I109="","No","Yes"),IF($S109=TRUE,"NA",""))</f>
        <v/>
      </c>
      <c r="M109" s="496"/>
      <c r="N109" s="496"/>
      <c r="O109" s="496"/>
      <c r="P109" s="538"/>
      <c r="Q109" s="538"/>
      <c r="R109" s="538" t="s">
        <v>242</v>
      </c>
      <c r="S109" s="846" t="b">
        <v>0</v>
      </c>
      <c r="T109" s="496"/>
      <c r="U109" s="538"/>
      <c r="V109" s="538"/>
      <c r="W109" s="538"/>
      <c r="X109" s="538"/>
      <c r="Y109" s="538"/>
      <c r="Z109" s="538"/>
      <c r="AA109" s="538"/>
      <c r="AB109" s="538"/>
      <c r="AC109" s="538"/>
      <c r="AD109" s="538"/>
    </row>
    <row r="110" spans="1:30" ht="45" customHeight="1">
      <c r="A110" s="496"/>
      <c r="B110" s="317" t="str">
        <f>IF($C$5=$O$5,"","EMI-3")</f>
        <v>EMI-3</v>
      </c>
      <c r="C110" s="318" t="str">
        <f>IF($C$5=$O$3,"Refrigerant Leak Detection",IF($C$5=$O$5,"","Refrigerant Leaks (December 2013)"))</f>
        <v>Refrigerant Leaks (December 2013)</v>
      </c>
      <c r="D110" s="318" t="str">
        <f>IF($C$5=$O$5,"-","")</f>
        <v/>
      </c>
      <c r="E110" s="319">
        <f>IF($C$5=$O$3,1,IF($C$5=$O$5,0,2))</f>
        <v>2</v>
      </c>
      <c r="F110" s="320"/>
      <c r="G110" s="328"/>
      <c r="H110" s="233"/>
      <c r="I110" s="233"/>
      <c r="J110" s="321"/>
      <c r="K110" s="297" t="str">
        <f>IF(OR(ISBLANK($F110)=FALSE,$S110=TRUE),IF(H110="","No","Yes"),"")</f>
        <v/>
      </c>
      <c r="L110" s="297" t="str">
        <f>IF(ISBLANK($F110)=FALSE,IF(I110="","No","Yes"),IF($S110=TRUE,"NA",""))</f>
        <v/>
      </c>
      <c r="M110" s="496"/>
      <c r="N110" s="496"/>
      <c r="O110" s="496"/>
      <c r="P110" s="538" t="s">
        <v>242</v>
      </c>
      <c r="Q110" s="538" t="s">
        <v>242</v>
      </c>
      <c r="R110" s="538"/>
      <c r="S110" s="846" t="b">
        <v>0</v>
      </c>
      <c r="T110" s="496"/>
      <c r="U110" s="538"/>
      <c r="V110" s="538"/>
      <c r="W110" s="538"/>
      <c r="X110" s="538"/>
      <c r="Y110" s="538"/>
      <c r="Z110" s="538"/>
      <c r="AA110" s="538"/>
      <c r="AB110" s="538"/>
      <c r="AC110" s="538"/>
      <c r="AD110" s="538"/>
    </row>
    <row r="111" spans="1:30" ht="45" customHeight="1">
      <c r="A111" s="496"/>
      <c r="B111" s="317" t="str">
        <f>IF($C$5=$O$5,"","EMI-4")</f>
        <v>EMI-4</v>
      </c>
      <c r="C111" s="318" t="str">
        <f>IF($C$5=$O$3,"Refrigerant Recovery",IF($C$5=$O$5,"","Insulant ODP"))</f>
        <v>Insulant ODP</v>
      </c>
      <c r="D111" s="318" t="str">
        <f>IF($C$5=$O$5,"-","")</f>
        <v/>
      </c>
      <c r="E111" s="319">
        <f>IF($C$5=$O$5,0,1)</f>
        <v>1</v>
      </c>
      <c r="F111" s="320"/>
      <c r="G111" s="328"/>
      <c r="H111" s="233"/>
      <c r="I111" s="233"/>
      <c r="J111" s="321"/>
      <c r="K111" s="297" t="str">
        <f>IF(OR(ISBLANK($F111)=FALSE,$S111=TRUE),IF(H111="","No","Yes"),"")</f>
        <v/>
      </c>
      <c r="L111" s="297" t="str">
        <f>IF(ISBLANK($F111)=FALSE,IF(I111="","No","Yes"),IF($S111=TRUE,"NA",""))</f>
        <v/>
      </c>
      <c r="M111" s="496"/>
      <c r="N111" s="496"/>
      <c r="O111" s="496"/>
      <c r="P111" s="538" t="s">
        <v>242</v>
      </c>
      <c r="Q111" s="538"/>
      <c r="R111" s="538"/>
      <c r="S111" s="846" t="b">
        <v>0</v>
      </c>
      <c r="T111" s="496"/>
      <c r="U111" s="538"/>
      <c r="V111" s="538"/>
      <c r="W111" s="538"/>
      <c r="X111" s="538"/>
      <c r="Y111" s="538"/>
      <c r="Z111" s="538"/>
      <c r="AA111" s="538"/>
      <c r="AB111" s="538"/>
      <c r="AC111" s="538"/>
      <c r="AD111" s="538"/>
    </row>
    <row r="112" spans="1:30" ht="45" customHeight="1">
      <c r="A112" s="496"/>
      <c r="B112" s="317" t="str">
        <f>IF($C$5=$O$5,"","EMI-5")</f>
        <v>EMI-5</v>
      </c>
      <c r="C112" s="318" t="str">
        <f>IF($C$5=$O$5,"","Stormwater (January 2011)")</f>
        <v>Stormwater (January 2011)</v>
      </c>
      <c r="D112" s="318" t="str">
        <f>IF($C$5=$O$5,"-","")</f>
        <v/>
      </c>
      <c r="E112" s="319">
        <f>IF($C$5=$O$5,0,3)</f>
        <v>3</v>
      </c>
      <c r="F112" s="320"/>
      <c r="G112" s="328"/>
      <c r="H112" s="233"/>
      <c r="I112" s="233"/>
      <c r="J112" s="321"/>
      <c r="K112" s="297" t="str">
        <f>IF(ISBLANK($F112)=FALSE,IF(H112="","No","Yes"),"")</f>
        <v/>
      </c>
      <c r="L112" s="297" t="str">
        <f>IF(ISBLANK($F112)=FALSE,IF(I112="","No","Yes"),IF($S112=TRUE,"NA",""))</f>
        <v/>
      </c>
      <c r="M112" s="496"/>
      <c r="N112" s="496"/>
      <c r="O112" s="496"/>
      <c r="P112" s="538" t="s">
        <v>242</v>
      </c>
      <c r="Q112" s="538" t="s">
        <v>242</v>
      </c>
      <c r="R112" s="538"/>
      <c r="S112" s="846" t="b">
        <v>0</v>
      </c>
      <c r="T112" s="496"/>
      <c r="U112" s="538"/>
      <c r="V112" s="538"/>
      <c r="W112" s="538"/>
      <c r="X112" s="538"/>
      <c r="Y112" s="538"/>
      <c r="Z112" s="538"/>
      <c r="AA112" s="538"/>
      <c r="AB112" s="538"/>
      <c r="AC112" s="538"/>
      <c r="AD112" s="538"/>
    </row>
    <row r="113" spans="2:19" ht="45" customHeight="1">
      <c r="B113" s="1458" t="str">
        <f>IF($C$5=$O$5,"","EMI-6")</f>
        <v>EMI-6</v>
      </c>
      <c r="C113" s="1460" t="str">
        <f>IF($C$5=$O$3,"Reduced Flow to Sewer",IF($C$5=$O$5,"","Discharge to Sewer"))</f>
        <v>Discharge to Sewer</v>
      </c>
      <c r="D113" s="318" t="str">
        <f>IF($C$5=$O$5,"-",IF($C$5=$O$4,"Reduction in Flows to Sewer",""))</f>
        <v/>
      </c>
      <c r="E113" s="319">
        <f>IF($C$5=$O$3,4,IF($C$5=$O$4,4,IF($C$5=$O$5,0,)))</f>
        <v>0</v>
      </c>
      <c r="F113" s="320"/>
      <c r="G113" s="328"/>
      <c r="H113" s="233"/>
      <c r="I113" s="233"/>
      <c r="J113" s="321"/>
      <c r="K113" s="297" t="str">
        <f>IF(OR(ISBLANK($F113)=FALSE,$S113=TRUE),IF(H113="","No","Yes"),"")</f>
        <v/>
      </c>
      <c r="L113" s="297" t="str">
        <f>IF(ISBLANK($F113)=FALSE,IF(I113="","No","Yes"),IF($S113=TRUE,"Yes",""))</f>
        <v/>
      </c>
      <c r="M113" s="496"/>
      <c r="N113" s="496"/>
      <c r="O113" s="496"/>
      <c r="P113" s="538"/>
      <c r="Q113" s="538"/>
      <c r="R113" s="538"/>
      <c r="S113" s="846"/>
    </row>
    <row r="114" spans="2:19" ht="45" customHeight="1">
      <c r="B114" s="1459"/>
      <c r="C114" s="1461"/>
      <c r="D114" s="318" t="str">
        <f>IF($C$5=$O$4,"Blackwater Plant","-")</f>
        <v>-</v>
      </c>
      <c r="E114" s="319">
        <f>IF($C$5=$O$4,1,0)</f>
        <v>0</v>
      </c>
      <c r="F114" s="320"/>
      <c r="G114" s="328"/>
      <c r="H114" s="233"/>
      <c r="I114" s="233"/>
      <c r="J114" s="321"/>
      <c r="K114" s="297" t="str">
        <f>IF(OR(ISBLANK($F114)=FALSE,$S114=TRUE),IF(H114="","No","Yes"),"")</f>
        <v/>
      </c>
      <c r="L114" s="297" t="str">
        <f>IF(ISBLANK($F114)=FALSE,IF(I114="","No","Yes"),IF($S114=TRUE,"NA",""))</f>
        <v/>
      </c>
      <c r="M114" s="496"/>
      <c r="N114" s="496"/>
      <c r="O114" s="496"/>
      <c r="P114" s="538"/>
      <c r="Q114" s="538" t="s">
        <v>242</v>
      </c>
      <c r="R114" s="538"/>
      <c r="S114" s="846" t="b">
        <v>0</v>
      </c>
    </row>
    <row r="115" spans="2:19" ht="45" customHeight="1">
      <c r="B115" s="317" t="str">
        <f>IF($C$5=$O$5,"","EMI-7")</f>
        <v>EMI-7</v>
      </c>
      <c r="C115" s="318" t="str">
        <f>IF($C$5=$O$5,"","Light Pollution")</f>
        <v>Light Pollution</v>
      </c>
      <c r="D115" s="318" t="str">
        <f>IF($C$5=$O$5,"-","")</f>
        <v/>
      </c>
      <c r="E115" s="319">
        <f>IF($C$5=$O$5,0,1)</f>
        <v>1</v>
      </c>
      <c r="F115" s="320"/>
      <c r="G115" s="328"/>
      <c r="H115" s="233"/>
      <c r="I115" s="233"/>
      <c r="J115" s="321"/>
      <c r="K115" s="297" t="str">
        <f t="shared" ref="K115:L117" si="14">IF(ISBLANK($F115)=FALSE,IF(H115="","No","Yes"),"")</f>
        <v/>
      </c>
      <c r="L115" s="297" t="str">
        <f t="shared" si="14"/>
        <v/>
      </c>
      <c r="M115" s="496"/>
      <c r="N115" s="496"/>
      <c r="O115" s="496"/>
      <c r="P115" s="538"/>
      <c r="Q115" s="538"/>
      <c r="R115" s="538"/>
      <c r="S115" s="846"/>
    </row>
    <row r="116" spans="2:19" ht="45" customHeight="1">
      <c r="B116" s="317" t="str">
        <f>IF($C$5=$O$5,"","EMI-8")</f>
        <v>EMI-8</v>
      </c>
      <c r="C116" s="318" t="str">
        <f>IF($C$5=$O$5,"","Legionella (April 2008)")</f>
        <v>Legionella (April 2008)</v>
      </c>
      <c r="D116" s="318" t="str">
        <f>IF($C$5=$O$5,"-","")</f>
        <v/>
      </c>
      <c r="E116" s="319">
        <f>IF($C$5=$O$5,0,1)</f>
        <v>1</v>
      </c>
      <c r="F116" s="320"/>
      <c r="G116" s="328"/>
      <c r="H116" s="233"/>
      <c r="I116" s="233"/>
      <c r="J116" s="321"/>
      <c r="K116" s="297" t="str">
        <f t="shared" si="14"/>
        <v/>
      </c>
      <c r="L116" s="297" t="str">
        <f t="shared" si="14"/>
        <v/>
      </c>
      <c r="M116" s="496"/>
      <c r="N116" s="496"/>
      <c r="O116" s="496"/>
      <c r="P116" s="538"/>
      <c r="Q116" s="538"/>
      <c r="R116" s="538"/>
      <c r="S116" s="846"/>
    </row>
    <row r="117" spans="2:19" ht="45" customHeight="1">
      <c r="B117" s="317" t="str">
        <f>IF($C$5=$O$3,"EMI-9","")</f>
        <v/>
      </c>
      <c r="C117" s="318" t="str">
        <f>IF($C$5=$O$3,"Insulant ODP","")</f>
        <v/>
      </c>
      <c r="D117" s="318" t="str">
        <f>IF($C$5=$O$3,"","-")</f>
        <v>-</v>
      </c>
      <c r="E117" s="319">
        <f>IF($C$5=$O$3,1,0)</f>
        <v>0</v>
      </c>
      <c r="F117" s="320"/>
      <c r="G117" s="328"/>
      <c r="H117" s="233"/>
      <c r="I117" s="233"/>
      <c r="J117" s="321"/>
      <c r="K117" s="297" t="str">
        <f t="shared" si="14"/>
        <v/>
      </c>
      <c r="L117" s="297" t="str">
        <f t="shared" si="14"/>
        <v/>
      </c>
      <c r="M117" s="496"/>
      <c r="N117" s="496"/>
      <c r="O117" s="496"/>
      <c r="P117" s="538"/>
      <c r="Q117" s="538"/>
      <c r="R117" s="538"/>
      <c r="S117" s="846"/>
    </row>
    <row r="118" spans="2:19" ht="45" customHeight="1">
      <c r="B118" s="176" t="s">
        <v>963</v>
      </c>
      <c r="C118" s="93"/>
      <c r="D118" s="322"/>
      <c r="E118" s="85">
        <f>SUM(E108:E117)</f>
        <v>11</v>
      </c>
      <c r="F118" s="216" t="str">
        <f>IFERROR(SUM(F108:F117)/E118*E107*100,"")</f>
        <v/>
      </c>
      <c r="G118" s="210"/>
      <c r="H118" s="323"/>
      <c r="I118" s="323"/>
      <c r="J118" s="324"/>
      <c r="K118" s="325"/>
      <c r="L118" s="325"/>
      <c r="M118" s="496"/>
      <c r="N118" s="496"/>
      <c r="O118" s="496"/>
      <c r="P118" s="538"/>
      <c r="Q118" s="538"/>
      <c r="R118" s="538"/>
      <c r="S118" s="846"/>
    </row>
    <row r="119" spans="2:19" ht="45" customHeight="1">
      <c r="B119" s="222"/>
      <c r="C119" s="326"/>
      <c r="D119" s="327"/>
      <c r="E119" s="196"/>
      <c r="F119" s="32"/>
      <c r="G119" s="210"/>
      <c r="H119" s="225"/>
      <c r="I119" s="225"/>
      <c r="J119" s="210"/>
      <c r="K119" s="32"/>
      <c r="L119" s="32"/>
      <c r="M119" s="496"/>
      <c r="N119" s="496"/>
      <c r="O119" s="496"/>
      <c r="P119" s="538"/>
      <c r="Q119" s="538"/>
      <c r="R119" s="538"/>
      <c r="S119" s="846"/>
    </row>
    <row r="120" spans="2:19" ht="45" customHeight="1">
      <c r="B120" s="311" t="s">
        <v>419</v>
      </c>
      <c r="C120" s="312"/>
      <c r="D120" s="313"/>
      <c r="E120" s="314"/>
      <c r="F120" s="315"/>
      <c r="G120" s="210"/>
      <c r="H120" s="316"/>
      <c r="I120" s="316"/>
      <c r="J120" s="331"/>
      <c r="K120" s="315"/>
      <c r="L120" s="315"/>
      <c r="M120" s="496"/>
      <c r="N120" s="496"/>
      <c r="O120" s="496"/>
      <c r="P120" s="538"/>
      <c r="Q120" s="538"/>
      <c r="R120" s="538"/>
      <c r="S120" s="846"/>
    </row>
    <row r="121" spans="2:19" ht="45" customHeight="1">
      <c r="B121" s="317" t="s">
        <v>1079</v>
      </c>
      <c r="C121" s="318" t="s">
        <v>1242</v>
      </c>
      <c r="D121" s="333"/>
      <c r="E121" s="1462">
        <v>10</v>
      </c>
      <c r="F121" s="320"/>
      <c r="G121" s="328"/>
      <c r="H121" s="233"/>
      <c r="I121" s="233"/>
      <c r="J121" s="321"/>
      <c r="K121" s="297" t="str">
        <f t="shared" ref="K121:L123" si="15">IF(ISBLANK($F121)=FALSE,IF(H121="","No","Yes"),"")</f>
        <v/>
      </c>
      <c r="L121" s="297" t="str">
        <f t="shared" si="15"/>
        <v/>
      </c>
      <c r="M121" s="496"/>
      <c r="N121" s="496"/>
      <c r="O121" s="496"/>
      <c r="P121" s="538"/>
      <c r="Q121" s="538"/>
      <c r="R121" s="538"/>
      <c r="S121" s="846"/>
    </row>
    <row r="122" spans="2:19" ht="45" customHeight="1">
      <c r="B122" s="317" t="s">
        <v>1243</v>
      </c>
      <c r="C122" s="318" t="s">
        <v>1244</v>
      </c>
      <c r="D122" s="334"/>
      <c r="E122" s="1464"/>
      <c r="F122" s="320"/>
      <c r="G122" s="328"/>
      <c r="H122" s="233"/>
      <c r="I122" s="233"/>
      <c r="J122" s="321"/>
      <c r="K122" s="297" t="str">
        <f t="shared" si="15"/>
        <v/>
      </c>
      <c r="L122" s="297" t="str">
        <f t="shared" si="15"/>
        <v/>
      </c>
      <c r="M122" s="496"/>
      <c r="N122" s="496"/>
      <c r="O122" s="496"/>
      <c r="P122" s="538"/>
      <c r="Q122" s="538"/>
      <c r="R122" s="538"/>
      <c r="S122" s="846"/>
    </row>
    <row r="123" spans="2:19" ht="45" customHeight="1">
      <c r="B123" s="317" t="s">
        <v>1245</v>
      </c>
      <c r="C123" s="318" t="s">
        <v>1246</v>
      </c>
      <c r="D123" s="329"/>
      <c r="E123" s="1463"/>
      <c r="F123" s="320"/>
      <c r="G123" s="328"/>
      <c r="H123" s="233"/>
      <c r="I123" s="233"/>
      <c r="J123" s="321"/>
      <c r="K123" s="297" t="str">
        <f t="shared" si="15"/>
        <v/>
      </c>
      <c r="L123" s="297" t="str">
        <f t="shared" si="15"/>
        <v/>
      </c>
      <c r="M123" s="496"/>
      <c r="N123" s="496"/>
      <c r="O123" s="496"/>
      <c r="P123" s="538"/>
      <c r="Q123" s="538"/>
      <c r="R123" s="538"/>
      <c r="S123" s="846"/>
    </row>
    <row r="124" spans="2:19" ht="45" customHeight="1">
      <c r="B124" s="176" t="s">
        <v>963</v>
      </c>
      <c r="C124" s="93"/>
      <c r="D124" s="322"/>
      <c r="E124" s="85">
        <v>10</v>
      </c>
      <c r="F124" s="85">
        <f>IF(SUM(F121:F123)&gt;10,10,SUM(F121:F123))</f>
        <v>0</v>
      </c>
      <c r="G124" s="210"/>
      <c r="H124" s="323"/>
      <c r="I124" s="323"/>
      <c r="J124" s="324"/>
      <c r="K124" s="219"/>
      <c r="L124" s="219"/>
      <c r="M124" s="496"/>
      <c r="N124" s="496"/>
      <c r="O124" s="496"/>
      <c r="P124" s="538"/>
      <c r="Q124" s="538"/>
      <c r="R124" s="538"/>
      <c r="S124" s="846"/>
    </row>
    <row r="125" spans="2:19" ht="45" customHeight="1">
      <c r="B125" s="222"/>
      <c r="C125" s="326"/>
      <c r="D125" s="326"/>
      <c r="E125" s="196"/>
      <c r="F125" s="196"/>
      <c r="G125" s="496"/>
      <c r="H125" s="904"/>
      <c r="I125" s="904"/>
      <c r="J125" s="496"/>
      <c r="K125" s="335"/>
      <c r="L125" s="335"/>
      <c r="M125" s="496"/>
      <c r="N125" s="496"/>
      <c r="O125" s="496"/>
      <c r="P125" s="538"/>
      <c r="Q125" s="538"/>
      <c r="R125" s="538"/>
      <c r="S125" s="846"/>
    </row>
    <row r="126" spans="2:19" ht="45" customHeight="1">
      <c r="B126" s="192"/>
      <c r="C126" s="815"/>
      <c r="D126" s="230" t="s">
        <v>437</v>
      </c>
      <c r="E126" s="218"/>
      <c r="F126" s="218"/>
      <c r="G126" s="496"/>
      <c r="H126" s="201" t="s">
        <v>599</v>
      </c>
      <c r="I126" s="201" t="s">
        <v>600</v>
      </c>
      <c r="J126" s="192"/>
      <c r="K126" s="192"/>
      <c r="L126" s="192"/>
      <c r="M126" s="496"/>
      <c r="N126" s="496"/>
      <c r="O126" s="496"/>
      <c r="P126" s="538"/>
      <c r="Q126" s="538"/>
      <c r="R126" s="538"/>
      <c r="S126" s="846"/>
    </row>
    <row r="127" spans="2:19" ht="45" customHeight="1">
      <c r="B127" s="192"/>
      <c r="C127" s="815"/>
      <c r="D127" s="336" t="s">
        <v>440</v>
      </c>
      <c r="E127" s="337"/>
      <c r="F127" s="233"/>
      <c r="G127" s="210"/>
      <c r="H127" s="338">
        <f>SUMIF(K9:K123,"Yes",H9:H123)</f>
        <v>0</v>
      </c>
      <c r="I127" s="338">
        <f>SUMIF(L9:L123,"Yes",I9:I123)</f>
        <v>0</v>
      </c>
      <c r="J127" s="496"/>
      <c r="K127" s="538"/>
      <c r="L127" s="538"/>
      <c r="M127" s="496"/>
      <c r="N127" s="496"/>
      <c r="O127" s="496"/>
      <c r="P127" s="538"/>
      <c r="Q127" s="538"/>
      <c r="R127" s="538"/>
      <c r="S127" s="846"/>
    </row>
    <row r="128" spans="2:19" ht="45" customHeight="1">
      <c r="B128" s="192"/>
      <c r="C128" s="815"/>
      <c r="D128" s="336" t="s">
        <v>441</v>
      </c>
      <c r="E128" s="337"/>
      <c r="F128" s="233"/>
      <c r="G128" s="210"/>
      <c r="H128" s="225"/>
      <c r="I128" s="225"/>
      <c r="J128" s="496"/>
      <c r="K128" s="538"/>
      <c r="L128" s="538"/>
      <c r="M128" s="496"/>
      <c r="N128" s="496"/>
      <c r="O128" s="496"/>
      <c r="P128" s="538"/>
      <c r="Q128" s="538"/>
      <c r="R128" s="538"/>
      <c r="S128" s="846"/>
    </row>
    <row r="129" spans="1:9" ht="45" customHeight="1">
      <c r="A129" s="496"/>
      <c r="B129" s="192"/>
      <c r="C129" s="815"/>
      <c r="D129" s="339" t="s">
        <v>442</v>
      </c>
      <c r="E129" s="340"/>
      <c r="F129" s="341">
        <f>SUM(F127:F128)</f>
        <v>0</v>
      </c>
      <c r="G129" s="210"/>
      <c r="H129" s="192"/>
      <c r="I129" s="225"/>
    </row>
    <row r="130" spans="1:9" ht="45" customHeight="1">
      <c r="A130" s="496"/>
      <c r="B130" s="192"/>
      <c r="C130" s="815"/>
      <c r="D130" s="336" t="s">
        <v>443</v>
      </c>
      <c r="E130" s="337"/>
      <c r="F130" s="233"/>
      <c r="G130" s="210"/>
      <c r="H130" s="192"/>
      <c r="I130" s="225"/>
    </row>
    <row r="131" spans="1:9" ht="45" customHeight="1">
      <c r="A131" s="496"/>
      <c r="B131" s="192"/>
      <c r="C131" s="815"/>
      <c r="D131" s="336" t="s">
        <v>107</v>
      </c>
      <c r="E131" s="337"/>
      <c r="F131" s="341">
        <f>H127</f>
        <v>0</v>
      </c>
      <c r="G131" s="210"/>
      <c r="H131" s="192"/>
      <c r="I131" s="225"/>
    </row>
    <row r="132" spans="1:9" ht="45" customHeight="1">
      <c r="A132" s="496"/>
      <c r="B132" s="192"/>
      <c r="C132" s="815"/>
      <c r="D132" s="336" t="s">
        <v>444</v>
      </c>
      <c r="E132" s="337"/>
      <c r="F132" s="341">
        <f>I127</f>
        <v>0</v>
      </c>
      <c r="G132" s="210"/>
      <c r="H132" s="192"/>
      <c r="I132" s="225"/>
    </row>
    <row r="133" spans="1:9" ht="45" customHeight="1">
      <c r="A133" s="496"/>
      <c r="B133" s="192"/>
      <c r="C133" s="815"/>
      <c r="D133" s="339" t="s">
        <v>445</v>
      </c>
      <c r="E133" s="340"/>
      <c r="F133" s="342">
        <f>SUM(F130:F132)</f>
        <v>0</v>
      </c>
      <c r="G133" s="210"/>
      <c r="H133" s="192"/>
      <c r="I133" s="225"/>
    </row>
    <row r="134" spans="1:9" ht="45" customHeight="1">
      <c r="A134" s="496"/>
      <c r="B134" s="496"/>
      <c r="C134" s="815"/>
      <c r="D134" s="317" t="s">
        <v>112</v>
      </c>
      <c r="E134" s="319"/>
      <c r="F134" s="343">
        <f>IFERROR(F133/F129,0)</f>
        <v>0</v>
      </c>
      <c r="G134" s="210"/>
      <c r="H134" s="192"/>
      <c r="I134" s="225"/>
    </row>
    <row r="135" spans="1:9" ht="30" customHeight="1">
      <c r="A135" s="496"/>
      <c r="B135" s="496"/>
      <c r="C135" s="815"/>
      <c r="D135" s="815"/>
      <c r="E135" s="942"/>
      <c r="F135" s="538"/>
      <c r="G135" s="496"/>
      <c r="H135" s="904"/>
      <c r="I135" s="904"/>
    </row>
    <row r="136" spans="1:9" ht="30" customHeight="1">
      <c r="A136" s="142"/>
      <c r="B136" s="100"/>
      <c r="C136" s="815"/>
      <c r="D136" s="230" t="s">
        <v>101</v>
      </c>
      <c r="E136" s="243"/>
      <c r="F136" s="244" t="s">
        <v>602</v>
      </c>
      <c r="G136" s="243"/>
      <c r="H136" s="904"/>
      <c r="I136" s="904"/>
    </row>
    <row r="137" spans="1:9" ht="35.1" customHeight="1">
      <c r="A137" s="142"/>
      <c r="B137" s="100"/>
      <c r="C137" s="815"/>
      <c r="D137" s="114" t="s">
        <v>447</v>
      </c>
      <c r="E137" s="948" t="s">
        <v>937</v>
      </c>
      <c r="F137" s="1227" t="str">
        <f>IF(E137="Yes","No Issues", IF(E137="No","Contact project team","Check scorecard points"))</f>
        <v>Check scorecard points</v>
      </c>
      <c r="G137" s="1227"/>
      <c r="H137" s="904"/>
      <c r="I137" s="904"/>
    </row>
    <row r="138" spans="1:9" ht="35.1" customHeight="1">
      <c r="A138" s="142"/>
      <c r="B138" s="100"/>
      <c r="C138" s="815"/>
      <c r="D138" s="114" t="s">
        <v>604</v>
      </c>
      <c r="E138" s="948">
        <f>COUNTA(F9:F18,F22:F45,F49:F59,F63:F67,F71:F78,F82:F92,F99:F103,F108:F117,F121:F123)+COUNTIF(S9:S123,TRUE)</f>
        <v>0</v>
      </c>
      <c r="F138" s="1227" t="str">
        <f>IF(E138=0,"No credits entered","No Issues")</f>
        <v>No credits entered</v>
      </c>
      <c r="G138" s="1227"/>
      <c r="H138" s="904"/>
      <c r="I138" s="904"/>
    </row>
    <row r="139" spans="1:9" ht="35.1" customHeight="1">
      <c r="A139" s="142"/>
      <c r="B139" s="100"/>
      <c r="C139" s="815"/>
      <c r="D139" s="114" t="s">
        <v>450</v>
      </c>
      <c r="E139" s="948">
        <f>COUNTIF(S9:S123,TRUE)</f>
        <v>0</v>
      </c>
      <c r="F139" s="1304" t="str">
        <f>IF(E139=0,"No Issues - No NA credits claimed",CONCATENATE("No Issues - ",E139," Implementation Costs not needed"))</f>
        <v>No Issues - No NA credits claimed</v>
      </c>
      <c r="G139" s="1304"/>
      <c r="H139" s="904"/>
      <c r="I139" s="904"/>
    </row>
    <row r="140" spans="1:9" ht="60" customHeight="1">
      <c r="A140" s="142"/>
      <c r="B140" s="100"/>
      <c r="C140" s="815"/>
      <c r="D140" s="114" t="s">
        <v>451</v>
      </c>
      <c r="E140" s="948">
        <f>COUNTIF(K9:K123,"Yes")</f>
        <v>0</v>
      </c>
      <c r="F140" s="1229" t="str">
        <f>IF(E140&lt;E138,CONCATENATE(E138-E140," documentation costs missing"),IF(E140=0,"No credits entered",IF(COUNTIF(H9:H123,0)&gt;0,CONCATENATE(COUNTIF(H9:H123,0)," $0 cost(s) provided. Enter a value or explain the $0 value in the Comments column."),"No Issues")))</f>
        <v>No credits entered</v>
      </c>
      <c r="G140" s="1229"/>
      <c r="H140" s="454"/>
      <c r="I140" s="596"/>
    </row>
    <row r="141" spans="1:9" ht="60" customHeight="1">
      <c r="A141" s="142"/>
      <c r="B141" s="100"/>
      <c r="C141" s="815"/>
      <c r="D141" s="114" t="s">
        <v>452</v>
      </c>
      <c r="E141" s="948">
        <f>COUNTIF(L9:L123,"Yes")</f>
        <v>0</v>
      </c>
      <c r="F141" s="1229" t="str">
        <f>IF(E141&lt;(E138-E139),CONCATENATE(E138-E141-E139," implementation costs missing"),IF(E141=0,"No credits entered",IF(COUNTIF(I9:I123,0)&gt;ROUND(0.25*E138,0),CONCATENATE(COUNTIF(I9:I123,0)," $0 cost(s) provided. Enter a value or explain the $0 value in the Comments column."),"No Issues")))</f>
        <v>No credits entered</v>
      </c>
      <c r="G141" s="1229"/>
      <c r="H141" s="454"/>
      <c r="I141" s="596"/>
    </row>
    <row r="142" spans="1:9" ht="35.1" customHeight="1">
      <c r="A142" s="142"/>
      <c r="B142" s="100"/>
      <c r="C142" s="815"/>
      <c r="D142" s="114" t="s">
        <v>453</v>
      </c>
      <c r="E142" s="948" t="str">
        <f>IF(F127&gt;0,"Yes","No")</f>
        <v>No</v>
      </c>
      <c r="F142" s="1229" t="str">
        <f>IF(E142="No","Total Design Cost missing","No Issues")</f>
        <v>Total Design Cost missing</v>
      </c>
      <c r="G142" s="1229"/>
      <c r="H142" s="904"/>
      <c r="I142" s="904"/>
    </row>
    <row r="143" spans="1:9" ht="35.1" customHeight="1">
      <c r="A143" s="142"/>
      <c r="B143" s="100"/>
      <c r="C143" s="815"/>
      <c r="D143" s="114" t="s">
        <v>454</v>
      </c>
      <c r="E143" s="948" t="str">
        <f>IF(F128&gt;0,"Yes","No")</f>
        <v>No</v>
      </c>
      <c r="F143" s="1229" t="str">
        <f>IF(E143="No","Total Construction Cost missing","No Issues")</f>
        <v>Total Construction Cost missing</v>
      </c>
      <c r="G143" s="1229"/>
      <c r="H143" s="904"/>
      <c r="I143" s="904"/>
    </row>
    <row r="144" spans="1:9" ht="35.1" customHeight="1">
      <c r="A144" s="142"/>
      <c r="B144" s="100"/>
      <c r="C144" s="815"/>
      <c r="D144" s="114" t="s">
        <v>455</v>
      </c>
      <c r="E144" s="948" t="str">
        <f>IF(F130&gt;0,"Yes","No")</f>
        <v>No</v>
      </c>
      <c r="F144" s="1229" t="str">
        <f>IF(E144="No","Green Star Certification Fees missing","No Issues")</f>
        <v>Green Star Certification Fees missing</v>
      </c>
      <c r="G144" s="1229"/>
      <c r="H144" s="904"/>
      <c r="I144" s="904"/>
    </row>
    <row r="145" spans="1:30" ht="35.1" hidden="1" customHeight="1">
      <c r="A145" s="142" t="s">
        <v>14</v>
      </c>
      <c r="B145" s="100"/>
      <c r="C145" s="815"/>
      <c r="D145" s="589" t="s">
        <v>188</v>
      </c>
      <c r="E145" s="590"/>
      <c r="F145" s="1230" t="s">
        <v>652</v>
      </c>
      <c r="G145" s="1230"/>
      <c r="H145" s="904"/>
      <c r="I145" s="904"/>
      <c r="J145" s="496"/>
      <c r="K145" s="538"/>
      <c r="L145" s="538"/>
      <c r="M145" s="496"/>
      <c r="N145" s="496"/>
      <c r="O145" s="496"/>
      <c r="P145" s="538"/>
      <c r="Q145" s="538"/>
      <c r="R145" s="538"/>
      <c r="S145" s="846"/>
      <c r="T145" s="496"/>
      <c r="U145" s="538"/>
      <c r="V145" s="538"/>
      <c r="W145" s="538"/>
      <c r="X145" s="538"/>
      <c r="Y145" s="538"/>
      <c r="Z145" s="538"/>
      <c r="AA145" s="538"/>
      <c r="AB145" s="538"/>
      <c r="AC145" s="538"/>
      <c r="AD145" s="538"/>
    </row>
    <row r="146" spans="1:30" ht="45" hidden="1" customHeight="1">
      <c r="A146" s="143" t="s">
        <v>14</v>
      </c>
      <c r="B146" s="496"/>
      <c r="C146" s="815"/>
      <c r="D146" s="122" t="s">
        <v>457</v>
      </c>
      <c r="E146" s="1470" t="str">
        <f>IF(OR(COUNTIF(F137:G144,"No Issues*")=8,F145="YES"),"1 POINT AWARDED","1 POINT NOT AWARDED")</f>
        <v>1 POINT NOT AWARDED</v>
      </c>
      <c r="F146" s="1470"/>
      <c r="G146" s="1470"/>
      <c r="H146" s="904"/>
      <c r="I146" s="904"/>
      <c r="J146" s="496"/>
      <c r="K146" s="538"/>
      <c r="L146" s="538"/>
      <c r="M146" s="496"/>
      <c r="N146" s="496"/>
      <c r="O146" s="496"/>
      <c r="P146" s="538"/>
      <c r="Q146" s="538"/>
      <c r="R146" s="538"/>
      <c r="S146" s="846"/>
      <c r="T146" s="496"/>
      <c r="U146" s="538"/>
      <c r="V146" s="538"/>
      <c r="W146" s="538"/>
      <c r="X146" s="538"/>
      <c r="Y146" s="538"/>
      <c r="Z146" s="538"/>
      <c r="AA146" s="538"/>
      <c r="AB146" s="538"/>
      <c r="AC146" s="538"/>
      <c r="AD146" s="538"/>
    </row>
  </sheetData>
  <sheetProtection algorithmName="SHA-512" hashValue="wuSs8oMoZQT4ZS4HGTQ3JHFWLN/+DJCX/5PO6ArC1sxJmPuRdzU3NIDJPZsVJgF+SSFSR/NRTjqk0qFxDksEWA==" saltValue="TrXKwNgwoyM1rUknzFeo4Q==" spinCount="100000" sheet="1" objects="1" scenarios="1"/>
  <sortState xmlns:xlrd2="http://schemas.microsoft.com/office/spreadsheetml/2017/richdata2" ref="U3:AC10">
    <sortCondition ref="U3"/>
  </sortState>
  <customSheetViews>
    <customSheetView guid="{CEACA748-A46A-4C8B-98CF-30E51B671B84}" scale="80" showGridLines="0" hiddenColumns="1">
      <pane ySplit="7" topLeftCell="A140" activePane="bottomLeft" state="frozen"/>
      <selection pane="bottomLeft" activeCell="E147" sqref="E147"/>
      <pageMargins left="0" right="0" top="0" bottom="0" header="0" footer="0"/>
      <pageSetup orientation="portrait" horizontalDpi="300" verticalDpi="300" r:id="rId1"/>
    </customSheetView>
    <customSheetView guid="{2ED91B50-D126-4494-B9B8-889B5F8EA715}">
      <selection activeCell="E5" sqref="E5"/>
      <pageMargins left="0" right="0" top="0" bottom="0" header="0" footer="0"/>
    </customSheetView>
  </customSheetViews>
  <mergeCells count="53">
    <mergeCell ref="B31:B32"/>
    <mergeCell ref="C31:C32"/>
    <mergeCell ref="B35:B38"/>
    <mergeCell ref="C35:C38"/>
    <mergeCell ref="B52:B53"/>
    <mergeCell ref="C52:C53"/>
    <mergeCell ref="B54:B55"/>
    <mergeCell ref="C54:C55"/>
    <mergeCell ref="B65:B66"/>
    <mergeCell ref="C65:C66"/>
    <mergeCell ref="B71:B73"/>
    <mergeCell ref="C71:C73"/>
    <mergeCell ref="F144:G144"/>
    <mergeCell ref="E146:G146"/>
    <mergeCell ref="F138:G138"/>
    <mergeCell ref="F140:G140"/>
    <mergeCell ref="F141:G141"/>
    <mergeCell ref="F142:G142"/>
    <mergeCell ref="F143:G143"/>
    <mergeCell ref="F139:G139"/>
    <mergeCell ref="F145:G145"/>
    <mergeCell ref="E121:E123"/>
    <mergeCell ref="H6:I6"/>
    <mergeCell ref="F137:G137"/>
    <mergeCell ref="B1:F1"/>
    <mergeCell ref="B10:B11"/>
    <mergeCell ref="C10:C11"/>
    <mergeCell ref="B14:B15"/>
    <mergeCell ref="C14:C15"/>
    <mergeCell ref="B22:B23"/>
    <mergeCell ref="C22:C23"/>
    <mergeCell ref="B26:B27"/>
    <mergeCell ref="C26:C27"/>
    <mergeCell ref="B40:B42"/>
    <mergeCell ref="C40:C42"/>
    <mergeCell ref="B56:B57"/>
    <mergeCell ref="C56:C57"/>
    <mergeCell ref="P2:R2"/>
    <mergeCell ref="B113:B114"/>
    <mergeCell ref="C113:C114"/>
    <mergeCell ref="B50:B51"/>
    <mergeCell ref="C50:C51"/>
    <mergeCell ref="B74:B75"/>
    <mergeCell ref="C74:C75"/>
    <mergeCell ref="B87:B88"/>
    <mergeCell ref="C87:C88"/>
    <mergeCell ref="B89:B90"/>
    <mergeCell ref="C89:C90"/>
    <mergeCell ref="E89:E90"/>
    <mergeCell ref="B84:B85"/>
    <mergeCell ref="C84:C85"/>
    <mergeCell ref="B16:B17"/>
    <mergeCell ref="C16:C17"/>
  </mergeCells>
  <conditionalFormatting sqref="C2:C5 F2">
    <cfRule type="containsText" dxfId="56" priority="15" operator="containsText" text="Please">
      <formula>NOT(ISERROR(SEARCH("Please",C2)))</formula>
    </cfRule>
  </conditionalFormatting>
  <conditionalFormatting sqref="H121:L123 H9:L18 H22:L45 H49:L59 H63:L67 H71:L78 H82:L95 H99:L104 H108:L117">
    <cfRule type="expression" dxfId="55" priority="14">
      <formula>$F9=""</formula>
    </cfRule>
  </conditionalFormatting>
  <conditionalFormatting sqref="H6:J6">
    <cfRule type="containsText" dxfId="54" priority="12" operator="containsText" text="Select">
      <formula>NOT(ISERROR(SEARCH("Select",H6)))</formula>
    </cfRule>
  </conditionalFormatting>
  <conditionalFormatting sqref="B9:F123">
    <cfRule type="expression" dxfId="53" priority="10">
      <formula>$D9="-"</formula>
    </cfRule>
  </conditionalFormatting>
  <conditionalFormatting sqref="H9:H123 J9:L123">
    <cfRule type="expression" dxfId="52" priority="9">
      <formula>$S9=TRUE</formula>
    </cfRule>
  </conditionalFormatting>
  <conditionalFormatting sqref="D10:F10 D11:F11 B12:F12 D23:F23 D31:F31 D32:F32 B33:F33 B35:F38 D40:F40 D42:F42 B43:F43 D51:F51 D53:F53 B63:F63 B64:F64 D66:F66 D72:F72 D73:F73 B76:F76 B78:F78 B83:F83 D84:F84 D87:F87 D88:F88 B89:F90 B91:F91 B92:F92 B93:F93 B94:F94 B95:F95 B100:F100 B101:F101 B102:F102 B103:F103 B108:F108 B109:F109 B110:F110 B111:F111 B112:F112 D114:F114">
    <cfRule type="expression" dxfId="51" priority="7">
      <formula>$S10=TRUE</formula>
    </cfRule>
  </conditionalFormatting>
  <conditionalFormatting sqref="L10:L12 L23 L31:L33 L35 L40 L42:L43 L51 L53 L63:L64 L66 L72:L73 L76 L78 L83:L84 L87:L95 L100:L103 L108:L112 L114">
    <cfRule type="cellIs" dxfId="50" priority="4" operator="equal">
      <formula>"NA"</formula>
    </cfRule>
  </conditionalFormatting>
  <conditionalFormatting sqref="F137:G144">
    <cfRule type="containsText" dxfId="49" priority="3" operator="containsText" text="No Issues">
      <formula>NOT(ISERROR(SEARCH("No Issues",F137)))</formula>
    </cfRule>
    <cfRule type="containsText" dxfId="48" priority="13" operator="containsText" text="No Issues">
      <formula>NOT(ISERROR(SEARCH("No Issues",F137)))</formula>
    </cfRule>
  </conditionalFormatting>
  <conditionalFormatting sqref="F145">
    <cfRule type="cellIs" dxfId="47" priority="1" operator="equal">
      <formula>"YES"</formula>
    </cfRule>
  </conditionalFormatting>
  <dataValidations xWindow="390" yWindow="324" count="12">
    <dataValidation type="list" allowBlank="1" showInputMessage="1" showErrorMessage="1" promptTitle="Green Star Rating" prompt="Please select the project's targeted rating" sqref="C4" xr:uid="{00000000-0002-0000-0B00-000000000000}">
      <formula1>$N$2:$N$5</formula1>
    </dataValidation>
    <dataValidation allowBlank="1" showInputMessage="1" showErrorMessage="1" promptTitle="Project Name" prompt="Please enter the project name" sqref="C3" xr:uid="{00000000-0002-0000-0B00-000001000000}"/>
    <dataValidation allowBlank="1" showInputMessage="1" showErrorMessage="1" promptTitle="Project number" prompt="Please enter the Green Star number" sqref="C2" xr:uid="{00000000-0002-0000-0B00-000002000000}"/>
    <dataValidation type="list" allowBlank="1" showInputMessage="1" showErrorMessage="1" sqref="H6" xr:uid="{00000000-0002-0000-0B00-000003000000}">
      <formula1>$N$7:$N$9</formula1>
    </dataValidation>
    <dataValidation type="list" allowBlank="1" showInputMessage="1" showErrorMessage="1" sqref="J6" xr:uid="{00000000-0002-0000-0B00-000004000000}">
      <formula1>$O$7:$O$9</formula1>
    </dataValidation>
    <dataValidation type="whole" allowBlank="1" showInputMessage="1" showErrorMessage="1" sqref="F121:F123 F100:F104 F63:F67 F9:F18 F22:F45 F50:F59 F82:F95 F108:F117 F71:F78" xr:uid="{00000000-0002-0000-0B00-000005000000}">
      <formula1>0</formula1>
      <formula2>E9</formula2>
    </dataValidation>
    <dataValidation type="list" allowBlank="1" showInputMessage="1" showErrorMessage="1" sqref="F99 F49" xr:uid="{00000000-0002-0000-0B00-000006000000}">
      <formula1>$N$11:$N$12</formula1>
    </dataValidation>
    <dataValidation type="list" allowBlank="1" showInputMessage="1" showErrorMessage="1" promptTitle="Rating Tool Version" prompt="Please select the project's rating tool version" sqref="C5" xr:uid="{00000000-0002-0000-0B00-000007000000}">
      <formula1>$O$2:$O$5</formula1>
    </dataValidation>
    <dataValidation type="list" allowBlank="1" showInputMessage="1" showErrorMessage="1" sqref="E137" xr:uid="{00000000-0002-0000-0B00-000008000000}">
      <formula1>"Please select, Yes, No"</formula1>
    </dataValidation>
    <dataValidation type="list" allowBlank="1" showInputMessage="1" showErrorMessage="1" sqref="F2" xr:uid="{00000000-0002-0000-0B00-000009000000}">
      <formula1>$U$2:$U$10</formula1>
    </dataValidation>
    <dataValidation type="decimal" operator="greaterThanOrEqual" allowBlank="1" showInputMessage="1" showErrorMessage="1" sqref="H9:I123 F127:F128 F130" xr:uid="{00000000-0002-0000-0B00-00000A000000}">
      <formula1>0</formula1>
    </dataValidation>
    <dataValidation type="list" allowBlank="1" showInputMessage="1" showErrorMessage="1" sqref="F145:G145" xr:uid="{00000000-0002-0000-0B00-00000B000000}">
      <formula1>"YES/NO, YES, NO"</formula1>
    </dataValidation>
  </dataValidations>
  <pageMargins left="0.7" right="0.7" top="0.75" bottom="0.75" header="0.3" footer="0.3"/>
  <pageSetup orientation="portrait" horizontalDpi="300" verticalDpi="300" r:id="rId2"/>
  <ignoredErrors>
    <ignoredError sqref="K46:L48 K60:L62 K68:L70 K79:L81 K96:L98 K105:L107 K35 K39:L39 K76 K85:L86 K112 K91:K93 K87:K89"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2472" r:id="rId5" name="Check Box 8">
              <controlPr defaultSize="0" autoFill="0" autoLine="0" autoPict="0">
                <anchor moveWithCells="1">
                  <from>
                    <xdr:col>0</xdr:col>
                    <xdr:colOff>57150</xdr:colOff>
                    <xdr:row>9</xdr:row>
                    <xdr:rowOff>152400</xdr:rowOff>
                  </from>
                  <to>
                    <xdr:col>1</xdr:col>
                    <xdr:colOff>603250</xdr:colOff>
                    <xdr:row>9</xdr:row>
                    <xdr:rowOff>361950</xdr:rowOff>
                  </to>
                </anchor>
              </controlPr>
            </control>
          </mc:Choice>
        </mc:AlternateContent>
        <mc:AlternateContent xmlns:mc="http://schemas.openxmlformats.org/markup-compatibility/2006">
          <mc:Choice Requires="x14">
            <control shapeId="62474" r:id="rId6" name="Check Box 10">
              <controlPr defaultSize="0" autoFill="0" autoLine="0" autoPict="0">
                <anchor moveWithCells="1">
                  <from>
                    <xdr:col>0</xdr:col>
                    <xdr:colOff>57150</xdr:colOff>
                    <xdr:row>10</xdr:row>
                    <xdr:rowOff>152400</xdr:rowOff>
                  </from>
                  <to>
                    <xdr:col>1</xdr:col>
                    <xdr:colOff>603250</xdr:colOff>
                    <xdr:row>10</xdr:row>
                    <xdr:rowOff>361950</xdr:rowOff>
                  </to>
                </anchor>
              </controlPr>
            </control>
          </mc:Choice>
        </mc:AlternateContent>
        <mc:AlternateContent xmlns:mc="http://schemas.openxmlformats.org/markup-compatibility/2006">
          <mc:Choice Requires="x14">
            <control shapeId="62477" r:id="rId7" name="Check Box 13">
              <controlPr defaultSize="0" autoFill="0" autoLine="0" autoPict="0">
                <anchor moveWithCells="1">
                  <from>
                    <xdr:col>0</xdr:col>
                    <xdr:colOff>57150</xdr:colOff>
                    <xdr:row>30</xdr:row>
                    <xdr:rowOff>152400</xdr:rowOff>
                  </from>
                  <to>
                    <xdr:col>1</xdr:col>
                    <xdr:colOff>603250</xdr:colOff>
                    <xdr:row>30</xdr:row>
                    <xdr:rowOff>361950</xdr:rowOff>
                  </to>
                </anchor>
              </controlPr>
            </control>
          </mc:Choice>
        </mc:AlternateContent>
        <mc:AlternateContent xmlns:mc="http://schemas.openxmlformats.org/markup-compatibility/2006">
          <mc:Choice Requires="x14">
            <control shapeId="62478" r:id="rId8" name="Check Box 14">
              <controlPr defaultSize="0" autoFill="0" autoLine="0" autoPict="0">
                <anchor moveWithCells="1">
                  <from>
                    <xdr:col>0</xdr:col>
                    <xdr:colOff>57150</xdr:colOff>
                    <xdr:row>31</xdr:row>
                    <xdr:rowOff>152400</xdr:rowOff>
                  </from>
                  <to>
                    <xdr:col>1</xdr:col>
                    <xdr:colOff>603250</xdr:colOff>
                    <xdr:row>31</xdr:row>
                    <xdr:rowOff>361950</xdr:rowOff>
                  </to>
                </anchor>
              </controlPr>
            </control>
          </mc:Choice>
        </mc:AlternateContent>
        <mc:AlternateContent xmlns:mc="http://schemas.openxmlformats.org/markup-compatibility/2006">
          <mc:Choice Requires="x14">
            <control shapeId="62479" r:id="rId9" name="Check Box 15">
              <controlPr defaultSize="0" autoFill="0" autoLine="0" autoPict="0">
                <anchor moveWithCells="1">
                  <from>
                    <xdr:col>0</xdr:col>
                    <xdr:colOff>57150</xdr:colOff>
                    <xdr:row>34</xdr:row>
                    <xdr:rowOff>152400</xdr:rowOff>
                  </from>
                  <to>
                    <xdr:col>1</xdr:col>
                    <xdr:colOff>603250</xdr:colOff>
                    <xdr:row>34</xdr:row>
                    <xdr:rowOff>361950</xdr:rowOff>
                  </to>
                </anchor>
              </controlPr>
            </control>
          </mc:Choice>
        </mc:AlternateContent>
        <mc:AlternateContent xmlns:mc="http://schemas.openxmlformats.org/markup-compatibility/2006">
          <mc:Choice Requires="x14">
            <control shapeId="62481" r:id="rId10" name="Check Box 17">
              <controlPr defaultSize="0" autoFill="0" autoLine="0" autoPict="0">
                <anchor moveWithCells="1">
                  <from>
                    <xdr:col>0</xdr:col>
                    <xdr:colOff>57150</xdr:colOff>
                    <xdr:row>41</xdr:row>
                    <xdr:rowOff>152400</xdr:rowOff>
                  </from>
                  <to>
                    <xdr:col>1</xdr:col>
                    <xdr:colOff>603250</xdr:colOff>
                    <xdr:row>41</xdr:row>
                    <xdr:rowOff>361950</xdr:rowOff>
                  </to>
                </anchor>
              </controlPr>
            </control>
          </mc:Choice>
        </mc:AlternateContent>
        <mc:AlternateContent xmlns:mc="http://schemas.openxmlformats.org/markup-compatibility/2006">
          <mc:Choice Requires="x14">
            <control shapeId="62482" r:id="rId11" name="Check Box 18">
              <controlPr defaultSize="0" autoFill="0" autoLine="0" autoPict="0">
                <anchor moveWithCells="1">
                  <from>
                    <xdr:col>0</xdr:col>
                    <xdr:colOff>57150</xdr:colOff>
                    <xdr:row>42</xdr:row>
                    <xdr:rowOff>152400</xdr:rowOff>
                  </from>
                  <to>
                    <xdr:col>1</xdr:col>
                    <xdr:colOff>603250</xdr:colOff>
                    <xdr:row>42</xdr:row>
                    <xdr:rowOff>361950</xdr:rowOff>
                  </to>
                </anchor>
              </controlPr>
            </control>
          </mc:Choice>
        </mc:AlternateContent>
        <mc:AlternateContent xmlns:mc="http://schemas.openxmlformats.org/markup-compatibility/2006">
          <mc:Choice Requires="x14">
            <control shapeId="62485" r:id="rId12" name="Check Box 21">
              <controlPr defaultSize="0" autoFill="0" autoLine="0" autoPict="0">
                <anchor moveWithCells="1">
                  <from>
                    <xdr:col>0</xdr:col>
                    <xdr:colOff>57150</xdr:colOff>
                    <xdr:row>62</xdr:row>
                    <xdr:rowOff>152400</xdr:rowOff>
                  </from>
                  <to>
                    <xdr:col>1</xdr:col>
                    <xdr:colOff>603250</xdr:colOff>
                    <xdr:row>62</xdr:row>
                    <xdr:rowOff>361950</xdr:rowOff>
                  </to>
                </anchor>
              </controlPr>
            </control>
          </mc:Choice>
        </mc:AlternateContent>
        <mc:AlternateContent xmlns:mc="http://schemas.openxmlformats.org/markup-compatibility/2006">
          <mc:Choice Requires="x14">
            <control shapeId="62486" r:id="rId13" name="Check Box 22">
              <controlPr defaultSize="0" autoFill="0" autoLine="0" autoPict="0">
                <anchor moveWithCells="1">
                  <from>
                    <xdr:col>0</xdr:col>
                    <xdr:colOff>57150</xdr:colOff>
                    <xdr:row>63</xdr:row>
                    <xdr:rowOff>152400</xdr:rowOff>
                  </from>
                  <to>
                    <xdr:col>1</xdr:col>
                    <xdr:colOff>603250</xdr:colOff>
                    <xdr:row>63</xdr:row>
                    <xdr:rowOff>361950</xdr:rowOff>
                  </to>
                </anchor>
              </controlPr>
            </control>
          </mc:Choice>
        </mc:AlternateContent>
        <mc:AlternateContent xmlns:mc="http://schemas.openxmlformats.org/markup-compatibility/2006">
          <mc:Choice Requires="x14">
            <control shapeId="62488" r:id="rId14" name="Check Box 24">
              <controlPr defaultSize="0" autoFill="0" autoLine="0" autoPict="0">
                <anchor moveWithCells="1">
                  <from>
                    <xdr:col>0</xdr:col>
                    <xdr:colOff>57150</xdr:colOff>
                    <xdr:row>75</xdr:row>
                    <xdr:rowOff>152400</xdr:rowOff>
                  </from>
                  <to>
                    <xdr:col>1</xdr:col>
                    <xdr:colOff>603250</xdr:colOff>
                    <xdr:row>75</xdr:row>
                    <xdr:rowOff>361950</xdr:rowOff>
                  </to>
                </anchor>
              </controlPr>
            </control>
          </mc:Choice>
        </mc:AlternateContent>
        <mc:AlternateContent xmlns:mc="http://schemas.openxmlformats.org/markup-compatibility/2006">
          <mc:Choice Requires="x14">
            <control shapeId="62489" r:id="rId15" name="Check Box 25">
              <controlPr defaultSize="0" autoFill="0" autoLine="0" autoPict="0">
                <anchor moveWithCells="1">
                  <from>
                    <xdr:col>0</xdr:col>
                    <xdr:colOff>57150</xdr:colOff>
                    <xdr:row>77</xdr:row>
                    <xdr:rowOff>152400</xdr:rowOff>
                  </from>
                  <to>
                    <xdr:col>1</xdr:col>
                    <xdr:colOff>603250</xdr:colOff>
                    <xdr:row>77</xdr:row>
                    <xdr:rowOff>361950</xdr:rowOff>
                  </to>
                </anchor>
              </controlPr>
            </control>
          </mc:Choice>
        </mc:AlternateContent>
        <mc:AlternateContent xmlns:mc="http://schemas.openxmlformats.org/markup-compatibility/2006">
          <mc:Choice Requires="x14">
            <control shapeId="62490" r:id="rId16" name="Check Box 26">
              <controlPr defaultSize="0" autoFill="0" autoLine="0" autoPict="0">
                <anchor moveWithCells="1">
                  <from>
                    <xdr:col>0</xdr:col>
                    <xdr:colOff>57150</xdr:colOff>
                    <xdr:row>82</xdr:row>
                    <xdr:rowOff>152400</xdr:rowOff>
                  </from>
                  <to>
                    <xdr:col>1</xdr:col>
                    <xdr:colOff>603250</xdr:colOff>
                    <xdr:row>82</xdr:row>
                    <xdr:rowOff>361950</xdr:rowOff>
                  </to>
                </anchor>
              </controlPr>
            </control>
          </mc:Choice>
        </mc:AlternateContent>
        <mc:AlternateContent xmlns:mc="http://schemas.openxmlformats.org/markup-compatibility/2006">
          <mc:Choice Requires="x14">
            <control shapeId="62491" r:id="rId17" name="Check Box 27">
              <controlPr defaultSize="0" autoFill="0" autoLine="0" autoPict="0">
                <anchor moveWithCells="1">
                  <from>
                    <xdr:col>0</xdr:col>
                    <xdr:colOff>57150</xdr:colOff>
                    <xdr:row>83</xdr:row>
                    <xdr:rowOff>152400</xdr:rowOff>
                  </from>
                  <to>
                    <xdr:col>1</xdr:col>
                    <xdr:colOff>603250</xdr:colOff>
                    <xdr:row>83</xdr:row>
                    <xdr:rowOff>361950</xdr:rowOff>
                  </to>
                </anchor>
              </controlPr>
            </control>
          </mc:Choice>
        </mc:AlternateContent>
        <mc:AlternateContent xmlns:mc="http://schemas.openxmlformats.org/markup-compatibility/2006">
          <mc:Choice Requires="x14">
            <control shapeId="62493" r:id="rId18" name="Check Box 29">
              <controlPr defaultSize="0" autoFill="0" autoLine="0" autoPict="0">
                <anchor moveWithCells="1">
                  <from>
                    <xdr:col>0</xdr:col>
                    <xdr:colOff>57150</xdr:colOff>
                    <xdr:row>86</xdr:row>
                    <xdr:rowOff>152400</xdr:rowOff>
                  </from>
                  <to>
                    <xdr:col>1</xdr:col>
                    <xdr:colOff>603250</xdr:colOff>
                    <xdr:row>86</xdr:row>
                    <xdr:rowOff>361950</xdr:rowOff>
                  </to>
                </anchor>
              </controlPr>
            </control>
          </mc:Choice>
        </mc:AlternateContent>
        <mc:AlternateContent xmlns:mc="http://schemas.openxmlformats.org/markup-compatibility/2006">
          <mc:Choice Requires="x14">
            <control shapeId="62494" r:id="rId19" name="Check Box 30">
              <controlPr defaultSize="0" autoFill="0" autoLine="0" autoPict="0">
                <anchor moveWithCells="1">
                  <from>
                    <xdr:col>0</xdr:col>
                    <xdr:colOff>57150</xdr:colOff>
                    <xdr:row>87</xdr:row>
                    <xdr:rowOff>152400</xdr:rowOff>
                  </from>
                  <to>
                    <xdr:col>1</xdr:col>
                    <xdr:colOff>603250</xdr:colOff>
                    <xdr:row>87</xdr:row>
                    <xdr:rowOff>361950</xdr:rowOff>
                  </to>
                </anchor>
              </controlPr>
            </control>
          </mc:Choice>
        </mc:AlternateContent>
        <mc:AlternateContent xmlns:mc="http://schemas.openxmlformats.org/markup-compatibility/2006">
          <mc:Choice Requires="x14">
            <control shapeId="62495" r:id="rId20" name="Check Box 31">
              <controlPr defaultSize="0" autoFill="0" autoLine="0" autoPict="0">
                <anchor moveWithCells="1">
                  <from>
                    <xdr:col>0</xdr:col>
                    <xdr:colOff>57150</xdr:colOff>
                    <xdr:row>88</xdr:row>
                    <xdr:rowOff>152400</xdr:rowOff>
                  </from>
                  <to>
                    <xdr:col>1</xdr:col>
                    <xdr:colOff>603250</xdr:colOff>
                    <xdr:row>88</xdr:row>
                    <xdr:rowOff>361950</xdr:rowOff>
                  </to>
                </anchor>
              </controlPr>
            </control>
          </mc:Choice>
        </mc:AlternateContent>
        <mc:AlternateContent xmlns:mc="http://schemas.openxmlformats.org/markup-compatibility/2006">
          <mc:Choice Requires="x14">
            <control shapeId="62496" r:id="rId21" name="Check Box 32">
              <controlPr defaultSize="0" autoFill="0" autoLine="0" autoPict="0">
                <anchor moveWithCells="1">
                  <from>
                    <xdr:col>0</xdr:col>
                    <xdr:colOff>57150</xdr:colOff>
                    <xdr:row>90</xdr:row>
                    <xdr:rowOff>152400</xdr:rowOff>
                  </from>
                  <to>
                    <xdr:col>1</xdr:col>
                    <xdr:colOff>603250</xdr:colOff>
                    <xdr:row>90</xdr:row>
                    <xdr:rowOff>361950</xdr:rowOff>
                  </to>
                </anchor>
              </controlPr>
            </control>
          </mc:Choice>
        </mc:AlternateContent>
        <mc:AlternateContent xmlns:mc="http://schemas.openxmlformats.org/markup-compatibility/2006">
          <mc:Choice Requires="x14">
            <control shapeId="62497" r:id="rId22" name="Check Box 33">
              <controlPr defaultSize="0" autoFill="0" autoLine="0" autoPict="0">
                <anchor moveWithCells="1">
                  <from>
                    <xdr:col>0</xdr:col>
                    <xdr:colOff>57150</xdr:colOff>
                    <xdr:row>91</xdr:row>
                    <xdr:rowOff>152400</xdr:rowOff>
                  </from>
                  <to>
                    <xdr:col>1</xdr:col>
                    <xdr:colOff>603250</xdr:colOff>
                    <xdr:row>91</xdr:row>
                    <xdr:rowOff>361950</xdr:rowOff>
                  </to>
                </anchor>
              </controlPr>
            </control>
          </mc:Choice>
        </mc:AlternateContent>
        <mc:AlternateContent xmlns:mc="http://schemas.openxmlformats.org/markup-compatibility/2006">
          <mc:Choice Requires="x14">
            <control shapeId="62498" r:id="rId23" name="Check Box 34">
              <controlPr defaultSize="0" autoFill="0" autoLine="0" autoPict="0">
                <anchor moveWithCells="1">
                  <from>
                    <xdr:col>0</xdr:col>
                    <xdr:colOff>57150</xdr:colOff>
                    <xdr:row>92</xdr:row>
                    <xdr:rowOff>152400</xdr:rowOff>
                  </from>
                  <to>
                    <xdr:col>1</xdr:col>
                    <xdr:colOff>603250</xdr:colOff>
                    <xdr:row>92</xdr:row>
                    <xdr:rowOff>361950</xdr:rowOff>
                  </to>
                </anchor>
              </controlPr>
            </control>
          </mc:Choice>
        </mc:AlternateContent>
        <mc:AlternateContent xmlns:mc="http://schemas.openxmlformats.org/markup-compatibility/2006">
          <mc:Choice Requires="x14">
            <control shapeId="62499" r:id="rId24" name="Check Box 35">
              <controlPr defaultSize="0" autoFill="0" autoLine="0" autoPict="0">
                <anchor moveWithCells="1">
                  <from>
                    <xdr:col>0</xdr:col>
                    <xdr:colOff>57150</xdr:colOff>
                    <xdr:row>94</xdr:row>
                    <xdr:rowOff>152400</xdr:rowOff>
                  </from>
                  <to>
                    <xdr:col>1</xdr:col>
                    <xdr:colOff>603250</xdr:colOff>
                    <xdr:row>94</xdr:row>
                    <xdr:rowOff>361950</xdr:rowOff>
                  </to>
                </anchor>
              </controlPr>
            </control>
          </mc:Choice>
        </mc:AlternateContent>
        <mc:AlternateContent xmlns:mc="http://schemas.openxmlformats.org/markup-compatibility/2006">
          <mc:Choice Requires="x14">
            <control shapeId="62500" r:id="rId25" name="Check Box 36">
              <controlPr defaultSize="0" autoFill="0" autoLine="0" autoPict="0">
                <anchor moveWithCells="1">
                  <from>
                    <xdr:col>0</xdr:col>
                    <xdr:colOff>57150</xdr:colOff>
                    <xdr:row>99</xdr:row>
                    <xdr:rowOff>152400</xdr:rowOff>
                  </from>
                  <to>
                    <xdr:col>1</xdr:col>
                    <xdr:colOff>603250</xdr:colOff>
                    <xdr:row>99</xdr:row>
                    <xdr:rowOff>361950</xdr:rowOff>
                  </to>
                </anchor>
              </controlPr>
            </control>
          </mc:Choice>
        </mc:AlternateContent>
        <mc:AlternateContent xmlns:mc="http://schemas.openxmlformats.org/markup-compatibility/2006">
          <mc:Choice Requires="x14">
            <control shapeId="62501" r:id="rId26" name="Check Box 37">
              <controlPr defaultSize="0" autoFill="0" autoLine="0" autoPict="0">
                <anchor moveWithCells="1">
                  <from>
                    <xdr:col>0</xdr:col>
                    <xdr:colOff>57150</xdr:colOff>
                    <xdr:row>100</xdr:row>
                    <xdr:rowOff>152400</xdr:rowOff>
                  </from>
                  <to>
                    <xdr:col>1</xdr:col>
                    <xdr:colOff>603250</xdr:colOff>
                    <xdr:row>100</xdr:row>
                    <xdr:rowOff>361950</xdr:rowOff>
                  </to>
                </anchor>
              </controlPr>
            </control>
          </mc:Choice>
        </mc:AlternateContent>
        <mc:AlternateContent xmlns:mc="http://schemas.openxmlformats.org/markup-compatibility/2006">
          <mc:Choice Requires="x14">
            <control shapeId="62502" r:id="rId27" name="Check Box 38">
              <controlPr defaultSize="0" autoFill="0" autoLine="0" autoPict="0">
                <anchor moveWithCells="1">
                  <from>
                    <xdr:col>0</xdr:col>
                    <xdr:colOff>57150</xdr:colOff>
                    <xdr:row>101</xdr:row>
                    <xdr:rowOff>152400</xdr:rowOff>
                  </from>
                  <to>
                    <xdr:col>1</xdr:col>
                    <xdr:colOff>603250</xdr:colOff>
                    <xdr:row>101</xdr:row>
                    <xdr:rowOff>361950</xdr:rowOff>
                  </to>
                </anchor>
              </controlPr>
            </control>
          </mc:Choice>
        </mc:AlternateContent>
        <mc:AlternateContent xmlns:mc="http://schemas.openxmlformats.org/markup-compatibility/2006">
          <mc:Choice Requires="x14">
            <control shapeId="62503" r:id="rId28" name="Check Box 39">
              <controlPr defaultSize="0" autoFill="0" autoLine="0" autoPict="0">
                <anchor moveWithCells="1">
                  <from>
                    <xdr:col>0</xdr:col>
                    <xdr:colOff>57150</xdr:colOff>
                    <xdr:row>102</xdr:row>
                    <xdr:rowOff>152400</xdr:rowOff>
                  </from>
                  <to>
                    <xdr:col>1</xdr:col>
                    <xdr:colOff>603250</xdr:colOff>
                    <xdr:row>102</xdr:row>
                    <xdr:rowOff>361950</xdr:rowOff>
                  </to>
                </anchor>
              </controlPr>
            </control>
          </mc:Choice>
        </mc:AlternateContent>
        <mc:AlternateContent xmlns:mc="http://schemas.openxmlformats.org/markup-compatibility/2006">
          <mc:Choice Requires="x14">
            <control shapeId="62504" r:id="rId29" name="Check Box 40">
              <controlPr defaultSize="0" autoFill="0" autoLine="0" autoPict="0">
                <anchor moveWithCells="1">
                  <from>
                    <xdr:col>0</xdr:col>
                    <xdr:colOff>57150</xdr:colOff>
                    <xdr:row>109</xdr:row>
                    <xdr:rowOff>152400</xdr:rowOff>
                  </from>
                  <to>
                    <xdr:col>1</xdr:col>
                    <xdr:colOff>603250</xdr:colOff>
                    <xdr:row>109</xdr:row>
                    <xdr:rowOff>361950</xdr:rowOff>
                  </to>
                </anchor>
              </controlPr>
            </control>
          </mc:Choice>
        </mc:AlternateContent>
        <mc:AlternateContent xmlns:mc="http://schemas.openxmlformats.org/markup-compatibility/2006">
          <mc:Choice Requires="x14">
            <control shapeId="62505" r:id="rId30" name="Check Box 41">
              <controlPr defaultSize="0" autoFill="0" autoLine="0" autoPict="0">
                <anchor moveWithCells="1">
                  <from>
                    <xdr:col>0</xdr:col>
                    <xdr:colOff>57150</xdr:colOff>
                    <xdr:row>110</xdr:row>
                    <xdr:rowOff>152400</xdr:rowOff>
                  </from>
                  <to>
                    <xdr:col>1</xdr:col>
                    <xdr:colOff>603250</xdr:colOff>
                    <xdr:row>110</xdr:row>
                    <xdr:rowOff>361950</xdr:rowOff>
                  </to>
                </anchor>
              </controlPr>
            </control>
          </mc:Choice>
        </mc:AlternateContent>
        <mc:AlternateContent xmlns:mc="http://schemas.openxmlformats.org/markup-compatibility/2006">
          <mc:Choice Requires="x14">
            <control shapeId="62507" r:id="rId31" name="Check Box 43">
              <controlPr defaultSize="0" autoFill="0" autoLine="0" autoPict="0">
                <anchor moveWithCells="1">
                  <from>
                    <xdr:col>0</xdr:col>
                    <xdr:colOff>57150</xdr:colOff>
                    <xdr:row>113</xdr:row>
                    <xdr:rowOff>152400</xdr:rowOff>
                  </from>
                  <to>
                    <xdr:col>1</xdr:col>
                    <xdr:colOff>603250</xdr:colOff>
                    <xdr:row>113</xdr:row>
                    <xdr:rowOff>361950</xdr:rowOff>
                  </to>
                </anchor>
              </controlPr>
            </control>
          </mc:Choice>
        </mc:AlternateContent>
        <mc:AlternateContent xmlns:mc="http://schemas.openxmlformats.org/markup-compatibility/2006">
          <mc:Choice Requires="x14">
            <control shapeId="62513" r:id="rId32" name="Check Box 49">
              <controlPr defaultSize="0" autoFill="0" autoLine="0" autoPict="0">
                <anchor moveWithCells="1">
                  <from>
                    <xdr:col>0</xdr:col>
                    <xdr:colOff>57150</xdr:colOff>
                    <xdr:row>50</xdr:row>
                    <xdr:rowOff>152400</xdr:rowOff>
                  </from>
                  <to>
                    <xdr:col>1</xdr:col>
                    <xdr:colOff>603250</xdr:colOff>
                    <xdr:row>50</xdr:row>
                    <xdr:rowOff>361950</xdr:rowOff>
                  </to>
                </anchor>
              </controlPr>
            </control>
          </mc:Choice>
        </mc:AlternateContent>
        <mc:AlternateContent xmlns:mc="http://schemas.openxmlformats.org/markup-compatibility/2006">
          <mc:Choice Requires="x14">
            <control shapeId="62514" r:id="rId33" name="Check Box 50">
              <controlPr defaultSize="0" autoFill="0" autoLine="0" autoPict="0">
                <anchor moveWithCells="1">
                  <from>
                    <xdr:col>0</xdr:col>
                    <xdr:colOff>57150</xdr:colOff>
                    <xdr:row>89</xdr:row>
                    <xdr:rowOff>152400</xdr:rowOff>
                  </from>
                  <to>
                    <xdr:col>1</xdr:col>
                    <xdr:colOff>603250</xdr:colOff>
                    <xdr:row>89</xdr:row>
                    <xdr:rowOff>361950</xdr:rowOff>
                  </to>
                </anchor>
              </controlPr>
            </control>
          </mc:Choice>
        </mc:AlternateContent>
        <mc:AlternateContent xmlns:mc="http://schemas.openxmlformats.org/markup-compatibility/2006">
          <mc:Choice Requires="x14">
            <control shapeId="62515" r:id="rId34" name="Check Box 51">
              <controlPr defaultSize="0" autoFill="0" autoLine="0" autoPict="0">
                <anchor moveWithCells="1">
                  <from>
                    <xdr:col>0</xdr:col>
                    <xdr:colOff>57150</xdr:colOff>
                    <xdr:row>111</xdr:row>
                    <xdr:rowOff>152400</xdr:rowOff>
                  </from>
                  <to>
                    <xdr:col>1</xdr:col>
                    <xdr:colOff>603250</xdr:colOff>
                    <xdr:row>111</xdr:row>
                    <xdr:rowOff>361950</xdr:rowOff>
                  </to>
                </anchor>
              </controlPr>
            </control>
          </mc:Choice>
        </mc:AlternateContent>
        <mc:AlternateContent xmlns:mc="http://schemas.openxmlformats.org/markup-compatibility/2006">
          <mc:Choice Requires="x14">
            <control shapeId="62517" r:id="rId35" name="Check Box 53">
              <controlPr defaultSize="0" autoFill="0" autoLine="0" autoPict="0">
                <anchor moveWithCells="1">
                  <from>
                    <xdr:col>0</xdr:col>
                    <xdr:colOff>57150</xdr:colOff>
                    <xdr:row>11</xdr:row>
                    <xdr:rowOff>152400</xdr:rowOff>
                  </from>
                  <to>
                    <xdr:col>1</xdr:col>
                    <xdr:colOff>603250</xdr:colOff>
                    <xdr:row>11</xdr:row>
                    <xdr:rowOff>361950</xdr:rowOff>
                  </to>
                </anchor>
              </controlPr>
            </control>
          </mc:Choice>
        </mc:AlternateContent>
        <mc:AlternateContent xmlns:mc="http://schemas.openxmlformats.org/markup-compatibility/2006">
          <mc:Choice Requires="x14">
            <control shapeId="62518" r:id="rId36" name="Check Box 54">
              <controlPr defaultSize="0" autoFill="0" autoLine="0" autoPict="0">
                <anchor moveWithCells="1">
                  <from>
                    <xdr:col>0</xdr:col>
                    <xdr:colOff>57150</xdr:colOff>
                    <xdr:row>22</xdr:row>
                    <xdr:rowOff>152400</xdr:rowOff>
                  </from>
                  <to>
                    <xdr:col>1</xdr:col>
                    <xdr:colOff>603250</xdr:colOff>
                    <xdr:row>22</xdr:row>
                    <xdr:rowOff>361950</xdr:rowOff>
                  </to>
                </anchor>
              </controlPr>
            </control>
          </mc:Choice>
        </mc:AlternateContent>
        <mc:AlternateContent xmlns:mc="http://schemas.openxmlformats.org/markup-compatibility/2006">
          <mc:Choice Requires="x14">
            <control shapeId="62521" r:id="rId37" name="Check Box 57">
              <controlPr defaultSize="0" autoFill="0" autoLine="0" autoPict="0">
                <anchor moveWithCells="1">
                  <from>
                    <xdr:col>0</xdr:col>
                    <xdr:colOff>57150</xdr:colOff>
                    <xdr:row>32</xdr:row>
                    <xdr:rowOff>152400</xdr:rowOff>
                  </from>
                  <to>
                    <xdr:col>1</xdr:col>
                    <xdr:colOff>603250</xdr:colOff>
                    <xdr:row>32</xdr:row>
                    <xdr:rowOff>361950</xdr:rowOff>
                  </to>
                </anchor>
              </controlPr>
            </control>
          </mc:Choice>
        </mc:AlternateContent>
        <mc:AlternateContent xmlns:mc="http://schemas.openxmlformats.org/markup-compatibility/2006">
          <mc:Choice Requires="x14">
            <control shapeId="62522" r:id="rId38" name="Check Box 58">
              <controlPr defaultSize="0" autoFill="0" autoLine="0" autoPict="0">
                <anchor moveWithCells="1">
                  <from>
                    <xdr:col>0</xdr:col>
                    <xdr:colOff>57150</xdr:colOff>
                    <xdr:row>52</xdr:row>
                    <xdr:rowOff>152400</xdr:rowOff>
                  </from>
                  <to>
                    <xdr:col>1</xdr:col>
                    <xdr:colOff>603250</xdr:colOff>
                    <xdr:row>52</xdr:row>
                    <xdr:rowOff>361950</xdr:rowOff>
                  </to>
                </anchor>
              </controlPr>
            </control>
          </mc:Choice>
        </mc:AlternateContent>
        <mc:AlternateContent xmlns:mc="http://schemas.openxmlformats.org/markup-compatibility/2006">
          <mc:Choice Requires="x14">
            <control shapeId="62524" r:id="rId39" name="Check Box 60">
              <controlPr defaultSize="0" autoFill="0" autoLine="0" autoPict="0">
                <anchor moveWithCells="1">
                  <from>
                    <xdr:col>0</xdr:col>
                    <xdr:colOff>57150</xdr:colOff>
                    <xdr:row>65</xdr:row>
                    <xdr:rowOff>152400</xdr:rowOff>
                  </from>
                  <to>
                    <xdr:col>1</xdr:col>
                    <xdr:colOff>603250</xdr:colOff>
                    <xdr:row>65</xdr:row>
                    <xdr:rowOff>361950</xdr:rowOff>
                  </to>
                </anchor>
              </controlPr>
            </control>
          </mc:Choice>
        </mc:AlternateContent>
        <mc:AlternateContent xmlns:mc="http://schemas.openxmlformats.org/markup-compatibility/2006">
          <mc:Choice Requires="x14">
            <control shapeId="62525" r:id="rId40" name="Check Box 61">
              <controlPr defaultSize="0" autoFill="0" autoLine="0" autoPict="0">
                <anchor moveWithCells="1">
                  <from>
                    <xdr:col>0</xdr:col>
                    <xdr:colOff>57150</xdr:colOff>
                    <xdr:row>71</xdr:row>
                    <xdr:rowOff>152400</xdr:rowOff>
                  </from>
                  <to>
                    <xdr:col>1</xdr:col>
                    <xdr:colOff>603250</xdr:colOff>
                    <xdr:row>71</xdr:row>
                    <xdr:rowOff>361950</xdr:rowOff>
                  </to>
                </anchor>
              </controlPr>
            </control>
          </mc:Choice>
        </mc:AlternateContent>
        <mc:AlternateContent xmlns:mc="http://schemas.openxmlformats.org/markup-compatibility/2006">
          <mc:Choice Requires="x14">
            <control shapeId="62526" r:id="rId41" name="Check Box 62">
              <controlPr defaultSize="0" autoFill="0" autoLine="0" autoPict="0">
                <anchor moveWithCells="1">
                  <from>
                    <xdr:col>0</xdr:col>
                    <xdr:colOff>57150</xdr:colOff>
                    <xdr:row>72</xdr:row>
                    <xdr:rowOff>152400</xdr:rowOff>
                  </from>
                  <to>
                    <xdr:col>1</xdr:col>
                    <xdr:colOff>603250</xdr:colOff>
                    <xdr:row>72</xdr:row>
                    <xdr:rowOff>361950</xdr:rowOff>
                  </to>
                </anchor>
              </controlPr>
            </control>
          </mc:Choice>
        </mc:AlternateContent>
        <mc:AlternateContent xmlns:mc="http://schemas.openxmlformats.org/markup-compatibility/2006">
          <mc:Choice Requires="x14">
            <control shapeId="62527" r:id="rId42" name="Check Box 63">
              <controlPr defaultSize="0" autoFill="0" autoLine="0" autoPict="0">
                <anchor moveWithCells="1">
                  <from>
                    <xdr:col>0</xdr:col>
                    <xdr:colOff>57150</xdr:colOff>
                    <xdr:row>93</xdr:row>
                    <xdr:rowOff>152400</xdr:rowOff>
                  </from>
                  <to>
                    <xdr:col>1</xdr:col>
                    <xdr:colOff>603250</xdr:colOff>
                    <xdr:row>93</xdr:row>
                    <xdr:rowOff>361950</xdr:rowOff>
                  </to>
                </anchor>
              </controlPr>
            </control>
          </mc:Choice>
        </mc:AlternateContent>
        <mc:AlternateContent xmlns:mc="http://schemas.openxmlformats.org/markup-compatibility/2006">
          <mc:Choice Requires="x14">
            <control shapeId="62528" r:id="rId43" name="Check Box 64">
              <controlPr defaultSize="0" autoFill="0" autoLine="0" autoPict="0">
                <anchor moveWithCells="1">
                  <from>
                    <xdr:col>0</xdr:col>
                    <xdr:colOff>57150</xdr:colOff>
                    <xdr:row>107</xdr:row>
                    <xdr:rowOff>152400</xdr:rowOff>
                  </from>
                  <to>
                    <xdr:col>1</xdr:col>
                    <xdr:colOff>603250</xdr:colOff>
                    <xdr:row>107</xdr:row>
                    <xdr:rowOff>361950</xdr:rowOff>
                  </to>
                </anchor>
              </controlPr>
            </control>
          </mc:Choice>
        </mc:AlternateContent>
        <mc:AlternateContent xmlns:mc="http://schemas.openxmlformats.org/markup-compatibility/2006">
          <mc:Choice Requires="x14">
            <control shapeId="62529" r:id="rId44" name="Check Box 65">
              <controlPr defaultSize="0" autoFill="0" autoLine="0" autoPict="0">
                <anchor moveWithCells="1">
                  <from>
                    <xdr:col>0</xdr:col>
                    <xdr:colOff>57150</xdr:colOff>
                    <xdr:row>108</xdr:row>
                    <xdr:rowOff>152400</xdr:rowOff>
                  </from>
                  <to>
                    <xdr:col>1</xdr:col>
                    <xdr:colOff>603250</xdr:colOff>
                    <xdr:row>108</xdr:row>
                    <xdr:rowOff>361950</xdr:rowOff>
                  </to>
                </anchor>
              </controlPr>
            </control>
          </mc:Choice>
        </mc:AlternateContent>
        <mc:AlternateContent xmlns:mc="http://schemas.openxmlformats.org/markup-compatibility/2006">
          <mc:Choice Requires="x14">
            <control shapeId="62530" r:id="rId45" name="Check Box 66">
              <controlPr defaultSize="0" autoFill="0" autoLine="0" autoPict="0">
                <anchor moveWithCells="1">
                  <from>
                    <xdr:col>0</xdr:col>
                    <xdr:colOff>57150</xdr:colOff>
                    <xdr:row>39</xdr:row>
                    <xdr:rowOff>152400</xdr:rowOff>
                  </from>
                  <to>
                    <xdr:col>1</xdr:col>
                    <xdr:colOff>603250</xdr:colOff>
                    <xdr:row>39</xdr:row>
                    <xdr:rowOff>361950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9" tint="-0.499984740745262"/>
  </sheetPr>
  <dimension ref="A1:AB140"/>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92" customWidth="1"/>
    <col min="3" max="3" width="55.7109375" style="192" customWidth="1"/>
    <col min="4" max="4" width="52.7109375" style="192" customWidth="1"/>
    <col min="5" max="5" width="15.7109375" style="192" customWidth="1"/>
    <col min="6" max="6" width="15.7109375" style="178" customWidth="1"/>
    <col min="7" max="7" width="10.7109375" style="3" customWidth="1"/>
    <col min="8" max="9" width="26.7109375" style="178" customWidth="1"/>
    <col min="10" max="10" width="45.7109375" style="178" customWidth="1"/>
    <col min="11" max="12" width="20.7109375" style="178" hidden="1" customWidth="1"/>
    <col min="13" max="13" width="9.140625" style="178" customWidth="1"/>
    <col min="14" max="14" width="30" style="178" hidden="1" customWidth="1"/>
    <col min="15" max="15" width="33.5703125" style="178" hidden="1" customWidth="1"/>
    <col min="16" max="16" width="12.28515625" style="178" hidden="1" customWidth="1"/>
    <col min="17" max="17" width="9.140625" style="73" hidden="1" customWidth="1"/>
    <col min="18" max="18" width="9.140625" style="178"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201" t="s">
        <v>0</v>
      </c>
      <c r="C1" s="1201"/>
      <c r="D1" s="1201"/>
      <c r="E1" s="1201"/>
      <c r="F1" s="1201"/>
      <c r="G1" s="164"/>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55" t="s">
        <v>228</v>
      </c>
      <c r="E2" s="139" t="s">
        <v>1080</v>
      </c>
      <c r="F2" s="158" t="s">
        <v>1081</v>
      </c>
      <c r="G2" s="164"/>
      <c r="H2" s="107" t="s">
        <v>532</v>
      </c>
      <c r="I2" s="496"/>
      <c r="J2" s="496"/>
      <c r="K2" s="496"/>
      <c r="L2" s="496"/>
      <c r="M2" s="496"/>
      <c r="N2" s="496" t="s">
        <v>235</v>
      </c>
      <c r="O2" s="496"/>
      <c r="P2" s="496" t="s">
        <v>1248</v>
      </c>
      <c r="Q2" s="846" t="s">
        <v>1082</v>
      </c>
      <c r="R2" s="496"/>
      <c r="S2" s="538" t="s">
        <v>1081</v>
      </c>
      <c r="T2" s="538" t="s">
        <v>254</v>
      </c>
      <c r="U2" s="538" t="s">
        <v>306</v>
      </c>
      <c r="V2" s="538" t="s">
        <v>335</v>
      </c>
      <c r="W2" s="538" t="s">
        <v>345</v>
      </c>
      <c r="X2" s="538" t="s">
        <v>353</v>
      </c>
      <c r="Y2" s="538" t="s">
        <v>367</v>
      </c>
      <c r="Z2" s="538" t="s">
        <v>998</v>
      </c>
      <c r="AA2" s="538" t="s">
        <v>404</v>
      </c>
      <c r="AB2" s="496"/>
    </row>
    <row r="3" spans="1:28" ht="37.5" customHeight="1">
      <c r="A3" s="496"/>
      <c r="B3" s="125" t="s">
        <v>229</v>
      </c>
      <c r="C3" s="156" t="s">
        <v>531</v>
      </c>
      <c r="F3" s="108"/>
      <c r="G3" s="164"/>
      <c r="H3" s="140">
        <f>SUM(F21,F43,F55,F64,,F73,F92,,F100,F112,F118)</f>
        <v>0</v>
      </c>
      <c r="I3" s="496"/>
      <c r="J3" s="496"/>
      <c r="K3" s="496"/>
      <c r="L3" s="496"/>
      <c r="M3" s="496"/>
      <c r="N3" s="496" t="s">
        <v>256</v>
      </c>
      <c r="O3" s="496"/>
      <c r="P3" s="496"/>
      <c r="Q3" s="846"/>
      <c r="R3" s="496"/>
      <c r="S3" s="538" t="s">
        <v>1083</v>
      </c>
      <c r="T3" s="933">
        <v>0.1</v>
      </c>
      <c r="U3" s="933">
        <v>0.2</v>
      </c>
      <c r="V3" s="933">
        <v>0.25</v>
      </c>
      <c r="W3" s="933">
        <v>0.1</v>
      </c>
      <c r="X3" s="933">
        <v>0.15</v>
      </c>
      <c r="Y3" s="933">
        <v>0.1</v>
      </c>
      <c r="Z3" s="933">
        <v>0.05</v>
      </c>
      <c r="AA3" s="933">
        <v>0.05</v>
      </c>
      <c r="AB3" s="934">
        <f>SUM(T3:AA3)</f>
        <v>1</v>
      </c>
    </row>
    <row r="4" spans="1:28" ht="37.5" customHeight="1">
      <c r="A4" s="496"/>
      <c r="B4" s="125" t="s">
        <v>234</v>
      </c>
      <c r="C4" s="157" t="s">
        <v>235</v>
      </c>
      <c r="F4" s="109"/>
      <c r="G4" s="164"/>
      <c r="H4" s="904"/>
      <c r="I4" s="496"/>
      <c r="J4" s="496"/>
      <c r="K4" s="496"/>
      <c r="L4" s="496"/>
      <c r="M4" s="496"/>
      <c r="N4" s="496" t="s">
        <v>260</v>
      </c>
      <c r="O4" s="496"/>
      <c r="P4" s="496"/>
      <c r="Q4" s="846"/>
      <c r="R4" s="496"/>
      <c r="S4" s="538" t="s">
        <v>1084</v>
      </c>
      <c r="T4" s="933">
        <v>0.1</v>
      </c>
      <c r="U4" s="933">
        <v>0.2</v>
      </c>
      <c r="V4" s="933">
        <v>0.25</v>
      </c>
      <c r="W4" s="933">
        <v>0.1</v>
      </c>
      <c r="X4" s="933">
        <v>0.15</v>
      </c>
      <c r="Y4" s="933">
        <v>0.1</v>
      </c>
      <c r="Z4" s="933">
        <v>0.05</v>
      </c>
      <c r="AA4" s="933">
        <v>0.05</v>
      </c>
      <c r="AB4" s="934">
        <f t="shared" ref="AB4:AB10" si="0">SUM(T4:AA4)</f>
        <v>1</v>
      </c>
    </row>
    <row r="5" spans="1:28" ht="37.5" customHeight="1">
      <c r="A5" s="496"/>
      <c r="B5" s="126" t="s">
        <v>238</v>
      </c>
      <c r="C5" s="137" t="s">
        <v>162</v>
      </c>
      <c r="F5" s="109"/>
      <c r="G5" s="164"/>
      <c r="H5" s="496"/>
      <c r="I5" s="496"/>
      <c r="J5" s="496"/>
      <c r="K5" s="496"/>
      <c r="L5" s="496"/>
      <c r="M5" s="496"/>
      <c r="N5" s="496" t="s">
        <v>269</v>
      </c>
      <c r="O5" s="496"/>
      <c r="P5" s="496"/>
      <c r="Q5" s="846"/>
      <c r="R5" s="496"/>
      <c r="S5" s="538" t="s">
        <v>1085</v>
      </c>
      <c r="T5" s="933">
        <v>0.1</v>
      </c>
      <c r="U5" s="933">
        <v>0.2</v>
      </c>
      <c r="V5" s="933">
        <v>0.25</v>
      </c>
      <c r="W5" s="933">
        <v>0.1</v>
      </c>
      <c r="X5" s="933">
        <v>0.13</v>
      </c>
      <c r="Y5" s="933">
        <v>0.1</v>
      </c>
      <c r="Z5" s="933">
        <v>7.0000000000000007E-2</v>
      </c>
      <c r="AA5" s="933">
        <v>0.05</v>
      </c>
      <c r="AB5" s="934">
        <f t="shared" si="0"/>
        <v>1</v>
      </c>
    </row>
    <row r="6" spans="1:28" ht="24.95" customHeight="1">
      <c r="A6" s="222"/>
      <c r="B6" s="282"/>
      <c r="C6" s="194"/>
      <c r="D6" s="194"/>
      <c r="E6" s="195"/>
      <c r="F6" s="196"/>
      <c r="G6" s="164"/>
      <c r="H6" s="1447" t="s">
        <v>255</v>
      </c>
      <c r="I6" s="1447"/>
      <c r="J6" s="180" t="s">
        <v>241</v>
      </c>
      <c r="K6" s="496"/>
      <c r="L6" s="496"/>
      <c r="M6" s="496"/>
      <c r="N6" s="496"/>
      <c r="O6" s="496"/>
      <c r="P6" s="496"/>
      <c r="Q6" s="846"/>
      <c r="R6" s="496"/>
      <c r="S6" s="538" t="s">
        <v>1086</v>
      </c>
      <c r="T6" s="933">
        <v>0.1</v>
      </c>
      <c r="U6" s="933">
        <v>0.2</v>
      </c>
      <c r="V6" s="933">
        <v>0.25</v>
      </c>
      <c r="W6" s="933">
        <v>0.1</v>
      </c>
      <c r="X6" s="933">
        <v>0.17</v>
      </c>
      <c r="Y6" s="933">
        <v>0.1</v>
      </c>
      <c r="Z6" s="933">
        <v>0.03</v>
      </c>
      <c r="AA6" s="933">
        <v>0.05</v>
      </c>
      <c r="AB6" s="934">
        <f t="shared" si="0"/>
        <v>1</v>
      </c>
    </row>
    <row r="7" spans="1:28" ht="42">
      <c r="A7" s="85" t="s">
        <v>242</v>
      </c>
      <c r="B7" s="197" t="s">
        <v>1087</v>
      </c>
      <c r="C7" s="198" t="s">
        <v>246</v>
      </c>
      <c r="D7" s="198"/>
      <c r="E7" s="199" t="s">
        <v>247</v>
      </c>
      <c r="F7" s="200" t="s">
        <v>248</v>
      </c>
      <c r="G7" s="164"/>
      <c r="H7" s="248" t="s">
        <v>940</v>
      </c>
      <c r="I7" s="248" t="s">
        <v>941</v>
      </c>
      <c r="J7" s="249" t="s">
        <v>25</v>
      </c>
      <c r="K7" s="250" t="s">
        <v>252</v>
      </c>
      <c r="L7" s="249" t="s">
        <v>253</v>
      </c>
      <c r="M7" s="496"/>
      <c r="N7" s="496" t="s">
        <v>255</v>
      </c>
      <c r="O7" s="496" t="s">
        <v>241</v>
      </c>
      <c r="P7" s="496"/>
      <c r="Q7" s="846"/>
      <c r="R7" s="496"/>
      <c r="S7" s="538" t="s">
        <v>1088</v>
      </c>
      <c r="T7" s="933">
        <v>0.1</v>
      </c>
      <c r="U7" s="933">
        <v>0.2</v>
      </c>
      <c r="V7" s="933">
        <v>0.25</v>
      </c>
      <c r="W7" s="933">
        <v>0.1</v>
      </c>
      <c r="X7" s="933">
        <v>0.18</v>
      </c>
      <c r="Y7" s="933">
        <v>0.1</v>
      </c>
      <c r="Z7" s="933">
        <v>0.03</v>
      </c>
      <c r="AA7" s="933">
        <v>0.04</v>
      </c>
      <c r="AB7" s="934">
        <f t="shared" si="0"/>
        <v>1</v>
      </c>
    </row>
    <row r="8" spans="1:28" s="247" customFormat="1" ht="45" customHeight="1">
      <c r="B8" s="283" t="s">
        <v>254</v>
      </c>
      <c r="C8" s="284"/>
      <c r="D8" s="285" t="s">
        <v>1089</v>
      </c>
      <c r="E8" s="286" t="str">
        <f>IFERROR(VLOOKUP($F$2,$S$3:$AA$10,2,FALSE),"")</f>
        <v/>
      </c>
      <c r="F8" s="287"/>
      <c r="G8" s="164"/>
      <c r="H8" s="209"/>
      <c r="I8" s="209"/>
      <c r="J8" s="209"/>
      <c r="K8" s="209"/>
      <c r="L8" s="209"/>
      <c r="M8" s="496"/>
      <c r="N8" s="496" t="s">
        <v>267</v>
      </c>
      <c r="O8" s="496" t="s">
        <v>259</v>
      </c>
      <c r="Q8" s="246"/>
      <c r="S8" s="538" t="s">
        <v>1090</v>
      </c>
      <c r="T8" s="933">
        <v>0.1</v>
      </c>
      <c r="U8" s="933">
        <v>0.2</v>
      </c>
      <c r="V8" s="933">
        <v>0.25</v>
      </c>
      <c r="W8" s="933">
        <v>0.1</v>
      </c>
      <c r="X8" s="933">
        <v>0.13</v>
      </c>
      <c r="Y8" s="933">
        <v>0.1</v>
      </c>
      <c r="Z8" s="933">
        <v>7.0000000000000007E-2</v>
      </c>
      <c r="AA8" s="933">
        <v>0.05</v>
      </c>
      <c r="AB8" s="934">
        <f t="shared" si="0"/>
        <v>1</v>
      </c>
    </row>
    <row r="9" spans="1:28" ht="45" customHeight="1">
      <c r="A9" s="222"/>
      <c r="B9" s="288" t="s">
        <v>1091</v>
      </c>
      <c r="C9" s="289" t="s">
        <v>257</v>
      </c>
      <c r="D9" s="289"/>
      <c r="E9" s="240">
        <v>2</v>
      </c>
      <c r="F9" s="290"/>
      <c r="G9" s="164"/>
      <c r="H9" s="903"/>
      <c r="I9" s="903"/>
      <c r="J9" s="455"/>
      <c r="K9" s="924" t="str">
        <f t="shared" ref="K9:K20" si="1">IF(ISBLANK($F9)=FALSE,IF(H9="","No","Yes"),"")</f>
        <v/>
      </c>
      <c r="L9" s="924" t="str">
        <f t="shared" ref="L9:L20" si="2">IF(ISBLANK($F9)=FALSE,IF(I9="","No","Yes"),"")</f>
        <v/>
      </c>
      <c r="M9" s="496"/>
      <c r="N9" s="496" t="s">
        <v>240</v>
      </c>
      <c r="O9" s="496" t="s">
        <v>268</v>
      </c>
      <c r="P9" s="496"/>
      <c r="Q9" s="846"/>
      <c r="R9" s="496"/>
      <c r="S9" s="538" t="s">
        <v>1092</v>
      </c>
      <c r="T9" s="933">
        <v>0.1</v>
      </c>
      <c r="U9" s="933">
        <v>0.2</v>
      </c>
      <c r="V9" s="933">
        <v>0.25</v>
      </c>
      <c r="W9" s="933">
        <v>0.1</v>
      </c>
      <c r="X9" s="933">
        <v>0.18</v>
      </c>
      <c r="Y9" s="933">
        <v>0.1</v>
      </c>
      <c r="Z9" s="933">
        <v>0.03</v>
      </c>
      <c r="AA9" s="933">
        <v>0.04</v>
      </c>
      <c r="AB9" s="934">
        <f t="shared" si="0"/>
        <v>1</v>
      </c>
    </row>
    <row r="10" spans="1:28" ht="45" customHeight="1">
      <c r="A10" s="222"/>
      <c r="B10" s="1471" t="s">
        <v>1093</v>
      </c>
      <c r="C10" s="1473" t="s">
        <v>1094</v>
      </c>
      <c r="D10" s="289" t="s">
        <v>1095</v>
      </c>
      <c r="E10" s="240">
        <v>1</v>
      </c>
      <c r="F10" s="290"/>
      <c r="G10" s="164"/>
      <c r="H10" s="903"/>
      <c r="I10" s="903"/>
      <c r="J10" s="455"/>
      <c r="K10" s="924" t="str">
        <f t="shared" si="1"/>
        <v/>
      </c>
      <c r="L10" s="924" t="str">
        <f t="shared" si="2"/>
        <v/>
      </c>
      <c r="M10" s="496"/>
      <c r="N10" s="496"/>
      <c r="O10" s="496"/>
      <c r="P10" s="496"/>
      <c r="Q10" s="846"/>
      <c r="R10" s="496"/>
      <c r="S10" s="538" t="s">
        <v>1096</v>
      </c>
      <c r="T10" s="933">
        <v>0.1</v>
      </c>
      <c r="U10" s="933">
        <v>0.2</v>
      </c>
      <c r="V10" s="933">
        <v>0.25</v>
      </c>
      <c r="W10" s="933">
        <v>0.1</v>
      </c>
      <c r="X10" s="933">
        <v>0.17</v>
      </c>
      <c r="Y10" s="933">
        <v>0.1</v>
      </c>
      <c r="Z10" s="933">
        <v>0.04</v>
      </c>
      <c r="AA10" s="933">
        <v>0.04</v>
      </c>
      <c r="AB10" s="934">
        <f t="shared" si="0"/>
        <v>1</v>
      </c>
    </row>
    <row r="11" spans="1:28" ht="45" customHeight="1">
      <c r="A11" s="222"/>
      <c r="B11" s="1472"/>
      <c r="C11" s="1474"/>
      <c r="D11" s="289" t="s">
        <v>1097</v>
      </c>
      <c r="E11" s="240">
        <v>1</v>
      </c>
      <c r="F11" s="212"/>
      <c r="G11" s="164"/>
      <c r="H11" s="903"/>
      <c r="I11" s="903"/>
      <c r="J11" s="455"/>
      <c r="K11" s="924" t="str">
        <f t="shared" si="1"/>
        <v/>
      </c>
      <c r="L11" s="924" t="str">
        <f t="shared" si="2"/>
        <v/>
      </c>
      <c r="M11" s="496"/>
      <c r="N11" s="496" t="s">
        <v>266</v>
      </c>
      <c r="O11" s="496"/>
      <c r="P11" s="496"/>
      <c r="Q11" s="846"/>
      <c r="R11" s="496"/>
      <c r="S11" s="496"/>
      <c r="T11" s="496"/>
      <c r="U11" s="496"/>
      <c r="V11" s="496"/>
      <c r="W11" s="496"/>
      <c r="X11" s="496"/>
      <c r="Y11" s="496"/>
      <c r="Z11" s="496"/>
      <c r="AA11" s="496"/>
      <c r="AB11" s="496"/>
    </row>
    <row r="12" spans="1:28" ht="45" customHeight="1">
      <c r="A12" s="222"/>
      <c r="B12" s="288" t="s">
        <v>1098</v>
      </c>
      <c r="C12" s="289" t="s">
        <v>1099</v>
      </c>
      <c r="D12" s="289"/>
      <c r="E12" s="240">
        <v>1</v>
      </c>
      <c r="F12" s="212"/>
      <c r="G12" s="164"/>
      <c r="H12" s="903"/>
      <c r="I12" s="903"/>
      <c r="J12" s="455"/>
      <c r="K12" s="924" t="str">
        <f t="shared" si="1"/>
        <v/>
      </c>
      <c r="L12" s="924" t="str">
        <f t="shared" si="2"/>
        <v/>
      </c>
      <c r="M12" s="496"/>
      <c r="N12" s="496" t="s">
        <v>274</v>
      </c>
      <c r="O12" s="496"/>
      <c r="P12" s="496"/>
      <c r="Q12" s="846"/>
      <c r="R12" s="496"/>
      <c r="S12" s="496"/>
      <c r="T12" s="496"/>
      <c r="U12" s="496"/>
      <c r="V12" s="496"/>
      <c r="W12" s="496"/>
      <c r="X12" s="496"/>
      <c r="Y12" s="496"/>
      <c r="Z12" s="496"/>
      <c r="AA12" s="496"/>
      <c r="AB12" s="496"/>
    </row>
    <row r="13" spans="1:28" ht="45" customHeight="1">
      <c r="A13" s="222"/>
      <c r="B13" s="288" t="s">
        <v>1100</v>
      </c>
      <c r="C13" s="289" t="s">
        <v>281</v>
      </c>
      <c r="D13" s="289"/>
      <c r="E13" s="240">
        <v>1</v>
      </c>
      <c r="F13" s="212"/>
      <c r="G13" s="164"/>
      <c r="H13" s="903"/>
      <c r="I13" s="903"/>
      <c r="J13" s="455"/>
      <c r="K13" s="924" t="str">
        <f t="shared" si="1"/>
        <v/>
      </c>
      <c r="L13" s="924" t="str">
        <f t="shared" si="2"/>
        <v/>
      </c>
      <c r="M13" s="496"/>
      <c r="N13" s="496"/>
      <c r="O13" s="496"/>
      <c r="P13" s="496"/>
      <c r="Q13" s="846"/>
      <c r="R13" s="496"/>
      <c r="S13" s="496"/>
      <c r="T13" s="496"/>
      <c r="U13" s="496"/>
      <c r="V13" s="496"/>
      <c r="W13" s="496"/>
      <c r="X13" s="496"/>
      <c r="Y13" s="496"/>
      <c r="Z13" s="496"/>
      <c r="AA13" s="496"/>
      <c r="AB13" s="496"/>
    </row>
    <row r="14" spans="1:28" ht="45" customHeight="1">
      <c r="A14" s="222"/>
      <c r="B14" s="1471" t="s">
        <v>1101</v>
      </c>
      <c r="C14" s="1473" t="s">
        <v>1102</v>
      </c>
      <c r="D14" s="289" t="s">
        <v>1252</v>
      </c>
      <c r="E14" s="240">
        <v>1</v>
      </c>
      <c r="F14" s="212"/>
      <c r="G14" s="164"/>
      <c r="H14" s="903"/>
      <c r="I14" s="903"/>
      <c r="J14" s="455"/>
      <c r="K14" s="924" t="str">
        <f t="shared" si="1"/>
        <v/>
      </c>
      <c r="L14" s="924" t="str">
        <f t="shared" si="2"/>
        <v/>
      </c>
      <c r="M14" s="496"/>
      <c r="N14" s="496"/>
      <c r="O14" s="496"/>
      <c r="P14" s="496"/>
      <c r="Q14" s="846"/>
      <c r="R14" s="496"/>
      <c r="S14" s="496"/>
      <c r="T14" s="496"/>
      <c r="U14" s="496"/>
      <c r="V14" s="496"/>
      <c r="W14" s="496"/>
      <c r="X14" s="496"/>
      <c r="Y14" s="496"/>
      <c r="Z14" s="496"/>
      <c r="AA14" s="496"/>
      <c r="AB14" s="496"/>
    </row>
    <row r="15" spans="1:28" ht="45" customHeight="1">
      <c r="A15" s="222"/>
      <c r="B15" s="1472"/>
      <c r="C15" s="1474"/>
      <c r="D15" s="289" t="s">
        <v>1253</v>
      </c>
      <c r="E15" s="240">
        <v>1</v>
      </c>
      <c r="F15" s="212"/>
      <c r="G15" s="164"/>
      <c r="H15" s="903"/>
      <c r="I15" s="903"/>
      <c r="J15" s="455"/>
      <c r="K15" s="924" t="str">
        <f t="shared" si="1"/>
        <v/>
      </c>
      <c r="L15" s="924" t="str">
        <f t="shared" si="2"/>
        <v/>
      </c>
      <c r="M15" s="496"/>
      <c r="N15" s="496"/>
      <c r="O15" s="496"/>
      <c r="P15" s="496"/>
      <c r="Q15" s="846"/>
      <c r="R15" s="496"/>
      <c r="S15" s="496"/>
      <c r="T15" s="496"/>
      <c r="U15" s="496"/>
      <c r="V15" s="496"/>
      <c r="W15" s="496"/>
      <c r="X15" s="496"/>
      <c r="Y15" s="496"/>
      <c r="Z15" s="496"/>
      <c r="AA15" s="496"/>
      <c r="AB15" s="496"/>
    </row>
    <row r="16" spans="1:28" ht="45" customHeight="1">
      <c r="A16" s="222"/>
      <c r="B16" s="1471" t="s">
        <v>1103</v>
      </c>
      <c r="C16" s="1473" t="s">
        <v>680</v>
      </c>
      <c r="D16" s="289" t="s">
        <v>298</v>
      </c>
      <c r="E16" s="240">
        <v>1</v>
      </c>
      <c r="F16" s="212"/>
      <c r="G16" s="164"/>
      <c r="H16" s="903"/>
      <c r="I16" s="903"/>
      <c r="J16" s="455"/>
      <c r="K16" s="924" t="str">
        <f t="shared" si="1"/>
        <v/>
      </c>
      <c r="L16" s="924" t="str">
        <f t="shared" si="2"/>
        <v/>
      </c>
      <c r="M16" s="496"/>
      <c r="N16" s="496"/>
      <c r="O16" s="496"/>
      <c r="P16" s="496"/>
      <c r="Q16" s="846"/>
      <c r="R16" s="496"/>
      <c r="S16" s="496"/>
      <c r="T16" s="496"/>
      <c r="U16" s="496"/>
      <c r="V16" s="496"/>
      <c r="W16" s="496"/>
      <c r="X16" s="496"/>
      <c r="Y16" s="496"/>
      <c r="Z16" s="496"/>
      <c r="AA16" s="496"/>
      <c r="AB16" s="496"/>
    </row>
    <row r="17" spans="1:17" ht="45" customHeight="1">
      <c r="A17" s="222"/>
      <c r="B17" s="1472"/>
      <c r="C17" s="1474"/>
      <c r="D17" s="289" t="s">
        <v>682</v>
      </c>
      <c r="E17" s="240">
        <v>1</v>
      </c>
      <c r="F17" s="212"/>
      <c r="G17" s="164"/>
      <c r="H17" s="903"/>
      <c r="I17" s="903"/>
      <c r="J17" s="455"/>
      <c r="K17" s="924" t="str">
        <f t="shared" si="1"/>
        <v/>
      </c>
      <c r="L17" s="924" t="str">
        <f t="shared" si="2"/>
        <v/>
      </c>
      <c r="M17" s="496"/>
      <c r="N17" s="496"/>
      <c r="O17" s="496"/>
      <c r="P17" s="496"/>
      <c r="Q17" s="846"/>
    </row>
    <row r="18" spans="1:17" ht="45" customHeight="1">
      <c r="A18" s="222"/>
      <c r="B18" s="288" t="s">
        <v>1104</v>
      </c>
      <c r="C18" s="289" t="s">
        <v>785</v>
      </c>
      <c r="D18" s="289"/>
      <c r="E18" s="240">
        <v>2</v>
      </c>
      <c r="F18" s="212"/>
      <c r="G18" s="164"/>
      <c r="H18" s="903"/>
      <c r="I18" s="903"/>
      <c r="J18" s="455"/>
      <c r="K18" s="924" t="str">
        <f t="shared" si="1"/>
        <v/>
      </c>
      <c r="L18" s="924" t="str">
        <f t="shared" si="2"/>
        <v/>
      </c>
      <c r="M18" s="496"/>
      <c r="N18" s="496"/>
      <c r="O18" s="496"/>
      <c r="P18" s="496"/>
      <c r="Q18" s="846"/>
    </row>
    <row r="19" spans="1:17" s="247" customFormat="1" ht="45" customHeight="1">
      <c r="A19" s="222"/>
      <c r="B19" s="288" t="s">
        <v>1254</v>
      </c>
      <c r="C19" s="289" t="s">
        <v>1255</v>
      </c>
      <c r="D19" s="289"/>
      <c r="E19" s="240">
        <v>1</v>
      </c>
      <c r="F19" s="212"/>
      <c r="G19" s="164"/>
      <c r="H19" s="903"/>
      <c r="I19" s="903"/>
      <c r="J19" s="455"/>
      <c r="K19" s="924" t="str">
        <f t="shared" si="1"/>
        <v/>
      </c>
      <c r="L19" s="924" t="str">
        <f t="shared" si="2"/>
        <v/>
      </c>
      <c r="M19" s="496"/>
      <c r="N19" s="496"/>
      <c r="O19" s="222"/>
      <c r="P19" s="222"/>
      <c r="Q19" s="246"/>
    </row>
    <row r="20" spans="1:17" ht="45" customHeight="1">
      <c r="A20" s="222"/>
      <c r="B20" s="288" t="s">
        <v>1107</v>
      </c>
      <c r="C20" s="289" t="s">
        <v>1108</v>
      </c>
      <c r="D20" s="289"/>
      <c r="E20" s="240">
        <v>1</v>
      </c>
      <c r="F20" s="212"/>
      <c r="G20" s="164"/>
      <c r="H20" s="903"/>
      <c r="I20" s="903"/>
      <c r="J20" s="455"/>
      <c r="K20" s="924" t="str">
        <f t="shared" si="1"/>
        <v/>
      </c>
      <c r="L20" s="924" t="str">
        <f t="shared" si="2"/>
        <v/>
      </c>
      <c r="M20" s="496"/>
      <c r="N20" s="496"/>
      <c r="O20" s="496"/>
      <c r="P20" s="496"/>
      <c r="Q20" s="846"/>
    </row>
    <row r="21" spans="1:17" ht="45" customHeight="1">
      <c r="A21" s="222"/>
      <c r="B21" s="291" t="s">
        <v>963</v>
      </c>
      <c r="C21" s="292" t="s">
        <v>1115</v>
      </c>
      <c r="D21" s="292"/>
      <c r="E21" s="293">
        <f>SUM(E9:E20)</f>
        <v>14</v>
      </c>
      <c r="F21" s="294" t="str">
        <f>IFERROR(SUM(F9:F20)/E21*E8*100,"")</f>
        <v/>
      </c>
      <c r="G21" s="164"/>
      <c r="H21" s="949"/>
      <c r="I21" s="949"/>
      <c r="J21" s="950"/>
      <c r="K21" s="950"/>
      <c r="L21" s="950"/>
      <c r="M21" s="496"/>
      <c r="N21" s="496"/>
      <c r="O21" s="496"/>
      <c r="P21" s="496"/>
      <c r="Q21" s="846"/>
    </row>
    <row r="22" spans="1:17" ht="45" customHeight="1">
      <c r="A22" s="247"/>
      <c r="B22" s="224"/>
      <c r="C22" s="273" t="s">
        <v>1115</v>
      </c>
      <c r="D22" s="273"/>
      <c r="E22" s="196"/>
      <c r="F22" s="196"/>
      <c r="G22" s="164"/>
      <c r="H22" s="904"/>
      <c r="I22" s="904"/>
      <c r="J22" s="538"/>
      <c r="K22" s="538"/>
      <c r="L22" s="538"/>
      <c r="M22" s="496"/>
      <c r="N22" s="496"/>
      <c r="O22" s="496"/>
      <c r="P22" s="496"/>
      <c r="Q22" s="846"/>
    </row>
    <row r="23" spans="1:17" ht="45" customHeight="1">
      <c r="A23" s="222"/>
      <c r="B23" s="274" t="s">
        <v>306</v>
      </c>
      <c r="C23" s="295"/>
      <c r="D23" s="487" t="s">
        <v>1089</v>
      </c>
      <c r="E23" s="207" t="str">
        <f>IFERROR(VLOOKUP($F$2,$S$3:$AA$10,3,FALSE),"")</f>
        <v/>
      </c>
      <c r="F23" s="305"/>
      <c r="G23" s="164"/>
      <c r="H23" s="226"/>
      <c r="I23" s="226"/>
      <c r="J23" s="226"/>
      <c r="K23" s="226"/>
      <c r="L23" s="226"/>
      <c r="M23" s="496"/>
      <c r="N23" s="496"/>
      <c r="O23" s="496"/>
      <c r="P23" s="496"/>
      <c r="Q23" s="846"/>
    </row>
    <row r="24" spans="1:17" ht="45" customHeight="1">
      <c r="A24" s="222"/>
      <c r="B24" s="288" t="s">
        <v>1116</v>
      </c>
      <c r="C24" s="289" t="s">
        <v>1117</v>
      </c>
      <c r="D24" s="289"/>
      <c r="E24" s="240">
        <v>3</v>
      </c>
      <c r="F24" s="212"/>
      <c r="G24" s="164"/>
      <c r="H24" s="903"/>
      <c r="I24" s="903"/>
      <c r="J24" s="455"/>
      <c r="K24" s="924" t="str">
        <f t="shared" ref="K24:L27" si="3">IF(ISBLANK($F24)=FALSE,IF(H24="","No","Yes"),"")</f>
        <v/>
      </c>
      <c r="L24" s="924" t="str">
        <f t="shared" si="3"/>
        <v/>
      </c>
      <c r="M24" s="496"/>
      <c r="N24" s="496"/>
      <c r="O24" s="496"/>
      <c r="P24" s="496"/>
      <c r="Q24" s="846"/>
    </row>
    <row r="25" spans="1:17" ht="45" customHeight="1">
      <c r="A25" s="222"/>
      <c r="B25" s="288" t="s">
        <v>1118</v>
      </c>
      <c r="C25" s="289" t="s">
        <v>1119</v>
      </c>
      <c r="D25" s="289"/>
      <c r="E25" s="240">
        <v>2</v>
      </c>
      <c r="F25" s="212"/>
      <c r="G25" s="164"/>
      <c r="H25" s="903"/>
      <c r="I25" s="903"/>
      <c r="J25" s="455"/>
      <c r="K25" s="924" t="str">
        <f t="shared" si="3"/>
        <v/>
      </c>
      <c r="L25" s="924" t="str">
        <f t="shared" si="3"/>
        <v/>
      </c>
      <c r="M25" s="496"/>
      <c r="N25" s="496"/>
      <c r="O25" s="496"/>
      <c r="P25" s="496"/>
      <c r="Q25" s="846"/>
    </row>
    <row r="26" spans="1:17" ht="45" customHeight="1">
      <c r="A26" s="222"/>
      <c r="B26" s="288" t="s">
        <v>1120</v>
      </c>
      <c r="C26" s="289" t="s">
        <v>1121</v>
      </c>
      <c r="D26" s="289"/>
      <c r="E26" s="240">
        <v>1</v>
      </c>
      <c r="F26" s="212"/>
      <c r="G26" s="164"/>
      <c r="H26" s="903"/>
      <c r="I26" s="903"/>
      <c r="J26" s="455"/>
      <c r="K26" s="924" t="str">
        <f t="shared" si="3"/>
        <v/>
      </c>
      <c r="L26" s="924" t="str">
        <f t="shared" si="3"/>
        <v/>
      </c>
      <c r="M26" s="496"/>
      <c r="N26" s="496"/>
      <c r="O26" s="496"/>
      <c r="P26" s="496"/>
      <c r="Q26" s="846"/>
    </row>
    <row r="27" spans="1:17" ht="45" customHeight="1">
      <c r="A27" s="222"/>
      <c r="B27" s="1471" t="s">
        <v>1122</v>
      </c>
      <c r="C27" s="1473" t="s">
        <v>326</v>
      </c>
      <c r="D27" s="289" t="s">
        <v>1256</v>
      </c>
      <c r="E27" s="240">
        <v>3</v>
      </c>
      <c r="F27" s="212"/>
      <c r="G27" s="164"/>
      <c r="H27" s="903"/>
      <c r="I27" s="903"/>
      <c r="J27" s="455"/>
      <c r="K27" s="924" t="str">
        <f t="shared" si="3"/>
        <v/>
      </c>
      <c r="L27" s="924" t="str">
        <f t="shared" si="3"/>
        <v/>
      </c>
      <c r="M27" s="496"/>
      <c r="N27" s="496"/>
      <c r="O27" s="496"/>
      <c r="P27" s="496"/>
      <c r="Q27" s="846"/>
    </row>
    <row r="28" spans="1:17" ht="45" customHeight="1">
      <c r="A28" s="222"/>
      <c r="B28" s="1472"/>
      <c r="C28" s="1474"/>
      <c r="D28" s="289" t="s">
        <v>1257</v>
      </c>
      <c r="E28" s="240">
        <v>1</v>
      </c>
      <c r="F28" s="212"/>
      <c r="G28" s="164"/>
      <c r="H28" s="903"/>
      <c r="I28" s="903"/>
      <c r="J28" s="455"/>
      <c r="K28" s="924" t="str">
        <f>IF(OR(ISBLANK($F28)=FALSE,$Q28=TRUE),IF(H28="","No","Yes"),"")</f>
        <v/>
      </c>
      <c r="L28" s="297" t="str">
        <f>IF(ISBLANK($F28)=FALSE,IF(I28="","No","Yes"),IF($Q28=TRUE,"NA",""))</f>
        <v/>
      </c>
      <c r="M28" s="496"/>
      <c r="N28" s="496"/>
      <c r="O28" s="496"/>
      <c r="P28" s="496" t="s">
        <v>242</v>
      </c>
      <c r="Q28" s="846" t="b">
        <v>0</v>
      </c>
    </row>
    <row r="29" spans="1:17" ht="45" customHeight="1">
      <c r="A29" s="222"/>
      <c r="B29" s="288" t="s">
        <v>1123</v>
      </c>
      <c r="C29" s="289" t="s">
        <v>332</v>
      </c>
      <c r="D29" s="289"/>
      <c r="E29" s="240">
        <v>3</v>
      </c>
      <c r="F29" s="212"/>
      <c r="G29" s="164"/>
      <c r="H29" s="903"/>
      <c r="I29" s="903"/>
      <c r="J29" s="455"/>
      <c r="K29" s="924" t="str">
        <f>IF(ISBLANK($F29)=FALSE,IF(H29="","No","Yes"),"")</f>
        <v/>
      </c>
      <c r="L29" s="924" t="str">
        <f>IF(ISBLANK($F29)=FALSE,IF(I29="","No","Yes"),"")</f>
        <v/>
      </c>
      <c r="M29" s="496"/>
      <c r="N29" s="496"/>
      <c r="O29" s="496"/>
      <c r="P29" s="496"/>
      <c r="Q29" s="846"/>
    </row>
    <row r="30" spans="1:17" ht="45" customHeight="1">
      <c r="A30" s="222"/>
      <c r="B30" s="288" t="s">
        <v>1124</v>
      </c>
      <c r="C30" s="289" t="s">
        <v>597</v>
      </c>
      <c r="D30" s="289"/>
      <c r="E30" s="240">
        <v>1</v>
      </c>
      <c r="F30" s="212"/>
      <c r="G30" s="164"/>
      <c r="H30" s="903"/>
      <c r="I30" s="903"/>
      <c r="J30" s="455"/>
      <c r="K30" s="924" t="str">
        <f>IF(OR(ISBLANK($F30)=FALSE,$Q30=TRUE),IF(H30="","No","Yes"),"")</f>
        <v/>
      </c>
      <c r="L30" s="297" t="str">
        <f>IF(ISBLANK($F30)=FALSE,IF(I30="","No","Yes"),IF($Q30=TRUE,"Yes",""))</f>
        <v/>
      </c>
      <c r="M30" s="496"/>
      <c r="N30" s="496"/>
      <c r="O30" s="496"/>
      <c r="P30" s="496" t="s">
        <v>242</v>
      </c>
      <c r="Q30" s="846" t="b">
        <v>0</v>
      </c>
    </row>
    <row r="31" spans="1:17" ht="45" customHeight="1">
      <c r="A31" s="222"/>
      <c r="B31" s="1471" t="s">
        <v>1125</v>
      </c>
      <c r="C31" s="1473" t="s">
        <v>314</v>
      </c>
      <c r="D31" s="289" t="s">
        <v>1258</v>
      </c>
      <c r="E31" s="240">
        <v>1</v>
      </c>
      <c r="F31" s="212"/>
      <c r="G31" s="164"/>
      <c r="H31" s="903"/>
      <c r="I31" s="903"/>
      <c r="J31" s="455"/>
      <c r="K31" s="924" t="str">
        <f t="shared" ref="K31:L34" si="4">IF(ISBLANK($F31)=FALSE,IF(H31="","No","Yes"),"")</f>
        <v/>
      </c>
      <c r="L31" s="924" t="str">
        <f t="shared" si="4"/>
        <v/>
      </c>
      <c r="M31" s="496"/>
      <c r="N31" s="496"/>
      <c r="O31" s="496"/>
      <c r="P31" s="496"/>
      <c r="Q31" s="846"/>
    </row>
    <row r="32" spans="1:17" ht="45" customHeight="1">
      <c r="A32" s="222"/>
      <c r="B32" s="1472"/>
      <c r="C32" s="1474"/>
      <c r="D32" s="289" t="s">
        <v>1259</v>
      </c>
      <c r="E32" s="240">
        <v>1</v>
      </c>
      <c r="F32" s="212"/>
      <c r="G32" s="164"/>
      <c r="H32" s="903"/>
      <c r="I32" s="903"/>
      <c r="J32" s="455"/>
      <c r="K32" s="924" t="str">
        <f t="shared" si="4"/>
        <v/>
      </c>
      <c r="L32" s="924" t="str">
        <f t="shared" si="4"/>
        <v/>
      </c>
      <c r="M32" s="496"/>
      <c r="N32" s="496"/>
      <c r="O32" s="496"/>
      <c r="P32" s="496"/>
      <c r="Q32" s="846"/>
    </row>
    <row r="33" spans="1:17" ht="45" customHeight="1">
      <c r="A33" s="222"/>
      <c r="B33" s="1471" t="s">
        <v>1126</v>
      </c>
      <c r="C33" s="1473" t="s">
        <v>1127</v>
      </c>
      <c r="D33" s="289" t="s">
        <v>1128</v>
      </c>
      <c r="E33" s="240">
        <v>1</v>
      </c>
      <c r="F33" s="212"/>
      <c r="G33" s="164"/>
      <c r="H33" s="903"/>
      <c r="I33" s="903"/>
      <c r="J33" s="455"/>
      <c r="K33" s="924" t="str">
        <f t="shared" si="4"/>
        <v/>
      </c>
      <c r="L33" s="924" t="str">
        <f t="shared" si="4"/>
        <v/>
      </c>
      <c r="M33" s="496"/>
      <c r="N33" s="496"/>
      <c r="O33" s="496"/>
      <c r="P33" s="496"/>
      <c r="Q33" s="846"/>
    </row>
    <row r="34" spans="1:17" s="247" customFormat="1" ht="45" customHeight="1">
      <c r="A34" s="222"/>
      <c r="B34" s="1476"/>
      <c r="C34" s="1477"/>
      <c r="D34" s="289" t="s">
        <v>1129</v>
      </c>
      <c r="E34" s="240">
        <v>1</v>
      </c>
      <c r="F34" s="212"/>
      <c r="G34" s="164"/>
      <c r="H34" s="903"/>
      <c r="I34" s="903"/>
      <c r="J34" s="455"/>
      <c r="K34" s="924" t="str">
        <f t="shared" si="4"/>
        <v/>
      </c>
      <c r="L34" s="924" t="str">
        <f t="shared" si="4"/>
        <v/>
      </c>
      <c r="M34" s="496"/>
      <c r="N34" s="222"/>
      <c r="O34" s="496"/>
      <c r="P34" s="496"/>
      <c r="Q34" s="846"/>
    </row>
    <row r="35" spans="1:17" ht="45" customHeight="1">
      <c r="A35" s="222"/>
      <c r="B35" s="1476"/>
      <c r="C35" s="1477"/>
      <c r="D35" s="289" t="s">
        <v>1260</v>
      </c>
      <c r="E35" s="240">
        <v>1</v>
      </c>
      <c r="F35" s="212"/>
      <c r="G35" s="164"/>
      <c r="H35" s="903"/>
      <c r="I35" s="903"/>
      <c r="J35" s="455"/>
      <c r="K35" s="924" t="str">
        <f>IF(OR(ISBLANK($F35)=FALSE,$Q35=TRUE),IF(H35="","No","Yes"),"")</f>
        <v/>
      </c>
      <c r="L35" s="297" t="str">
        <f>IF(ISBLANK($F35)=FALSE,IF(I35="","No","Yes"),IF($Q35=TRUE,"NA",""))</f>
        <v/>
      </c>
      <c r="M35" s="496"/>
      <c r="N35" s="496"/>
      <c r="O35" s="496"/>
      <c r="P35" s="496" t="s">
        <v>242</v>
      </c>
      <c r="Q35" s="846" t="b">
        <v>0</v>
      </c>
    </row>
    <row r="36" spans="1:17" ht="45" customHeight="1">
      <c r="A36" s="222"/>
      <c r="B36" s="1472"/>
      <c r="C36" s="1474"/>
      <c r="D36" s="289" t="s">
        <v>1261</v>
      </c>
      <c r="E36" s="240">
        <v>1</v>
      </c>
      <c r="F36" s="212"/>
      <c r="G36" s="164"/>
      <c r="H36" s="903"/>
      <c r="I36" s="903"/>
      <c r="J36" s="455"/>
      <c r="K36" s="924" t="str">
        <f>IF(OR(ISBLANK($F36)=FALSE,$Q36=TRUE),IF(H36="","No","Yes"),"")</f>
        <v/>
      </c>
      <c r="L36" s="297" t="str">
        <f>IF(ISBLANK($F36)=FALSE,IF(I36="","No","Yes"),IF($Q36=TRUE,"NA",""))</f>
        <v/>
      </c>
      <c r="M36" s="496"/>
      <c r="N36" s="222"/>
      <c r="O36" s="222"/>
      <c r="P36" s="496" t="s">
        <v>242</v>
      </c>
      <c r="Q36" s="846" t="b">
        <v>0</v>
      </c>
    </row>
    <row r="37" spans="1:17" ht="45" customHeight="1">
      <c r="A37" s="222"/>
      <c r="B37" s="288" t="s">
        <v>1132</v>
      </c>
      <c r="C37" s="289" t="s">
        <v>1133</v>
      </c>
      <c r="D37" s="289"/>
      <c r="E37" s="240">
        <v>1</v>
      </c>
      <c r="F37" s="212"/>
      <c r="G37" s="164"/>
      <c r="H37" s="903"/>
      <c r="I37" s="903"/>
      <c r="J37" s="455"/>
      <c r="K37" s="924" t="str">
        <f>IF(OR(ISBLANK($F37)=FALSE,$Q37=TRUE),IF(H37="","No","Yes"),"")</f>
        <v/>
      </c>
      <c r="L37" s="297" t="str">
        <f>IF(ISBLANK($F37)=FALSE,IF(I37="","No","Yes"),IF($Q37=TRUE,"NA",""))</f>
        <v/>
      </c>
      <c r="M37" s="496"/>
      <c r="N37" s="496"/>
      <c r="O37" s="496"/>
      <c r="P37" s="496" t="s">
        <v>242</v>
      </c>
      <c r="Q37" s="846" t="b">
        <v>0</v>
      </c>
    </row>
    <row r="38" spans="1:17" ht="45" customHeight="1">
      <c r="A38" s="222"/>
      <c r="B38" s="288" t="s">
        <v>1134</v>
      </c>
      <c r="C38" s="289" t="s">
        <v>1262</v>
      </c>
      <c r="D38" s="289"/>
      <c r="E38" s="240">
        <v>1</v>
      </c>
      <c r="F38" s="212"/>
      <c r="G38" s="164"/>
      <c r="H38" s="903"/>
      <c r="I38" s="903"/>
      <c r="J38" s="455"/>
      <c r="K38" s="924" t="str">
        <f>IF(OR(ISBLANK($F38)=FALSE,$Q38=TRUE),IF(H38="","No","Yes"),"")</f>
        <v/>
      </c>
      <c r="L38" s="297" t="str">
        <f>IF(ISBLANK($F38)=FALSE,IF(I38="","No","Yes"),IF($Q38=TRUE,"NA",""))</f>
        <v/>
      </c>
      <c r="M38" s="496"/>
      <c r="N38" s="496"/>
      <c r="O38" s="496"/>
      <c r="P38" s="496" t="s">
        <v>242</v>
      </c>
      <c r="Q38" s="846" t="b">
        <v>0</v>
      </c>
    </row>
    <row r="39" spans="1:17" ht="45" customHeight="1">
      <c r="A39" s="222"/>
      <c r="B39" s="288" t="s">
        <v>1136</v>
      </c>
      <c r="C39" s="289" t="s">
        <v>1137</v>
      </c>
      <c r="D39" s="289"/>
      <c r="E39" s="240">
        <v>1</v>
      </c>
      <c r="F39" s="212"/>
      <c r="G39" s="164"/>
      <c r="H39" s="903"/>
      <c r="I39" s="903"/>
      <c r="J39" s="455"/>
      <c r="K39" s="924" t="str">
        <f t="shared" ref="K39:L42" si="5">IF(ISBLANK($F39)=FALSE,IF(H39="","No","Yes"),"")</f>
        <v/>
      </c>
      <c r="L39" s="924" t="str">
        <f t="shared" si="5"/>
        <v/>
      </c>
      <c r="M39" s="496"/>
      <c r="N39" s="496"/>
      <c r="O39" s="496"/>
      <c r="P39" s="496"/>
      <c r="Q39" s="846"/>
    </row>
    <row r="40" spans="1:17" ht="45" customHeight="1">
      <c r="A40" s="222"/>
      <c r="B40" s="288" t="s">
        <v>1138</v>
      </c>
      <c r="C40" s="289" t="s">
        <v>1139</v>
      </c>
      <c r="D40" s="289"/>
      <c r="E40" s="240">
        <v>1</v>
      </c>
      <c r="F40" s="212"/>
      <c r="G40" s="164"/>
      <c r="H40" s="903"/>
      <c r="I40" s="903"/>
      <c r="J40" s="455"/>
      <c r="K40" s="924" t="str">
        <f t="shared" si="5"/>
        <v/>
      </c>
      <c r="L40" s="924" t="str">
        <f t="shared" si="5"/>
        <v/>
      </c>
      <c r="M40" s="496"/>
      <c r="N40" s="496"/>
      <c r="O40" s="496"/>
      <c r="P40" s="496"/>
      <c r="Q40" s="846"/>
    </row>
    <row r="41" spans="1:17" ht="45" customHeight="1">
      <c r="A41" s="247"/>
      <c r="B41" s="288" t="s">
        <v>1140</v>
      </c>
      <c r="C41" s="289" t="s">
        <v>1141</v>
      </c>
      <c r="D41" s="289"/>
      <c r="E41" s="240">
        <v>1</v>
      </c>
      <c r="F41" s="212"/>
      <c r="G41" s="164"/>
      <c r="H41" s="903"/>
      <c r="I41" s="903"/>
      <c r="J41" s="455"/>
      <c r="K41" s="924" t="str">
        <f t="shared" si="5"/>
        <v/>
      </c>
      <c r="L41" s="924" t="str">
        <f t="shared" si="5"/>
        <v/>
      </c>
      <c r="M41" s="496"/>
      <c r="N41" s="496"/>
      <c r="O41" s="496"/>
      <c r="P41" s="496"/>
      <c r="Q41" s="246"/>
    </row>
    <row r="42" spans="1:17" ht="45" customHeight="1">
      <c r="A42" s="222"/>
      <c r="B42" s="288" t="s">
        <v>1142</v>
      </c>
      <c r="C42" s="289" t="s">
        <v>1143</v>
      </c>
      <c r="D42" s="289"/>
      <c r="E42" s="240">
        <v>1</v>
      </c>
      <c r="F42" s="212"/>
      <c r="G42" s="164"/>
      <c r="H42" s="903"/>
      <c r="I42" s="903"/>
      <c r="J42" s="455"/>
      <c r="K42" s="924" t="str">
        <f t="shared" si="5"/>
        <v/>
      </c>
      <c r="L42" s="924" t="str">
        <f t="shared" si="5"/>
        <v/>
      </c>
      <c r="M42" s="496"/>
      <c r="N42" s="496"/>
      <c r="O42" s="496"/>
      <c r="P42" s="496"/>
      <c r="Q42" s="846"/>
    </row>
    <row r="43" spans="1:17" ht="45" customHeight="1">
      <c r="A43" s="222"/>
      <c r="B43" s="291" t="s">
        <v>963</v>
      </c>
      <c r="C43" s="292" t="s">
        <v>1115</v>
      </c>
      <c r="D43" s="292"/>
      <c r="E43" s="293">
        <f>SUM(E24:E42)</f>
        <v>26</v>
      </c>
      <c r="F43" s="298" t="str">
        <f>IFERROR(SUM(F24:F42)/E43*E23*100,"")</f>
        <v/>
      </c>
      <c r="G43" s="164"/>
      <c r="H43" s="949"/>
      <c r="I43" s="949"/>
      <c r="J43" s="950"/>
      <c r="K43" s="950"/>
      <c r="L43" s="950"/>
      <c r="M43" s="496"/>
      <c r="N43" s="496"/>
      <c r="O43" s="496"/>
      <c r="P43" s="496"/>
      <c r="Q43" s="846"/>
    </row>
    <row r="44" spans="1:17" s="247" customFormat="1" ht="45" customHeight="1">
      <c r="A44" s="222"/>
      <c r="B44" s="224"/>
      <c r="C44" s="273" t="s">
        <v>1115</v>
      </c>
      <c r="D44" s="273"/>
      <c r="E44" s="196"/>
      <c r="F44" s="196"/>
      <c r="G44" s="164"/>
      <c r="H44" s="904"/>
      <c r="I44" s="904"/>
      <c r="J44" s="538"/>
      <c r="K44" s="538"/>
      <c r="L44" s="538"/>
      <c r="M44" s="496"/>
      <c r="N44" s="222"/>
      <c r="O44" s="222"/>
      <c r="P44" s="496"/>
      <c r="Q44" s="846"/>
    </row>
    <row r="45" spans="1:17" ht="45" customHeight="1">
      <c r="A45" s="222"/>
      <c r="B45" s="274" t="s">
        <v>335</v>
      </c>
      <c r="C45" s="295" t="s">
        <v>1115</v>
      </c>
      <c r="D45" s="487" t="s">
        <v>1089</v>
      </c>
      <c r="E45" s="207" t="str">
        <f>IFERROR(VLOOKUP($F$2,$S$3:$AA$10,4,FALSE),"")</f>
        <v/>
      </c>
      <c r="F45" s="296"/>
      <c r="G45" s="164"/>
      <c r="H45" s="226"/>
      <c r="I45" s="226"/>
      <c r="J45" s="226"/>
      <c r="K45" s="226"/>
      <c r="L45" s="226"/>
      <c r="M45" s="496"/>
      <c r="N45" s="496"/>
      <c r="O45" s="496"/>
      <c r="P45" s="496"/>
      <c r="Q45" s="846"/>
    </row>
    <row r="46" spans="1:17" ht="45" customHeight="1">
      <c r="A46" s="222"/>
      <c r="B46" s="288" t="s">
        <v>1152</v>
      </c>
      <c r="C46" s="289" t="s">
        <v>338</v>
      </c>
      <c r="D46" s="289"/>
      <c r="E46" s="240" t="s">
        <v>264</v>
      </c>
      <c r="F46" s="212"/>
      <c r="G46" s="164"/>
      <c r="H46" s="903"/>
      <c r="I46" s="903"/>
      <c r="J46" s="455"/>
      <c r="K46" s="924" t="str">
        <f t="shared" ref="K46:K51" si="6">IF(ISBLANK($F46)=FALSE,IF(H46="","No","Yes"),"")</f>
        <v/>
      </c>
      <c r="L46" s="924" t="str">
        <f t="shared" ref="L46:L51" si="7">IF(ISBLANK($F46)=FALSE,IF(I46="","No","Yes"),"")</f>
        <v/>
      </c>
      <c r="M46" s="496"/>
      <c r="N46" s="496"/>
      <c r="O46" s="496"/>
      <c r="P46" s="496"/>
      <c r="Q46" s="846"/>
    </row>
    <row r="47" spans="1:17" ht="45" customHeight="1">
      <c r="A47" s="222"/>
      <c r="B47" s="288" t="s">
        <v>1153</v>
      </c>
      <c r="C47" s="289" t="s">
        <v>336</v>
      </c>
      <c r="D47" s="289"/>
      <c r="E47" s="240">
        <v>20</v>
      </c>
      <c r="F47" s="212"/>
      <c r="G47" s="164"/>
      <c r="H47" s="903"/>
      <c r="I47" s="903"/>
      <c r="J47" s="455"/>
      <c r="K47" s="924" t="str">
        <f t="shared" si="6"/>
        <v/>
      </c>
      <c r="L47" s="924" t="str">
        <f t="shared" si="7"/>
        <v/>
      </c>
      <c r="M47" s="496"/>
      <c r="N47" s="496"/>
      <c r="O47" s="496"/>
      <c r="P47" s="496"/>
      <c r="Q47" s="846"/>
    </row>
    <row r="48" spans="1:17" ht="45" customHeight="1">
      <c r="A48" s="222"/>
      <c r="B48" s="288" t="s">
        <v>1154</v>
      </c>
      <c r="C48" s="289" t="s">
        <v>1155</v>
      </c>
      <c r="D48" s="289"/>
      <c r="E48" s="240">
        <v>1</v>
      </c>
      <c r="F48" s="212"/>
      <c r="G48" s="164"/>
      <c r="H48" s="903"/>
      <c r="I48" s="903"/>
      <c r="J48" s="455"/>
      <c r="K48" s="924" t="str">
        <f t="shared" si="6"/>
        <v/>
      </c>
      <c r="L48" s="924" t="str">
        <f t="shared" si="7"/>
        <v/>
      </c>
      <c r="M48" s="496"/>
      <c r="N48" s="496"/>
      <c r="O48" s="496"/>
      <c r="P48" s="496"/>
      <c r="Q48" s="846"/>
    </row>
    <row r="49" spans="1:17" ht="45" customHeight="1">
      <c r="A49" s="222"/>
      <c r="B49" s="288" t="s">
        <v>1156</v>
      </c>
      <c r="C49" s="289" t="s">
        <v>1157</v>
      </c>
      <c r="D49" s="289"/>
      <c r="E49" s="240">
        <v>2</v>
      </c>
      <c r="F49" s="212"/>
      <c r="G49" s="164"/>
      <c r="H49" s="903"/>
      <c r="I49" s="903"/>
      <c r="J49" s="455"/>
      <c r="K49" s="924" t="str">
        <f t="shared" si="6"/>
        <v/>
      </c>
      <c r="L49" s="924" t="str">
        <f t="shared" si="7"/>
        <v/>
      </c>
      <c r="M49" s="496"/>
      <c r="N49" s="247"/>
      <c r="O49" s="247"/>
      <c r="P49" s="496"/>
      <c r="Q49" s="846"/>
    </row>
    <row r="50" spans="1:17" s="247" customFormat="1" ht="45" customHeight="1">
      <c r="A50" s="222"/>
      <c r="B50" s="288" t="s">
        <v>1158</v>
      </c>
      <c r="C50" s="289" t="s">
        <v>1159</v>
      </c>
      <c r="D50" s="289"/>
      <c r="E50" s="240">
        <v>1</v>
      </c>
      <c r="F50" s="212"/>
      <c r="G50" s="164"/>
      <c r="H50" s="903"/>
      <c r="I50" s="903"/>
      <c r="J50" s="455"/>
      <c r="K50" s="924" t="str">
        <f t="shared" si="6"/>
        <v/>
      </c>
      <c r="L50" s="924" t="str">
        <f t="shared" si="7"/>
        <v/>
      </c>
      <c r="M50" s="496"/>
      <c r="O50" s="496"/>
      <c r="P50" s="496"/>
      <c r="Q50" s="846"/>
    </row>
    <row r="51" spans="1:17" ht="45" customHeight="1">
      <c r="A51" s="247"/>
      <c r="B51" s="288" t="s">
        <v>1263</v>
      </c>
      <c r="C51" s="289" t="s">
        <v>1264</v>
      </c>
      <c r="D51" s="289"/>
      <c r="E51" s="240">
        <v>2</v>
      </c>
      <c r="F51" s="212"/>
      <c r="G51" s="164"/>
      <c r="H51" s="903"/>
      <c r="I51" s="903"/>
      <c r="J51" s="455"/>
      <c r="K51" s="924" t="str">
        <f t="shared" si="6"/>
        <v/>
      </c>
      <c r="L51" s="924" t="str">
        <f t="shared" si="7"/>
        <v/>
      </c>
      <c r="M51" s="496"/>
      <c r="N51" s="496"/>
      <c r="O51" s="496"/>
      <c r="P51" s="222"/>
      <c r="Q51" s="246"/>
    </row>
    <row r="52" spans="1:17" ht="45" customHeight="1">
      <c r="A52" s="222"/>
      <c r="B52" s="288" t="s">
        <v>1265</v>
      </c>
      <c r="C52" s="289" t="s">
        <v>1266</v>
      </c>
      <c r="D52" s="289"/>
      <c r="E52" s="240">
        <v>1</v>
      </c>
      <c r="F52" s="212"/>
      <c r="G52" s="164"/>
      <c r="H52" s="903"/>
      <c r="I52" s="903"/>
      <c r="J52" s="455"/>
      <c r="K52" s="924" t="str">
        <f>IF(OR(ISBLANK($F52)=FALSE,$Q52=TRUE),IF(H52="","No","Yes"),"")</f>
        <v/>
      </c>
      <c r="L52" s="297" t="str">
        <f>IF(ISBLANK($F52)=FALSE,IF(I52="","No","Yes"),IF($Q52=TRUE,"NA",""))</f>
        <v/>
      </c>
      <c r="M52" s="496"/>
      <c r="N52" s="496"/>
      <c r="O52" s="496"/>
      <c r="P52" s="496" t="s">
        <v>242</v>
      </c>
      <c r="Q52" s="846" t="b">
        <v>0</v>
      </c>
    </row>
    <row r="53" spans="1:17" ht="45" customHeight="1">
      <c r="A53" s="222"/>
      <c r="B53" s="288" t="s">
        <v>1162</v>
      </c>
      <c r="C53" s="289" t="s">
        <v>1163</v>
      </c>
      <c r="D53" s="289"/>
      <c r="E53" s="240">
        <v>1</v>
      </c>
      <c r="F53" s="212"/>
      <c r="G53" s="164"/>
      <c r="H53" s="903"/>
      <c r="I53" s="903"/>
      <c r="J53" s="455"/>
      <c r="K53" s="924" t="str">
        <f>IF(ISBLANK($F53)=FALSE,IF(H53="","No","Yes"),"")</f>
        <v/>
      </c>
      <c r="L53" s="924" t="str">
        <f>IF(ISBLANK($F53)=FALSE,IF(I53="","No","Yes"),"")</f>
        <v/>
      </c>
      <c r="M53" s="496"/>
      <c r="N53" s="496"/>
      <c r="O53" s="496"/>
      <c r="P53" s="496"/>
      <c r="Q53" s="846"/>
    </row>
    <row r="54" spans="1:17" ht="45" customHeight="1">
      <c r="A54" s="222"/>
      <c r="B54" s="288" t="s">
        <v>1267</v>
      </c>
      <c r="C54" s="289" t="s">
        <v>1268</v>
      </c>
      <c r="D54" s="289"/>
      <c r="E54" s="240">
        <v>1</v>
      </c>
      <c r="F54" s="212"/>
      <c r="G54" s="164"/>
      <c r="H54" s="903"/>
      <c r="I54" s="903"/>
      <c r="J54" s="455"/>
      <c r="K54" s="924" t="str">
        <f>IF(OR(ISBLANK($F54)=FALSE,$Q54=TRUE),IF(H54="","No","Yes"),"")</f>
        <v/>
      </c>
      <c r="L54" s="297" t="str">
        <f>IF(ISBLANK($F54)=FALSE,IF(I54="","No","Yes"),IF($Q54=TRUE,"NA",""))</f>
        <v/>
      </c>
      <c r="M54" s="496"/>
      <c r="N54" s="496"/>
      <c r="O54" s="496"/>
      <c r="P54" s="496" t="s">
        <v>242</v>
      </c>
      <c r="Q54" s="846" t="b">
        <v>0</v>
      </c>
    </row>
    <row r="55" spans="1:17" ht="45" customHeight="1">
      <c r="A55" s="222"/>
      <c r="B55" s="291" t="s">
        <v>963</v>
      </c>
      <c r="C55" s="292" t="s">
        <v>1115</v>
      </c>
      <c r="D55" s="292"/>
      <c r="E55" s="293">
        <f>SUM(E46:E54)</f>
        <v>29</v>
      </c>
      <c r="F55" s="298" t="str">
        <f>IFERROR(SUM(F46:F54)/E55*E45*100,"")</f>
        <v/>
      </c>
      <c r="G55" s="164"/>
      <c r="H55" s="949"/>
      <c r="I55" s="949"/>
      <c r="J55" s="950"/>
      <c r="K55" s="950"/>
      <c r="L55" s="950"/>
      <c r="M55" s="496"/>
      <c r="N55" s="222"/>
      <c r="O55" s="222"/>
      <c r="P55" s="496"/>
      <c r="Q55" s="846"/>
    </row>
    <row r="56" spans="1:17" ht="45" customHeight="1">
      <c r="A56" s="222"/>
      <c r="B56" s="254"/>
      <c r="C56" s="273" t="s">
        <v>1115</v>
      </c>
      <c r="D56" s="273"/>
      <c r="E56" s="196"/>
      <c r="F56" s="196"/>
      <c r="G56" s="164"/>
      <c r="H56" s="904"/>
      <c r="I56" s="904"/>
      <c r="J56" s="538"/>
      <c r="K56" s="538"/>
      <c r="L56" s="538"/>
      <c r="M56" s="496"/>
      <c r="N56" s="496"/>
      <c r="O56" s="496"/>
      <c r="P56" s="496"/>
      <c r="Q56" s="846"/>
    </row>
    <row r="57" spans="1:17" s="247" customFormat="1" ht="45" customHeight="1">
      <c r="B57" s="274" t="s">
        <v>345</v>
      </c>
      <c r="C57" s="295" t="s">
        <v>1115</v>
      </c>
      <c r="D57" s="487" t="s">
        <v>1089</v>
      </c>
      <c r="E57" s="207" t="str">
        <f>IFERROR(VLOOKUP($F$2,$S$3:$AA$10,5,FALSE),"")</f>
        <v/>
      </c>
      <c r="F57" s="296"/>
      <c r="G57" s="164"/>
      <c r="H57" s="226"/>
      <c r="I57" s="226"/>
      <c r="J57" s="226"/>
      <c r="K57" s="226"/>
      <c r="L57" s="226"/>
      <c r="M57" s="496"/>
      <c r="N57" s="222"/>
      <c r="O57" s="496"/>
      <c r="P57" s="496"/>
      <c r="Q57" s="246"/>
    </row>
    <row r="58" spans="1:17" ht="45" customHeight="1">
      <c r="A58" s="222"/>
      <c r="B58" s="288" t="s">
        <v>1164</v>
      </c>
      <c r="C58" s="289" t="s">
        <v>1165</v>
      </c>
      <c r="D58" s="289"/>
      <c r="E58" s="240">
        <v>2</v>
      </c>
      <c r="F58" s="212"/>
      <c r="G58" s="164"/>
      <c r="H58" s="903"/>
      <c r="I58" s="903"/>
      <c r="J58" s="455"/>
      <c r="K58" s="924" t="str">
        <f>IF(OR(ISBLANK($F58)=FALSE,$Q58=TRUE),IF(H58="","No","Yes"),"")</f>
        <v/>
      </c>
      <c r="L58" s="297" t="str">
        <f>IF(ISBLANK($F58)=FALSE,IF(I58="","No","Yes"),IF($Q58=TRUE,"NA",""))</f>
        <v/>
      </c>
      <c r="M58" s="496"/>
      <c r="N58" s="496"/>
      <c r="O58" s="496"/>
      <c r="P58" s="496" t="s">
        <v>242</v>
      </c>
      <c r="Q58" s="846" t="b">
        <v>0</v>
      </c>
    </row>
    <row r="59" spans="1:17" ht="45" customHeight="1">
      <c r="A59" s="222"/>
      <c r="B59" s="288" t="s">
        <v>1166</v>
      </c>
      <c r="C59" s="289" t="s">
        <v>1167</v>
      </c>
      <c r="D59" s="289"/>
      <c r="E59" s="240">
        <v>1</v>
      </c>
      <c r="F59" s="212"/>
      <c r="G59" s="164"/>
      <c r="H59" s="903"/>
      <c r="I59" s="903"/>
      <c r="J59" s="455"/>
      <c r="K59" s="924" t="str">
        <f>IF(OR(ISBLANK($F59)=FALSE,$Q59=TRUE),IF(H59="","No","Yes"),"")</f>
        <v/>
      </c>
      <c r="L59" s="297" t="str">
        <f>IF(ISBLANK($F59)=FALSE,IF(I59="","No","Yes"),IF($Q59=TRUE,"NA",""))</f>
        <v/>
      </c>
      <c r="M59" s="496"/>
      <c r="N59" s="496"/>
      <c r="O59" s="496"/>
      <c r="P59" s="496" t="s">
        <v>242</v>
      </c>
      <c r="Q59" s="846" t="b">
        <v>0</v>
      </c>
    </row>
    <row r="60" spans="1:17" ht="45" customHeight="1">
      <c r="A60" s="222"/>
      <c r="B60" s="1471" t="s">
        <v>1168</v>
      </c>
      <c r="C60" s="1473" t="s">
        <v>1169</v>
      </c>
      <c r="D60" s="289" t="s">
        <v>1269</v>
      </c>
      <c r="E60" s="240">
        <v>2</v>
      </c>
      <c r="F60" s="212"/>
      <c r="G60" s="164"/>
      <c r="H60" s="903"/>
      <c r="I60" s="903"/>
      <c r="J60" s="455"/>
      <c r="K60" s="924" t="str">
        <f t="shared" ref="K60:L63" si="8">IF(ISBLANK($F60)=FALSE,IF(H60="","No","Yes"),"")</f>
        <v/>
      </c>
      <c r="L60" s="924" t="str">
        <f t="shared" si="8"/>
        <v/>
      </c>
      <c r="M60" s="496"/>
      <c r="N60" s="496"/>
      <c r="O60" s="496"/>
      <c r="P60" s="496"/>
      <c r="Q60" s="846"/>
    </row>
    <row r="61" spans="1:17" ht="45" customHeight="1">
      <c r="A61" s="222"/>
      <c r="B61" s="1472"/>
      <c r="C61" s="1474"/>
      <c r="D61" s="289" t="s">
        <v>1270</v>
      </c>
      <c r="E61" s="240">
        <v>2</v>
      </c>
      <c r="F61" s="212"/>
      <c r="G61" s="164"/>
      <c r="H61" s="903"/>
      <c r="I61" s="903"/>
      <c r="J61" s="455"/>
      <c r="K61" s="924" t="str">
        <f t="shared" si="8"/>
        <v/>
      </c>
      <c r="L61" s="924" t="str">
        <f t="shared" si="8"/>
        <v/>
      </c>
      <c r="M61" s="496"/>
      <c r="N61" s="496"/>
      <c r="O61" s="496"/>
      <c r="P61" s="496"/>
      <c r="Q61" s="846"/>
    </row>
    <row r="62" spans="1:17" ht="45" customHeight="1">
      <c r="A62" s="222"/>
      <c r="B62" s="288" t="s">
        <v>1172</v>
      </c>
      <c r="C62" s="289" t="s">
        <v>985</v>
      </c>
      <c r="D62" s="289"/>
      <c r="E62" s="240">
        <v>5</v>
      </c>
      <c r="F62" s="212"/>
      <c r="G62" s="164"/>
      <c r="H62" s="903"/>
      <c r="I62" s="903"/>
      <c r="J62" s="455"/>
      <c r="K62" s="924" t="str">
        <f t="shared" si="8"/>
        <v/>
      </c>
      <c r="L62" s="924" t="str">
        <f t="shared" si="8"/>
        <v/>
      </c>
      <c r="M62" s="496"/>
      <c r="N62" s="496"/>
      <c r="O62" s="496"/>
      <c r="P62" s="496"/>
      <c r="Q62" s="846"/>
    </row>
    <row r="63" spans="1:17" ht="45" customHeight="1">
      <c r="A63" s="222"/>
      <c r="B63" s="288" t="s">
        <v>1173</v>
      </c>
      <c r="C63" s="289" t="s">
        <v>1174</v>
      </c>
      <c r="D63" s="289"/>
      <c r="E63" s="240">
        <v>1</v>
      </c>
      <c r="F63" s="212"/>
      <c r="G63" s="164"/>
      <c r="H63" s="903"/>
      <c r="I63" s="903"/>
      <c r="J63" s="455"/>
      <c r="K63" s="924" t="str">
        <f t="shared" si="8"/>
        <v/>
      </c>
      <c r="L63" s="924" t="str">
        <f t="shared" si="8"/>
        <v/>
      </c>
      <c r="M63" s="496"/>
      <c r="N63" s="496"/>
      <c r="O63" s="496"/>
      <c r="P63" s="496"/>
      <c r="Q63" s="846"/>
    </row>
    <row r="64" spans="1:17" ht="45" customHeight="1">
      <c r="A64" s="247"/>
      <c r="B64" s="291" t="s">
        <v>963</v>
      </c>
      <c r="C64" s="292" t="s">
        <v>1115</v>
      </c>
      <c r="D64" s="292"/>
      <c r="E64" s="293">
        <f>SUM(E58:E63)</f>
        <v>13</v>
      </c>
      <c r="F64" s="298" t="str">
        <f>IFERROR(SUM(F58:F63)/E64*E57*100,"")</f>
        <v/>
      </c>
      <c r="G64" s="164"/>
      <c r="H64" s="949"/>
      <c r="I64" s="949"/>
      <c r="J64" s="950"/>
      <c r="K64" s="950"/>
      <c r="L64" s="950"/>
      <c r="M64" s="496"/>
      <c r="N64" s="496"/>
      <c r="O64" s="496"/>
      <c r="P64" s="496"/>
      <c r="Q64" s="246"/>
    </row>
    <row r="65" spans="1:17" ht="45" customHeight="1">
      <c r="A65" s="222"/>
      <c r="B65" s="254"/>
      <c r="C65" s="273" t="s">
        <v>1115</v>
      </c>
      <c r="D65" s="273"/>
      <c r="E65" s="196"/>
      <c r="F65" s="196"/>
      <c r="G65" s="164"/>
      <c r="H65" s="904"/>
      <c r="I65" s="904"/>
      <c r="J65" s="538"/>
      <c r="K65" s="538"/>
      <c r="L65" s="538"/>
      <c r="M65" s="496"/>
      <c r="N65" s="496"/>
      <c r="O65" s="496"/>
      <c r="P65" s="496"/>
      <c r="Q65" s="846"/>
    </row>
    <row r="66" spans="1:17" ht="45" customHeight="1">
      <c r="A66" s="222"/>
      <c r="B66" s="274" t="s">
        <v>353</v>
      </c>
      <c r="C66" s="295" t="s">
        <v>1115</v>
      </c>
      <c r="D66" s="487" t="s">
        <v>1089</v>
      </c>
      <c r="E66" s="207" t="str">
        <f>IFERROR(VLOOKUP($F$2,$S$3:$AA$10,6,FALSE),"")</f>
        <v/>
      </c>
      <c r="F66" s="296"/>
      <c r="G66" s="164"/>
      <c r="H66" s="226"/>
      <c r="I66" s="226"/>
      <c r="J66" s="226"/>
      <c r="K66" s="226"/>
      <c r="L66" s="226"/>
      <c r="M66" s="496"/>
      <c r="N66" s="496"/>
      <c r="O66" s="496"/>
      <c r="P66" s="496"/>
      <c r="Q66" s="846"/>
    </row>
    <row r="67" spans="1:17" ht="45" customHeight="1">
      <c r="A67" s="222"/>
      <c r="B67" s="288" t="s">
        <v>1175</v>
      </c>
      <c r="C67" s="289" t="s">
        <v>1176</v>
      </c>
      <c r="D67" s="289"/>
      <c r="E67" s="240">
        <v>5</v>
      </c>
      <c r="F67" s="212"/>
      <c r="G67" s="164"/>
      <c r="H67" s="903"/>
      <c r="I67" s="903"/>
      <c r="J67" s="455"/>
      <c r="K67" s="924" t="str">
        <f>IF(ISBLANK($F67)=FALSE,IF(H67="","No","Yes"),"")</f>
        <v/>
      </c>
      <c r="L67" s="924" t="str">
        <f>IF(ISBLANK($F67)=FALSE,IF(I67="","No","Yes"),"")</f>
        <v/>
      </c>
      <c r="M67" s="496"/>
      <c r="N67" s="496"/>
      <c r="O67" s="496"/>
      <c r="P67" s="496"/>
      <c r="Q67" s="846"/>
    </row>
    <row r="68" spans="1:17" ht="45" customHeight="1">
      <c r="A68" s="222"/>
      <c r="B68" s="288" t="s">
        <v>1177</v>
      </c>
      <c r="C68" s="289" t="s">
        <v>1178</v>
      </c>
      <c r="D68" s="289"/>
      <c r="E68" s="240">
        <v>1</v>
      </c>
      <c r="F68" s="212"/>
      <c r="G68" s="164"/>
      <c r="H68" s="903"/>
      <c r="I68" s="903"/>
      <c r="J68" s="455"/>
      <c r="K68" s="924" t="str">
        <f>IF(ISBLANK($F68)=FALSE,IF(H68="","No","Yes"),"")</f>
        <v/>
      </c>
      <c r="L68" s="924" t="str">
        <f>IF(ISBLANK($F68)=FALSE,IF(I68="","No","Yes"),"")</f>
        <v/>
      </c>
      <c r="M68" s="496"/>
      <c r="N68" s="496"/>
      <c r="O68" s="496"/>
      <c r="P68" s="496"/>
      <c r="Q68" s="846"/>
    </row>
    <row r="69" spans="1:17" ht="45" customHeight="1">
      <c r="A69" s="222"/>
      <c r="B69" s="288" t="s">
        <v>1179</v>
      </c>
      <c r="C69" s="289" t="s">
        <v>364</v>
      </c>
      <c r="D69" s="289"/>
      <c r="E69" s="240">
        <v>3</v>
      </c>
      <c r="F69" s="212"/>
      <c r="G69" s="164"/>
      <c r="H69" s="903"/>
      <c r="I69" s="903"/>
      <c r="J69" s="455"/>
      <c r="K69" s="924" t="str">
        <f>IF(OR(ISBLANK($F69)=FALSE,$Q69=TRUE),IF(H69="","No","Yes"),"")</f>
        <v/>
      </c>
      <c r="L69" s="297" t="str">
        <f>IF(ISBLANK($F69)=FALSE,IF(I69="","No","Yes"),IF($Q69=TRUE,"NA",""))</f>
        <v/>
      </c>
      <c r="M69" s="496"/>
      <c r="N69" s="496"/>
      <c r="O69" s="496"/>
      <c r="P69" s="496" t="s">
        <v>242</v>
      </c>
      <c r="Q69" s="846" t="b">
        <v>0</v>
      </c>
    </row>
    <row r="70" spans="1:17" ht="45" customHeight="1">
      <c r="A70" s="222"/>
      <c r="B70" s="288" t="s">
        <v>1180</v>
      </c>
      <c r="C70" s="289" t="s">
        <v>1181</v>
      </c>
      <c r="D70" s="289"/>
      <c r="E70" s="240">
        <v>4</v>
      </c>
      <c r="F70" s="212"/>
      <c r="G70" s="164"/>
      <c r="H70" s="903"/>
      <c r="I70" s="903"/>
      <c r="J70" s="455"/>
      <c r="K70" s="924" t="str">
        <f>IF(ISBLANK($F70)=FALSE,IF(H70="","No","Yes"),"")</f>
        <v/>
      </c>
      <c r="L70" s="924" t="str">
        <f>IF(ISBLANK($F70)=FALSE,IF(I70="","No","Yes"),"")</f>
        <v/>
      </c>
      <c r="M70" s="496"/>
      <c r="N70" s="496"/>
      <c r="O70" s="496"/>
      <c r="P70" s="496"/>
      <c r="Q70" s="846"/>
    </row>
    <row r="71" spans="1:17" ht="45" customHeight="1">
      <c r="A71" s="222"/>
      <c r="B71" s="288" t="s">
        <v>1182</v>
      </c>
      <c r="C71" s="289" t="s">
        <v>1183</v>
      </c>
      <c r="D71" s="289"/>
      <c r="E71" s="240">
        <v>1</v>
      </c>
      <c r="F71" s="212"/>
      <c r="G71" s="164"/>
      <c r="H71" s="903"/>
      <c r="I71" s="903"/>
      <c r="J71" s="455"/>
      <c r="K71" s="924" t="str">
        <f>IF(OR(ISBLANK($F71)=FALSE,$Q71=TRUE),IF(H71="","No","Yes"),"")</f>
        <v/>
      </c>
      <c r="L71" s="297" t="str">
        <f>IF(ISBLANK($F71)=FALSE,IF(I71="","No","Yes"),IF($Q71=TRUE,"NA",""))</f>
        <v/>
      </c>
      <c r="M71" s="496"/>
      <c r="N71" s="496"/>
      <c r="O71" s="496"/>
      <c r="P71" s="496" t="s">
        <v>242</v>
      </c>
      <c r="Q71" s="846" t="b">
        <v>0</v>
      </c>
    </row>
    <row r="72" spans="1:17" ht="45" customHeight="1">
      <c r="A72" s="222"/>
      <c r="B72" s="288" t="s">
        <v>1184</v>
      </c>
      <c r="C72" s="289" t="s">
        <v>1271</v>
      </c>
      <c r="D72" s="289"/>
      <c r="E72" s="240">
        <v>2</v>
      </c>
      <c r="F72" s="212"/>
      <c r="G72" s="164"/>
      <c r="H72" s="903"/>
      <c r="I72" s="903"/>
      <c r="J72" s="455"/>
      <c r="K72" s="924" t="str">
        <f>IF(OR(ISBLANK($F72)=FALSE,$Q72=TRUE),IF(H72="","No","Yes"),"")</f>
        <v/>
      </c>
      <c r="L72" s="297" t="str">
        <f>IF(ISBLANK($F72)=FALSE,IF(I72="","No","Yes"),IF($Q72=TRUE,"NA",""))</f>
        <v/>
      </c>
      <c r="M72" s="496"/>
      <c r="N72" s="496"/>
      <c r="O72" s="496"/>
      <c r="P72" s="496" t="s">
        <v>242</v>
      </c>
      <c r="Q72" s="846" t="b">
        <v>0</v>
      </c>
    </row>
    <row r="73" spans="1:17" ht="45" customHeight="1">
      <c r="A73" s="222"/>
      <c r="B73" s="291" t="s">
        <v>963</v>
      </c>
      <c r="C73" s="292" t="s">
        <v>1115</v>
      </c>
      <c r="D73" s="292"/>
      <c r="E73" s="293">
        <f>SUM(E67:E72)</f>
        <v>16</v>
      </c>
      <c r="F73" s="298" t="str">
        <f>IFERROR(SUM(F67:F72)/E73*E66*100,"")</f>
        <v/>
      </c>
      <c r="G73" s="164"/>
      <c r="H73" s="949"/>
      <c r="I73" s="949"/>
      <c r="J73" s="950"/>
      <c r="K73" s="950"/>
      <c r="L73" s="950"/>
      <c r="M73" s="496"/>
      <c r="N73" s="496"/>
      <c r="O73" s="496"/>
      <c r="P73" s="496"/>
      <c r="Q73" s="846"/>
    </row>
    <row r="74" spans="1:17" ht="45" customHeight="1">
      <c r="A74" s="222"/>
      <c r="B74" s="224"/>
      <c r="C74" s="273" t="s">
        <v>1115</v>
      </c>
      <c r="D74" s="273"/>
      <c r="E74" s="196"/>
      <c r="F74" s="196"/>
      <c r="G74" s="164"/>
      <c r="H74" s="904"/>
      <c r="I74" s="904"/>
      <c r="J74" s="538"/>
      <c r="K74" s="538"/>
      <c r="L74" s="538"/>
      <c r="M74" s="496"/>
      <c r="N74" s="496"/>
      <c r="O74" s="496"/>
      <c r="P74" s="496"/>
      <c r="Q74" s="846"/>
    </row>
    <row r="75" spans="1:17" ht="45" customHeight="1">
      <c r="A75" s="222"/>
      <c r="B75" s="274" t="s">
        <v>367</v>
      </c>
      <c r="C75" s="295" t="s">
        <v>1115</v>
      </c>
      <c r="D75" s="487" t="s">
        <v>1089</v>
      </c>
      <c r="E75" s="207" t="str">
        <f>IFERROR(VLOOKUP($F$2,$S$3:$AA$10,7,FALSE),"")</f>
        <v/>
      </c>
      <c r="F75" s="296"/>
      <c r="G75" s="164"/>
      <c r="H75" s="226"/>
      <c r="I75" s="226"/>
      <c r="J75" s="226"/>
      <c r="K75" s="226"/>
      <c r="L75" s="226"/>
      <c r="M75" s="496"/>
      <c r="N75" s="496"/>
      <c r="O75" s="496"/>
      <c r="P75" s="496"/>
      <c r="Q75" s="846"/>
    </row>
    <row r="76" spans="1:17" ht="45" customHeight="1">
      <c r="A76" s="496"/>
      <c r="B76" s="288" t="s">
        <v>1186</v>
      </c>
      <c r="C76" s="289" t="s">
        <v>1187</v>
      </c>
      <c r="D76" s="289"/>
      <c r="E76" s="240">
        <v>2</v>
      </c>
      <c r="F76" s="212"/>
      <c r="G76" s="164"/>
      <c r="H76" s="903"/>
      <c r="I76" s="903"/>
      <c r="J76" s="455"/>
      <c r="K76" s="924" t="str">
        <f>IF(ISBLANK($F76)=FALSE,IF(H76="","No","Yes"),"")</f>
        <v/>
      </c>
      <c r="L76" s="924" t="str">
        <f>IF(ISBLANK($F76)=FALSE,IF(I76="","No","Yes"),"")</f>
        <v/>
      </c>
      <c r="M76" s="496"/>
      <c r="N76" s="496"/>
      <c r="O76" s="496"/>
      <c r="P76" s="496"/>
      <c r="Q76" s="846"/>
    </row>
    <row r="77" spans="1:17" ht="45" customHeight="1">
      <c r="A77" s="222"/>
      <c r="B77" s="1471" t="s">
        <v>1188</v>
      </c>
      <c r="C77" s="1473" t="s">
        <v>380</v>
      </c>
      <c r="D77" s="289" t="s">
        <v>1189</v>
      </c>
      <c r="E77" s="240">
        <v>2</v>
      </c>
      <c r="F77" s="212"/>
      <c r="G77" s="164"/>
      <c r="H77" s="903"/>
      <c r="I77" s="903"/>
      <c r="J77" s="455"/>
      <c r="K77" s="924" t="str">
        <f>IF(OR(ISBLANK($F77)=FALSE,$Q77=TRUE),IF(H77="","No","Yes"),"")</f>
        <v/>
      </c>
      <c r="L77" s="297" t="str">
        <f>IF(ISBLANK($F77)=FALSE,IF(I77="","No","Yes"),IF($Q77=TRUE,"NA",""))</f>
        <v/>
      </c>
      <c r="M77" s="496"/>
      <c r="N77" s="496"/>
      <c r="O77" s="496"/>
      <c r="P77" s="496" t="s">
        <v>242</v>
      </c>
      <c r="Q77" s="846" t="b">
        <v>0</v>
      </c>
    </row>
    <row r="78" spans="1:17" ht="45" customHeight="1">
      <c r="A78" s="222"/>
      <c r="B78" s="1472"/>
      <c r="C78" s="1474"/>
      <c r="D78" s="289" t="s">
        <v>1190</v>
      </c>
      <c r="E78" s="240">
        <v>4</v>
      </c>
      <c r="F78" s="212"/>
      <c r="G78" s="164"/>
      <c r="H78" s="903"/>
      <c r="I78" s="903"/>
      <c r="J78" s="455"/>
      <c r="K78" s="924" t="str">
        <f>IF(OR(ISBLANK($F78)=FALSE,$Q78=TRUE),IF(H78="","No","Yes"),"")</f>
        <v/>
      </c>
      <c r="L78" s="297" t="str">
        <f>IF(ISBLANK($F78)=FALSE,IF(I78="","No","Yes"),IF($Q78=TRUE,"NA",""))</f>
        <v/>
      </c>
      <c r="M78" s="496"/>
      <c r="N78" s="496"/>
      <c r="O78" s="496"/>
      <c r="P78" s="496" t="s">
        <v>242</v>
      </c>
      <c r="Q78" s="846" t="b">
        <v>0</v>
      </c>
    </row>
    <row r="79" spans="1:17" ht="45" customHeight="1">
      <c r="A79" s="496"/>
      <c r="B79" s="288" t="s">
        <v>1191</v>
      </c>
      <c r="C79" s="289" t="s">
        <v>1192</v>
      </c>
      <c r="D79" s="289"/>
      <c r="E79" s="240">
        <v>1</v>
      </c>
      <c r="F79" s="212"/>
      <c r="G79" s="164"/>
      <c r="H79" s="903"/>
      <c r="I79" s="903"/>
      <c r="J79" s="455"/>
      <c r="K79" s="924" t="str">
        <f>IF(ISBLANK($F79)=FALSE,IF(H79="","No","Yes"),"")</f>
        <v/>
      </c>
      <c r="L79" s="924" t="str">
        <f>IF(ISBLANK($F79)=FALSE,IF(I79="","No","Yes"),"")</f>
        <v/>
      </c>
      <c r="M79" s="496"/>
      <c r="N79" s="496"/>
      <c r="O79" s="496"/>
      <c r="P79" s="496"/>
      <c r="Q79" s="846"/>
    </row>
    <row r="80" spans="1:17" ht="45" customHeight="1">
      <c r="A80" s="222"/>
      <c r="B80" s="1471" t="s">
        <v>1193</v>
      </c>
      <c r="C80" s="1473" t="s">
        <v>1194</v>
      </c>
      <c r="D80" s="289" t="s">
        <v>1195</v>
      </c>
      <c r="E80" s="240">
        <v>2</v>
      </c>
      <c r="F80" s="212"/>
      <c r="G80" s="164"/>
      <c r="H80" s="903"/>
      <c r="I80" s="903"/>
      <c r="J80" s="455"/>
      <c r="K80" s="924" t="str">
        <f>IF(OR(ISBLANK($F80)=FALSE,$Q80=TRUE),IF(H80="","No","Yes"),"")</f>
        <v/>
      </c>
      <c r="L80" s="297" t="str">
        <f>IF(ISBLANK($F80)=FALSE,IF(I80="","No","Yes"),IF($Q80=TRUE,"NA",""))</f>
        <v/>
      </c>
      <c r="M80" s="496"/>
      <c r="N80" s="496"/>
      <c r="O80" s="496"/>
      <c r="P80" s="496" t="s">
        <v>242</v>
      </c>
      <c r="Q80" s="846" t="b">
        <v>0</v>
      </c>
    </row>
    <row r="81" spans="1:17" ht="45" customHeight="1">
      <c r="A81" s="222"/>
      <c r="B81" s="1472"/>
      <c r="C81" s="1474"/>
      <c r="D81" s="289" t="s">
        <v>1196</v>
      </c>
      <c r="E81" s="240">
        <v>1</v>
      </c>
      <c r="F81" s="212"/>
      <c r="G81" s="164"/>
      <c r="H81" s="903"/>
      <c r="I81" s="903"/>
      <c r="J81" s="455"/>
      <c r="K81" s="924" t="str">
        <f>IF(OR(ISBLANK($F81)=FALSE,$Q81=TRUE),IF(H81="","No","Yes"),"")</f>
        <v/>
      </c>
      <c r="L81" s="297" t="str">
        <f>IF(ISBLANK($F81)=FALSE,IF(I81="","No","Yes"),IF($Q81=TRUE,"NA",""))</f>
        <v/>
      </c>
      <c r="M81" s="496"/>
      <c r="N81" s="496"/>
      <c r="O81" s="496"/>
      <c r="P81" s="496" t="s">
        <v>242</v>
      </c>
      <c r="Q81" s="846" t="b">
        <v>0</v>
      </c>
    </row>
    <row r="82" spans="1:17" ht="45" customHeight="1">
      <c r="A82" s="222"/>
      <c r="B82" s="1471" t="s">
        <v>1197</v>
      </c>
      <c r="C82" s="1473" t="s">
        <v>1198</v>
      </c>
      <c r="D82" s="289" t="s">
        <v>1199</v>
      </c>
      <c r="E82" s="299">
        <v>1</v>
      </c>
      <c r="F82" s="212"/>
      <c r="G82" s="164"/>
      <c r="H82" s="903"/>
      <c r="I82" s="903"/>
      <c r="J82" s="455"/>
      <c r="K82" s="924" t="str">
        <f>IF(OR(ISBLANK($F82)=FALSE,$Q82=TRUE),IF(H82="","No","Yes"),"")</f>
        <v/>
      </c>
      <c r="L82" s="297" t="str">
        <f>IF(ISBLANK($F82)=FALSE,IF(I82="","No","Yes"),IF($Q82=TRUE,"NA",""))</f>
        <v/>
      </c>
      <c r="M82" s="496"/>
      <c r="N82" s="496"/>
      <c r="O82" s="496"/>
      <c r="P82" s="496" t="s">
        <v>242</v>
      </c>
      <c r="Q82" s="846" t="b">
        <v>0</v>
      </c>
    </row>
    <row r="83" spans="1:17" ht="45" customHeight="1">
      <c r="A83" s="222"/>
      <c r="B83" s="1472"/>
      <c r="C83" s="1474"/>
      <c r="D83" s="289" t="s">
        <v>1200</v>
      </c>
      <c r="E83" s="300">
        <v>1</v>
      </c>
      <c r="F83" s="212"/>
      <c r="G83" s="164"/>
      <c r="H83" s="903"/>
      <c r="I83" s="903"/>
      <c r="J83" s="455"/>
      <c r="K83" s="924" t="str">
        <f>IF(OR(ISBLANK($F83)=FALSE,$Q83=TRUE),IF(H83="","No","Yes"),"")</f>
        <v/>
      </c>
      <c r="L83" s="297" t="str">
        <f>IF(ISBLANK($F83)=FALSE,IF(I83="","No","Yes"),IF($Q83=TRUE,"NA",""))</f>
        <v/>
      </c>
      <c r="M83" s="496"/>
      <c r="N83" s="496"/>
      <c r="O83" s="496"/>
      <c r="P83" s="496" t="s">
        <v>242</v>
      </c>
      <c r="Q83" s="846" t="b">
        <v>0</v>
      </c>
    </row>
    <row r="84" spans="1:17" ht="45" customHeight="1">
      <c r="A84" s="222"/>
      <c r="B84" s="288" t="s">
        <v>1201</v>
      </c>
      <c r="C84" s="289" t="s">
        <v>1202</v>
      </c>
      <c r="D84" s="289"/>
      <c r="E84" s="240">
        <v>2</v>
      </c>
      <c r="F84" s="212"/>
      <c r="G84" s="164"/>
      <c r="H84" s="903"/>
      <c r="I84" s="903"/>
      <c r="J84" s="455"/>
      <c r="K84" s="924" t="str">
        <f>IF(ISBLANK($F84)=FALSE,IF(H84="","No","Yes"),"")</f>
        <v/>
      </c>
      <c r="L84" s="924" t="str">
        <f>IF(ISBLANK($F84)=FALSE,IF(I84="","No","Yes"),"")</f>
        <v/>
      </c>
      <c r="M84" s="496"/>
      <c r="N84" s="496"/>
      <c r="O84" s="496"/>
      <c r="P84" s="496"/>
      <c r="Q84" s="846"/>
    </row>
    <row r="85" spans="1:17" ht="45" customHeight="1">
      <c r="A85" s="301"/>
      <c r="B85" s="288" t="s">
        <v>1203</v>
      </c>
      <c r="C85" s="289" t="s">
        <v>1204</v>
      </c>
      <c r="D85" s="289"/>
      <c r="E85" s="240">
        <v>1</v>
      </c>
      <c r="F85" s="212"/>
      <c r="G85" s="164"/>
      <c r="H85" s="903"/>
      <c r="I85" s="903"/>
      <c r="J85" s="455"/>
      <c r="K85" s="924" t="str">
        <f>IF(OR(ISBLANK($F85)=FALSE,$Q85=TRUE),IF(H85="","No","Yes"),"")</f>
        <v/>
      </c>
      <c r="L85" s="297" t="str">
        <f>IF(ISBLANK($F85)=FALSE,IF(I85="","No","Yes"),IF($Q85=TRUE,"NA",""))</f>
        <v/>
      </c>
      <c r="M85" s="496"/>
      <c r="N85" s="496"/>
      <c r="O85" s="496"/>
      <c r="P85" s="496" t="s">
        <v>242</v>
      </c>
      <c r="Q85" s="846" t="b">
        <v>0</v>
      </c>
    </row>
    <row r="86" spans="1:17" ht="45" customHeight="1">
      <c r="A86" s="301"/>
      <c r="B86" s="288" t="s">
        <v>1205</v>
      </c>
      <c r="C86" s="289" t="s">
        <v>1206</v>
      </c>
      <c r="D86" s="289"/>
      <c r="E86" s="240">
        <v>1</v>
      </c>
      <c r="F86" s="212"/>
      <c r="G86" s="164"/>
      <c r="H86" s="903"/>
      <c r="I86" s="903"/>
      <c r="J86" s="455"/>
      <c r="K86" s="924" t="str">
        <f>IF(OR(ISBLANK($F86)=FALSE,$Q86=TRUE),IF(H86="","No","Yes"),"")</f>
        <v/>
      </c>
      <c r="L86" s="297" t="str">
        <f>IF(ISBLANK($F86)=FALSE,IF(I86="","No","Yes"),IF($Q86=TRUE,"NA",""))</f>
        <v/>
      </c>
      <c r="M86" s="496"/>
      <c r="N86" s="496"/>
      <c r="O86" s="496"/>
      <c r="P86" s="496" t="s">
        <v>242</v>
      </c>
      <c r="Q86" s="846" t="b">
        <v>0</v>
      </c>
    </row>
    <row r="87" spans="1:17" ht="45" customHeight="1">
      <c r="A87" s="222"/>
      <c r="B87" s="1471" t="s">
        <v>1207</v>
      </c>
      <c r="C87" s="1473" t="s">
        <v>1208</v>
      </c>
      <c r="D87" s="289" t="s">
        <v>1209</v>
      </c>
      <c r="E87" s="1478">
        <v>1</v>
      </c>
      <c r="F87" s="212"/>
      <c r="G87" s="164"/>
      <c r="H87" s="903"/>
      <c r="I87" s="903"/>
      <c r="J87" s="455"/>
      <c r="K87" s="924" t="str">
        <f t="shared" ref="K87:L91" si="9">IF(ISBLANK($F87)=FALSE,IF(H87="","No","Yes"),"")</f>
        <v/>
      </c>
      <c r="L87" s="924" t="str">
        <f t="shared" si="9"/>
        <v/>
      </c>
      <c r="M87" s="496"/>
      <c r="N87" s="496"/>
      <c r="O87" s="496"/>
      <c r="P87" s="496"/>
      <c r="Q87" s="846"/>
    </row>
    <row r="88" spans="1:17" ht="45" customHeight="1">
      <c r="A88" s="496"/>
      <c r="B88" s="1472"/>
      <c r="C88" s="1474"/>
      <c r="D88" s="289" t="s">
        <v>1210</v>
      </c>
      <c r="E88" s="1479"/>
      <c r="F88" s="212"/>
      <c r="G88" s="164"/>
      <c r="H88" s="903"/>
      <c r="I88" s="903"/>
      <c r="J88" s="455"/>
      <c r="K88" s="924" t="str">
        <f t="shared" si="9"/>
        <v/>
      </c>
      <c r="L88" s="924" t="str">
        <f t="shared" si="9"/>
        <v/>
      </c>
      <c r="M88" s="496"/>
      <c r="N88" s="256"/>
      <c r="O88" s="88"/>
      <c r="P88" s="496"/>
      <c r="Q88" s="846"/>
    </row>
    <row r="89" spans="1:17" s="256" customFormat="1" ht="45" customHeight="1">
      <c r="A89" s="496"/>
      <c r="B89" s="288" t="s">
        <v>1211</v>
      </c>
      <c r="C89" s="289" t="s">
        <v>991</v>
      </c>
      <c r="D89" s="289"/>
      <c r="E89" s="240">
        <v>3</v>
      </c>
      <c r="F89" s="212"/>
      <c r="G89" s="164"/>
      <c r="H89" s="903"/>
      <c r="I89" s="903"/>
      <c r="J89" s="455"/>
      <c r="K89" s="924" t="str">
        <f t="shared" si="9"/>
        <v/>
      </c>
      <c r="L89" s="924" t="str">
        <f t="shared" si="9"/>
        <v/>
      </c>
      <c r="M89" s="496"/>
      <c r="N89" s="496"/>
      <c r="O89" s="496"/>
      <c r="P89" s="496"/>
      <c r="Q89" s="846"/>
    </row>
    <row r="90" spans="1:17" ht="45" customHeight="1">
      <c r="A90" s="496"/>
      <c r="B90" s="288" t="s">
        <v>1212</v>
      </c>
      <c r="C90" s="289" t="s">
        <v>1213</v>
      </c>
      <c r="D90" s="289"/>
      <c r="E90" s="240">
        <v>1</v>
      </c>
      <c r="F90" s="212"/>
      <c r="G90" s="164"/>
      <c r="H90" s="903"/>
      <c r="I90" s="903"/>
      <c r="J90" s="455"/>
      <c r="K90" s="924" t="str">
        <f t="shared" si="9"/>
        <v/>
      </c>
      <c r="L90" s="924" t="str">
        <f t="shared" si="9"/>
        <v/>
      </c>
      <c r="M90" s="496"/>
      <c r="N90" s="496"/>
      <c r="O90" s="496"/>
      <c r="P90" s="496"/>
      <c r="Q90" s="846"/>
    </row>
    <row r="91" spans="1:17" s="256" customFormat="1" ht="45" customHeight="1">
      <c r="A91" s="496"/>
      <c r="B91" s="288" t="s">
        <v>1214</v>
      </c>
      <c r="C91" s="289" t="s">
        <v>1215</v>
      </c>
      <c r="D91" s="289"/>
      <c r="E91" s="240">
        <v>3</v>
      </c>
      <c r="F91" s="212"/>
      <c r="G91" s="164"/>
      <c r="H91" s="903"/>
      <c r="I91" s="903"/>
      <c r="J91" s="455"/>
      <c r="K91" s="924" t="str">
        <f t="shared" si="9"/>
        <v/>
      </c>
      <c r="L91" s="924" t="str">
        <f t="shared" si="9"/>
        <v/>
      </c>
      <c r="M91" s="496"/>
      <c r="N91" s="496"/>
      <c r="O91" s="222"/>
      <c r="P91" s="496"/>
      <c r="Q91" s="846"/>
    </row>
    <row r="92" spans="1:17" s="222" customFormat="1" ht="45" customHeight="1">
      <c r="A92" s="256"/>
      <c r="B92" s="291" t="s">
        <v>963</v>
      </c>
      <c r="C92" s="292" t="s">
        <v>1115</v>
      </c>
      <c r="D92" s="292"/>
      <c r="E92" s="293">
        <f>SUM(E76:E91)</f>
        <v>26</v>
      </c>
      <c r="F92" s="298" t="str">
        <f>IFERROR(SUM(F76:F91)/E92*E75*100,"")</f>
        <v/>
      </c>
      <c r="G92" s="164"/>
      <c r="H92" s="949"/>
      <c r="I92" s="949"/>
      <c r="J92" s="950"/>
      <c r="K92" s="950"/>
      <c r="L92" s="950"/>
      <c r="M92" s="496"/>
      <c r="P92" s="88"/>
      <c r="Q92" s="257"/>
    </row>
    <row r="93" spans="1:17" s="222" customFormat="1" ht="45" customHeight="1">
      <c r="A93" s="496"/>
      <c r="B93" s="224"/>
      <c r="C93" s="273" t="s">
        <v>1115</v>
      </c>
      <c r="D93" s="273"/>
      <c r="E93" s="196"/>
      <c r="F93" s="196"/>
      <c r="G93" s="164"/>
      <c r="H93" s="904"/>
      <c r="I93" s="904"/>
      <c r="J93" s="538"/>
      <c r="K93" s="538"/>
      <c r="L93" s="538"/>
      <c r="M93" s="496"/>
      <c r="P93" s="496"/>
      <c r="Q93" s="846"/>
    </row>
    <row r="94" spans="1:17" s="222" customFormat="1" ht="45" customHeight="1">
      <c r="A94" s="256"/>
      <c r="B94" s="274" t="s">
        <v>396</v>
      </c>
      <c r="C94" s="295" t="s">
        <v>1115</v>
      </c>
      <c r="D94" s="487" t="s">
        <v>1089</v>
      </c>
      <c r="E94" s="207" t="str">
        <f>IFERROR(VLOOKUP($F$2,$S$3:$AA$10,8,FALSE),"")</f>
        <v/>
      </c>
      <c r="F94" s="296"/>
      <c r="G94" s="164"/>
      <c r="H94" s="226"/>
      <c r="I94" s="226"/>
      <c r="J94" s="226"/>
      <c r="K94" s="226"/>
      <c r="L94" s="226"/>
      <c r="M94" s="496"/>
      <c r="P94" s="252"/>
      <c r="Q94" s="257"/>
    </row>
    <row r="95" spans="1:17" s="222" customFormat="1" ht="45" customHeight="1">
      <c r="B95" s="288" t="s">
        <v>1218</v>
      </c>
      <c r="C95" s="289" t="s">
        <v>1219</v>
      </c>
      <c r="D95" s="289"/>
      <c r="E95" s="240" t="s">
        <v>264</v>
      </c>
      <c r="F95" s="212"/>
      <c r="G95" s="164"/>
      <c r="H95" s="903"/>
      <c r="I95" s="903"/>
      <c r="J95" s="455"/>
      <c r="K95" s="924" t="str">
        <f>IF(ISBLANK($F95)=FALSE,IF(H95="","No","Yes"),"")</f>
        <v/>
      </c>
      <c r="L95" s="924" t="str">
        <f>IF(ISBLANK($F95)=FALSE,IF(I95="","No","Yes"),"")</f>
        <v/>
      </c>
      <c r="M95" s="496"/>
      <c r="N95" s="496"/>
      <c r="O95" s="496"/>
      <c r="P95" s="252"/>
      <c r="Q95" s="255"/>
    </row>
    <row r="96" spans="1:17" s="256" customFormat="1" ht="45" customHeight="1">
      <c r="A96" s="222"/>
      <c r="B96" s="288" t="s">
        <v>1039</v>
      </c>
      <c r="C96" s="289" t="s">
        <v>1220</v>
      </c>
      <c r="D96" s="289"/>
      <c r="E96" s="240">
        <v>1</v>
      </c>
      <c r="F96" s="212"/>
      <c r="G96" s="164"/>
      <c r="H96" s="903"/>
      <c r="I96" s="903"/>
      <c r="J96" s="455"/>
      <c r="K96" s="924" t="str">
        <f>IF(OR(ISBLANK($F96)=FALSE,$Q96=TRUE),IF(H96="","No","Yes"),"")</f>
        <v/>
      </c>
      <c r="L96" s="297" t="str">
        <f>IF(ISBLANK($F96)=FALSE,IF(I96="","No","Yes"),IF($Q96=TRUE,"NA",""))</f>
        <v/>
      </c>
      <c r="M96" s="496"/>
      <c r="N96" s="496"/>
      <c r="O96" s="496"/>
      <c r="P96" s="496" t="s">
        <v>242</v>
      </c>
      <c r="Q96" s="268" t="b">
        <v>0</v>
      </c>
    </row>
    <row r="97" spans="1:17" ht="45" customHeight="1">
      <c r="A97" s="222"/>
      <c r="B97" s="288" t="s">
        <v>1045</v>
      </c>
      <c r="C97" s="289" t="s">
        <v>1221</v>
      </c>
      <c r="D97" s="289"/>
      <c r="E97" s="240">
        <v>1</v>
      </c>
      <c r="F97" s="212"/>
      <c r="G97" s="164"/>
      <c r="H97" s="903"/>
      <c r="I97" s="903"/>
      <c r="J97" s="455"/>
      <c r="K97" s="924" t="str">
        <f>IF(ISBLANK($F97)=FALSE,IF(H97="","No","Yes"),"")</f>
        <v/>
      </c>
      <c r="L97" s="924" t="str">
        <f>IF(ISBLANK($F97)=FALSE,IF(I97="","No","Yes"),"")</f>
        <v/>
      </c>
      <c r="M97" s="496"/>
      <c r="N97" s="496"/>
      <c r="O97" s="496"/>
      <c r="P97" s="496"/>
      <c r="Q97" s="846"/>
    </row>
    <row r="98" spans="1:17" ht="45" customHeight="1">
      <c r="A98" s="222"/>
      <c r="B98" s="288" t="s">
        <v>1046</v>
      </c>
      <c r="C98" s="289" t="s">
        <v>1222</v>
      </c>
      <c r="D98" s="289"/>
      <c r="E98" s="240">
        <v>2</v>
      </c>
      <c r="F98" s="212"/>
      <c r="G98" s="164"/>
      <c r="H98" s="903"/>
      <c r="I98" s="903"/>
      <c r="J98" s="455"/>
      <c r="K98" s="924" t="str">
        <f>IF(OR(ISBLANK($F98)=FALSE,$Q98=TRUE),IF(H98="","No","Yes"),"")</f>
        <v/>
      </c>
      <c r="L98" s="297" t="str">
        <f>IF(ISBLANK($F98)=FALSE,IF(I98="","No","Yes"),IF($Q98=TRUE,"NA",""))</f>
        <v/>
      </c>
      <c r="M98" s="496"/>
      <c r="N98" s="496"/>
      <c r="O98" s="496"/>
      <c r="P98" s="496" t="s">
        <v>242</v>
      </c>
      <c r="Q98" s="846" t="b">
        <v>0</v>
      </c>
    </row>
    <row r="99" spans="1:17" ht="45" customHeight="1">
      <c r="A99" s="222"/>
      <c r="B99" s="288" t="s">
        <v>1047</v>
      </c>
      <c r="C99" s="289" t="s">
        <v>783</v>
      </c>
      <c r="D99" s="289"/>
      <c r="E99" s="240">
        <v>4</v>
      </c>
      <c r="F99" s="212"/>
      <c r="G99" s="164"/>
      <c r="H99" s="903"/>
      <c r="I99" s="903"/>
      <c r="J99" s="455"/>
      <c r="K99" s="924" t="str">
        <f>IF(ISBLANK($F99)=FALSE,IF(H99="","No","Yes"),"")</f>
        <v/>
      </c>
      <c r="L99" s="924" t="str">
        <f>IF(ISBLANK($F99)=FALSE,IF(I99="","No","Yes"),"")</f>
        <v/>
      </c>
      <c r="M99" s="496"/>
      <c r="N99" s="496"/>
      <c r="O99" s="496"/>
      <c r="P99" s="496"/>
      <c r="Q99" s="846"/>
    </row>
    <row r="100" spans="1:17" ht="45" customHeight="1">
      <c r="A100" s="496"/>
      <c r="B100" s="291" t="s">
        <v>963</v>
      </c>
      <c r="C100" s="292" t="s">
        <v>1115</v>
      </c>
      <c r="D100" s="292"/>
      <c r="E100" s="293">
        <f>SUM(E95:E99)</f>
        <v>8</v>
      </c>
      <c r="F100" s="298" t="str">
        <f>IFERROR(SUM(F95:F99)/E100*E94*100,"")</f>
        <v/>
      </c>
      <c r="G100" s="164"/>
      <c r="H100" s="949"/>
      <c r="I100" s="949"/>
      <c r="J100" s="950"/>
      <c r="K100" s="950"/>
      <c r="L100" s="950"/>
      <c r="M100" s="496"/>
      <c r="N100" s="496"/>
      <c r="O100" s="496"/>
      <c r="P100" s="496"/>
      <c r="Q100" s="846"/>
    </row>
    <row r="101" spans="1:17" ht="45" customHeight="1">
      <c r="A101" s="496"/>
      <c r="B101" s="224"/>
      <c r="C101" s="273" t="s">
        <v>1115</v>
      </c>
      <c r="D101" s="273"/>
      <c r="E101" s="196"/>
      <c r="F101" s="196"/>
      <c r="G101" s="164"/>
      <c r="H101" s="904"/>
      <c r="I101" s="904"/>
      <c r="J101" s="538"/>
      <c r="K101" s="538"/>
      <c r="L101" s="538"/>
      <c r="M101" s="496"/>
      <c r="N101" s="496"/>
      <c r="O101" s="496"/>
      <c r="P101" s="496"/>
      <c r="Q101" s="846"/>
    </row>
    <row r="102" spans="1:17" ht="45" customHeight="1">
      <c r="A102" s="496"/>
      <c r="B102" s="274" t="s">
        <v>404</v>
      </c>
      <c r="C102" s="295" t="s">
        <v>1115</v>
      </c>
      <c r="D102" s="487" t="s">
        <v>1089</v>
      </c>
      <c r="E102" s="207" t="str">
        <f>IFERROR(VLOOKUP($F$2,$S$3:$AA$10,9,FALSE),"")</f>
        <v/>
      </c>
      <c r="F102" s="296"/>
      <c r="G102" s="164"/>
      <c r="H102" s="226"/>
      <c r="I102" s="226"/>
      <c r="J102" s="226"/>
      <c r="K102" s="226"/>
      <c r="L102" s="226"/>
      <c r="M102" s="496"/>
      <c r="N102" s="496"/>
      <c r="O102" s="496"/>
      <c r="P102" s="496"/>
      <c r="Q102" s="846"/>
    </row>
    <row r="103" spans="1:17" ht="45" customHeight="1">
      <c r="A103" s="496"/>
      <c r="B103" s="288" t="s">
        <v>1223</v>
      </c>
      <c r="C103" s="289" t="s">
        <v>1224</v>
      </c>
      <c r="D103" s="289"/>
      <c r="E103" s="240">
        <v>1</v>
      </c>
      <c r="F103" s="212"/>
      <c r="G103" s="164"/>
      <c r="H103" s="903"/>
      <c r="I103" s="903"/>
      <c r="J103" s="455"/>
      <c r="K103" s="924" t="str">
        <f t="shared" ref="K103:L106" si="10">IF(ISBLANK($F103)=FALSE,IF(H103="","No","Yes"),"")</f>
        <v/>
      </c>
      <c r="L103" s="924" t="str">
        <f t="shared" si="10"/>
        <v/>
      </c>
      <c r="M103" s="496"/>
      <c r="N103" s="496"/>
      <c r="O103" s="496"/>
      <c r="P103" s="496"/>
      <c r="Q103" s="846"/>
    </row>
    <row r="104" spans="1:17" ht="45" customHeight="1">
      <c r="A104" s="496"/>
      <c r="B104" s="288" t="s">
        <v>1225</v>
      </c>
      <c r="C104" s="289" t="s">
        <v>1226</v>
      </c>
      <c r="D104" s="289"/>
      <c r="E104" s="240">
        <v>2</v>
      </c>
      <c r="F104" s="212"/>
      <c r="G104" s="164"/>
      <c r="H104" s="903"/>
      <c r="I104" s="903"/>
      <c r="J104" s="455"/>
      <c r="K104" s="924" t="str">
        <f t="shared" si="10"/>
        <v/>
      </c>
      <c r="L104" s="924" t="str">
        <f t="shared" si="10"/>
        <v/>
      </c>
      <c r="M104" s="496"/>
      <c r="N104" s="496"/>
      <c r="O104" s="496"/>
      <c r="P104" s="496"/>
      <c r="Q104" s="846"/>
    </row>
    <row r="105" spans="1:17" ht="45" customHeight="1">
      <c r="A105" s="496"/>
      <c r="B105" s="288" t="s">
        <v>1227</v>
      </c>
      <c r="C105" s="289" t="s">
        <v>1228</v>
      </c>
      <c r="D105" s="289"/>
      <c r="E105" s="240">
        <v>2</v>
      </c>
      <c r="F105" s="212"/>
      <c r="G105" s="164"/>
      <c r="H105" s="903"/>
      <c r="I105" s="903"/>
      <c r="J105" s="455"/>
      <c r="K105" s="924" t="str">
        <f t="shared" si="10"/>
        <v/>
      </c>
      <c r="L105" s="924" t="str">
        <f t="shared" si="10"/>
        <v/>
      </c>
      <c r="M105" s="496"/>
      <c r="N105" s="496"/>
      <c r="O105" s="496"/>
      <c r="P105" s="496"/>
      <c r="Q105" s="846"/>
    </row>
    <row r="106" spans="1:17" ht="45" customHeight="1">
      <c r="A106" s="496"/>
      <c r="B106" s="288" t="s">
        <v>1229</v>
      </c>
      <c r="C106" s="289" t="s">
        <v>1230</v>
      </c>
      <c r="D106" s="289"/>
      <c r="E106" s="240">
        <v>1</v>
      </c>
      <c r="F106" s="212"/>
      <c r="G106" s="164"/>
      <c r="H106" s="903"/>
      <c r="I106" s="903"/>
      <c r="J106" s="455"/>
      <c r="K106" s="924" t="str">
        <f t="shared" si="10"/>
        <v/>
      </c>
      <c r="L106" s="924" t="str">
        <f t="shared" si="10"/>
        <v/>
      </c>
      <c r="M106" s="496"/>
      <c r="N106" s="496"/>
      <c r="O106" s="496"/>
      <c r="P106" s="496"/>
      <c r="Q106" s="846"/>
    </row>
    <row r="107" spans="1:17" ht="45" customHeight="1">
      <c r="A107" s="496"/>
      <c r="B107" s="288" t="s">
        <v>1231</v>
      </c>
      <c r="C107" s="289" t="s">
        <v>1232</v>
      </c>
      <c r="D107" s="289"/>
      <c r="E107" s="240">
        <v>3</v>
      </c>
      <c r="F107" s="212"/>
      <c r="G107" s="164"/>
      <c r="H107" s="903"/>
      <c r="I107" s="903"/>
      <c r="J107" s="455"/>
      <c r="K107" s="924" t="str">
        <f>IF(OR(ISBLANK($F107)=FALSE,$Q107=TRUE),IF(H107="","No","Yes"),"")</f>
        <v/>
      </c>
      <c r="L107" s="297" t="str">
        <f>IF(ISBLANK($F107)=FALSE,IF(I107="","No","Yes"),IF($Q107=TRUE,"NA",""))</f>
        <v/>
      </c>
      <c r="M107" s="496"/>
      <c r="N107" s="496"/>
      <c r="O107" s="496"/>
      <c r="P107" s="496" t="s">
        <v>242</v>
      </c>
      <c r="Q107" s="268" t="b">
        <v>0</v>
      </c>
    </row>
    <row r="108" spans="1:17" ht="45" customHeight="1">
      <c r="A108" s="496"/>
      <c r="B108" s="1471" t="s">
        <v>1233</v>
      </c>
      <c r="C108" s="1473" t="s">
        <v>1234</v>
      </c>
      <c r="D108" s="289" t="s">
        <v>1235</v>
      </c>
      <c r="E108" s="240">
        <v>2</v>
      </c>
      <c r="F108" s="212"/>
      <c r="G108" s="164"/>
      <c r="H108" s="903"/>
      <c r="I108" s="903"/>
      <c r="J108" s="455"/>
      <c r="K108" s="924" t="str">
        <f>IF(ISBLANK($F108)=FALSE,IF(H108="","No","Yes"),"")</f>
        <v/>
      </c>
      <c r="L108" s="924" t="str">
        <f>IF(ISBLANK($F108)=FALSE,IF(I108="","No","Yes"),"")</f>
        <v/>
      </c>
      <c r="M108" s="496"/>
      <c r="N108" s="496"/>
      <c r="O108" s="496"/>
      <c r="P108" s="496"/>
      <c r="Q108" s="846"/>
    </row>
    <row r="109" spans="1:17" ht="45" customHeight="1">
      <c r="A109" s="496"/>
      <c r="B109" s="1472"/>
      <c r="C109" s="1474"/>
      <c r="D109" s="289" t="s">
        <v>1236</v>
      </c>
      <c r="E109" s="240">
        <v>1</v>
      </c>
      <c r="F109" s="212"/>
      <c r="G109" s="164"/>
      <c r="H109" s="903"/>
      <c r="I109" s="903"/>
      <c r="J109" s="455"/>
      <c r="K109" s="924" t="str">
        <f>IF(OR(ISBLANK($F109)=FALSE,$Q109=TRUE),IF(H109="","No","Yes"),"")</f>
        <v/>
      </c>
      <c r="L109" s="297" t="str">
        <f>IF(ISBLANK($F109)=FALSE,IF(I109="","No","Yes"),IF($Q109=TRUE,"NA",""))</f>
        <v/>
      </c>
      <c r="M109" s="496"/>
      <c r="N109" s="496"/>
      <c r="O109" s="496"/>
      <c r="P109" s="496" t="s">
        <v>242</v>
      </c>
      <c r="Q109" s="268" t="b">
        <v>0</v>
      </c>
    </row>
    <row r="110" spans="1:17" ht="45" customHeight="1">
      <c r="A110" s="496"/>
      <c r="B110" s="288" t="s">
        <v>1237</v>
      </c>
      <c r="C110" s="289" t="s">
        <v>409</v>
      </c>
      <c r="D110" s="289"/>
      <c r="E110" s="240">
        <v>1</v>
      </c>
      <c r="F110" s="212"/>
      <c r="G110" s="164"/>
      <c r="H110" s="903"/>
      <c r="I110" s="903"/>
      <c r="J110" s="455"/>
      <c r="K110" s="924" t="str">
        <f>IF(ISBLANK($F110)=FALSE,IF(H110="","No","Yes"),"")</f>
        <v/>
      </c>
      <c r="L110" s="924" t="str">
        <f>IF(ISBLANK($F110)=FALSE,IF(I110="","No","Yes"),"")</f>
        <v/>
      </c>
      <c r="M110" s="496"/>
      <c r="N110" s="496"/>
      <c r="O110" s="496"/>
      <c r="P110" s="496"/>
      <c r="Q110" s="846"/>
    </row>
    <row r="111" spans="1:17" ht="45" customHeight="1">
      <c r="A111" s="496"/>
      <c r="B111" s="288" t="s">
        <v>1238</v>
      </c>
      <c r="C111" s="289" t="s">
        <v>1239</v>
      </c>
      <c r="D111" s="289"/>
      <c r="E111" s="240">
        <v>1</v>
      </c>
      <c r="F111" s="212"/>
      <c r="G111" s="164"/>
      <c r="H111" s="903"/>
      <c r="I111" s="903"/>
      <c r="J111" s="455"/>
      <c r="K111" s="924" t="str">
        <f>IF(ISBLANK($F111)=FALSE,IF(H111="","No","Yes"),"")</f>
        <v/>
      </c>
      <c r="L111" s="924" t="str">
        <f>IF(ISBLANK($F111)=FALSE,IF(I111="","No","Yes"),"")</f>
        <v/>
      </c>
      <c r="M111" s="496"/>
      <c r="N111" s="496"/>
      <c r="O111" s="496"/>
      <c r="P111" s="496"/>
      <c r="Q111" s="846"/>
    </row>
    <row r="112" spans="1:17" ht="45" customHeight="1">
      <c r="A112" s="496"/>
      <c r="B112" s="291" t="s">
        <v>963</v>
      </c>
      <c r="C112" s="292" t="s">
        <v>1115</v>
      </c>
      <c r="D112" s="292"/>
      <c r="E112" s="293">
        <f>SUM(E103:E111)</f>
        <v>14</v>
      </c>
      <c r="F112" s="298" t="str">
        <f>IFERROR(SUM(F103:F111)/E112*E102*100,"")</f>
        <v/>
      </c>
      <c r="G112" s="164"/>
      <c r="H112" s="949"/>
      <c r="I112" s="949"/>
      <c r="J112" s="950"/>
      <c r="K112" s="950"/>
      <c r="L112" s="950"/>
      <c r="M112" s="496"/>
      <c r="N112" s="496"/>
      <c r="O112" s="496"/>
      <c r="P112" s="496"/>
      <c r="Q112" s="846"/>
    </row>
    <row r="113" spans="2:12" ht="45" customHeight="1">
      <c r="B113" s="224"/>
      <c r="C113" s="302"/>
      <c r="D113" s="302"/>
      <c r="E113" s="303"/>
      <c r="F113" s="196"/>
      <c r="G113" s="164"/>
      <c r="H113" s="904"/>
      <c r="I113" s="904"/>
      <c r="J113" s="538"/>
      <c r="K113" s="538"/>
      <c r="L113" s="538"/>
    </row>
    <row r="114" spans="2:12" ht="45" customHeight="1">
      <c r="B114" s="274" t="s">
        <v>419</v>
      </c>
      <c r="C114" s="295"/>
      <c r="D114" s="487" t="s">
        <v>1089</v>
      </c>
      <c r="E114" s="304"/>
      <c r="F114" s="305"/>
      <c r="G114" s="164"/>
      <c r="H114" s="226"/>
      <c r="I114" s="226"/>
      <c r="J114" s="226"/>
      <c r="K114" s="226"/>
      <c r="L114" s="226"/>
    </row>
    <row r="115" spans="2:12" ht="45" customHeight="1">
      <c r="B115" s="288" t="s">
        <v>1079</v>
      </c>
      <c r="C115" s="289" t="s">
        <v>1242</v>
      </c>
      <c r="D115" s="289"/>
      <c r="E115" s="1475">
        <v>10</v>
      </c>
      <c r="F115" s="212"/>
      <c r="G115" s="164"/>
      <c r="H115" s="903"/>
      <c r="I115" s="903"/>
      <c r="J115" s="455"/>
      <c r="K115" s="924" t="str">
        <f t="shared" ref="K115:L117" si="11">IF(ISBLANK($F115)=FALSE,IF(H115="","No","Yes"),"")</f>
        <v/>
      </c>
      <c r="L115" s="924" t="str">
        <f t="shared" si="11"/>
        <v/>
      </c>
    </row>
    <row r="116" spans="2:12" ht="45" customHeight="1">
      <c r="B116" s="288" t="s">
        <v>1243</v>
      </c>
      <c r="C116" s="289" t="s">
        <v>1244</v>
      </c>
      <c r="D116" s="289"/>
      <c r="E116" s="1475"/>
      <c r="F116" s="212"/>
      <c r="G116" s="164"/>
      <c r="H116" s="903"/>
      <c r="I116" s="903"/>
      <c r="J116" s="455"/>
      <c r="K116" s="924" t="str">
        <f t="shared" si="11"/>
        <v/>
      </c>
      <c r="L116" s="924" t="str">
        <f t="shared" si="11"/>
        <v/>
      </c>
    </row>
    <row r="117" spans="2:12" ht="45" customHeight="1">
      <c r="B117" s="288" t="s">
        <v>1245</v>
      </c>
      <c r="C117" s="289" t="s">
        <v>1246</v>
      </c>
      <c r="D117" s="289"/>
      <c r="E117" s="1475"/>
      <c r="F117" s="212"/>
      <c r="G117" s="164"/>
      <c r="H117" s="903"/>
      <c r="I117" s="903"/>
      <c r="J117" s="455"/>
      <c r="K117" s="924" t="str">
        <f t="shared" si="11"/>
        <v/>
      </c>
      <c r="L117" s="924" t="str">
        <f t="shared" si="11"/>
        <v/>
      </c>
    </row>
    <row r="118" spans="2:12" ht="45" customHeight="1">
      <c r="B118" s="291" t="s">
        <v>963</v>
      </c>
      <c r="C118" s="292" t="s">
        <v>1115</v>
      </c>
      <c r="D118" s="292"/>
      <c r="E118" s="293">
        <f>SUM(E115)</f>
        <v>10</v>
      </c>
      <c r="F118" s="293">
        <f>IF(SUM(F115:F117)&gt;10,10,SUM(F115:F117))</f>
        <v>0</v>
      </c>
      <c r="G118" s="164"/>
      <c r="H118" s="951"/>
      <c r="I118" s="951"/>
      <c r="J118" s="306"/>
      <c r="K118" s="306"/>
      <c r="L118" s="951"/>
    </row>
    <row r="119" spans="2:12" ht="30" customHeight="1">
      <c r="B119" s="164"/>
      <c r="C119" s="164"/>
      <c r="D119" s="164"/>
      <c r="E119" s="164"/>
      <c r="F119" s="164"/>
      <c r="G119" s="164"/>
      <c r="H119" s="164"/>
      <c r="I119" s="164"/>
      <c r="J119" s="164"/>
      <c r="K119" s="164"/>
      <c r="L119" s="164"/>
    </row>
    <row r="120" spans="2:12" ht="45" customHeight="1">
      <c r="D120" s="230" t="s">
        <v>437</v>
      </c>
      <c r="E120" s="218"/>
      <c r="F120" s="218"/>
      <c r="G120" s="496"/>
      <c r="H120" s="201" t="s">
        <v>599</v>
      </c>
      <c r="I120" s="201" t="s">
        <v>600</v>
      </c>
      <c r="J120" s="192"/>
      <c r="K120" s="192"/>
      <c r="L120" s="192"/>
    </row>
    <row r="121" spans="2:12" ht="45" customHeight="1">
      <c r="D121" s="231" t="s">
        <v>440</v>
      </c>
      <c r="E121" s="232"/>
      <c r="F121" s="233"/>
      <c r="G121" s="210"/>
      <c r="H121" s="234">
        <f>SUMIF(K9:K117,"Yes",H9:H117)</f>
        <v>0</v>
      </c>
      <c r="I121" s="234">
        <f>SUMIF(L9:L117,"Yes",I9:I117)</f>
        <v>0</v>
      </c>
      <c r="J121" s="192"/>
      <c r="K121" s="192"/>
      <c r="L121" s="192"/>
    </row>
    <row r="122" spans="2:12" ht="45" customHeight="1">
      <c r="D122" s="231" t="s">
        <v>441</v>
      </c>
      <c r="E122" s="232"/>
      <c r="F122" s="233"/>
      <c r="G122" s="210"/>
      <c r="H122" s="225"/>
      <c r="I122" s="225"/>
      <c r="J122" s="496"/>
      <c r="K122" s="496"/>
      <c r="L122" s="496"/>
    </row>
    <row r="123" spans="2:12" ht="45" customHeight="1">
      <c r="D123" s="235" t="s">
        <v>442</v>
      </c>
      <c r="E123" s="236"/>
      <c r="F123" s="237">
        <f>SUM(F121:F122)</f>
        <v>0</v>
      </c>
      <c r="G123" s="210"/>
      <c r="H123" s="192"/>
      <c r="I123" s="225"/>
      <c r="J123" s="496"/>
      <c r="K123" s="496"/>
      <c r="L123" s="496"/>
    </row>
    <row r="124" spans="2:12" ht="45" customHeight="1">
      <c r="D124" s="231" t="s">
        <v>443</v>
      </c>
      <c r="E124" s="232"/>
      <c r="F124" s="233"/>
      <c r="G124" s="210"/>
      <c r="H124" s="192"/>
      <c r="I124" s="225"/>
      <c r="J124" s="496"/>
      <c r="K124" s="496"/>
      <c r="L124" s="496"/>
    </row>
    <row r="125" spans="2:12" ht="45" customHeight="1">
      <c r="D125" s="231" t="s">
        <v>107</v>
      </c>
      <c r="E125" s="232"/>
      <c r="F125" s="237">
        <f>H121</f>
        <v>0</v>
      </c>
      <c r="G125" s="210"/>
      <c r="H125" s="192"/>
      <c r="I125" s="225"/>
      <c r="J125" s="496"/>
      <c r="K125" s="496"/>
      <c r="L125" s="496"/>
    </row>
    <row r="126" spans="2:12" ht="45" customHeight="1">
      <c r="D126" s="231" t="s">
        <v>444</v>
      </c>
      <c r="E126" s="232"/>
      <c r="F126" s="237">
        <f>I121</f>
        <v>0</v>
      </c>
      <c r="G126" s="210"/>
      <c r="H126" s="192"/>
      <c r="I126" s="225"/>
      <c r="J126" s="496"/>
      <c r="K126" s="496"/>
      <c r="L126" s="496"/>
    </row>
    <row r="127" spans="2:12" ht="45" customHeight="1">
      <c r="D127" s="235" t="s">
        <v>445</v>
      </c>
      <c r="E127" s="236"/>
      <c r="F127" s="238">
        <f>SUM(F124:F126)</f>
        <v>0</v>
      </c>
      <c r="G127" s="210"/>
      <c r="H127" s="192"/>
      <c r="I127" s="225"/>
      <c r="J127" s="496"/>
      <c r="K127" s="496"/>
      <c r="L127" s="496"/>
    </row>
    <row r="128" spans="2:12" ht="45" customHeight="1">
      <c r="D128" s="239" t="s">
        <v>112</v>
      </c>
      <c r="E128" s="240"/>
      <c r="F128" s="241">
        <f>IFERROR(F127/F123,0)</f>
        <v>0</v>
      </c>
      <c r="G128" s="210"/>
      <c r="H128" s="192"/>
      <c r="I128" s="225"/>
      <c r="J128" s="496"/>
      <c r="K128" s="496"/>
      <c r="L128" s="496"/>
    </row>
    <row r="129" spans="1:9">
      <c r="A129" s="496"/>
      <c r="C129" s="815"/>
      <c r="D129" s="815"/>
      <c r="E129" s="942"/>
      <c r="F129" s="538"/>
      <c r="G129" s="496"/>
      <c r="H129" s="904"/>
      <c r="I129" s="904"/>
    </row>
    <row r="130" spans="1:9" ht="30" customHeight="1">
      <c r="A130" s="143"/>
      <c r="D130" s="230" t="s">
        <v>101</v>
      </c>
      <c r="E130" s="243"/>
      <c r="F130" s="244" t="s">
        <v>602</v>
      </c>
      <c r="G130" s="243"/>
      <c r="H130" s="904"/>
      <c r="I130" s="904"/>
    </row>
    <row r="131" spans="1:9" ht="35.1" customHeight="1">
      <c r="A131" s="143"/>
      <c r="D131" s="127" t="s">
        <v>447</v>
      </c>
      <c r="E131" s="943" t="s">
        <v>937</v>
      </c>
      <c r="F131" s="1227" t="str">
        <f>IF(E131="Yes","No Issues", IF(E131="No","Contact project team","Check scorecard points"))</f>
        <v>Check scorecard points</v>
      </c>
      <c r="G131" s="1227"/>
      <c r="H131" s="904"/>
      <c r="I131" s="904"/>
    </row>
    <row r="132" spans="1:9" ht="35.1" customHeight="1">
      <c r="A132" s="143"/>
      <c r="D132" s="127" t="s">
        <v>604</v>
      </c>
      <c r="E132" s="943">
        <f>COUNTA(F9:F20,F24:F42,F46:F54,F58:F63,F67:F72,F76:F91,F95:F99,F103:F111,F115:F117)+COUNTIF(Q9:Q117,TRUE)</f>
        <v>0</v>
      </c>
      <c r="F132" s="1227" t="str">
        <f>IF(E132=0,"No credits entered","No Issues")</f>
        <v>No credits entered</v>
      </c>
      <c r="G132" s="1227"/>
      <c r="H132" s="904"/>
      <c r="I132" s="904"/>
    </row>
    <row r="133" spans="1:9" ht="35.1" customHeight="1">
      <c r="A133" s="143"/>
      <c r="D133" s="127" t="s">
        <v>450</v>
      </c>
      <c r="E133" s="943">
        <f>COUNTIF(Q9:Q117,TRUE)</f>
        <v>0</v>
      </c>
      <c r="F133" s="1304" t="str">
        <f>IF(E133=0,"No Issues - No NA credits claimed",CONCATENATE("No Issues - ",E133," Implementation Costs not needed"))</f>
        <v>No Issues - No NA credits claimed</v>
      </c>
      <c r="G133" s="1304"/>
      <c r="H133" s="904"/>
      <c r="I133" s="904"/>
    </row>
    <row r="134" spans="1:9" ht="60" customHeight="1">
      <c r="A134" s="143"/>
      <c r="D134" s="127" t="s">
        <v>451</v>
      </c>
      <c r="E134" s="943">
        <f>COUNTIF(K9:K117,"Yes")</f>
        <v>0</v>
      </c>
      <c r="F134" s="1229" t="str">
        <f>IF(E134&lt;E132,CONCATENATE(E132-E134," documentation costs missing"),IF(E134=0,"No credits entered",IF(COUNTIF(H9:H117,0)&gt;0,CONCATENATE(COUNTIF(H9:H117,0)," $0 cost(s) provided. Enter a value or explain the $0 value in the Comments column."),"No Issues")))</f>
        <v>No credits entered</v>
      </c>
      <c r="G134" s="1229"/>
      <c r="H134" s="454"/>
      <c r="I134" s="593"/>
    </row>
    <row r="135" spans="1:9" ht="60" customHeight="1">
      <c r="A135" s="143"/>
      <c r="D135" s="127" t="s">
        <v>452</v>
      </c>
      <c r="E135" s="943">
        <f>COUNTIF(L9:L117,"Yes")</f>
        <v>0</v>
      </c>
      <c r="F135" s="1229" t="str">
        <f>IF(E135&lt;(E132-E133),CONCATENATE(E132-E135-E133," implementation costs missing"),IF(E135=0,"No credits entered",IF(COUNTIF(I9:I117,0)&gt;ROUND(0.25*E132,0),CONCATENATE(COUNTIF(I9:I117,0)," $0 cost(s) provided. Enter a value or explain the $0 value in the Comments column."),"No Issues")))</f>
        <v>No credits entered</v>
      </c>
      <c r="G135" s="1229"/>
      <c r="H135" s="454"/>
      <c r="I135" s="593"/>
    </row>
    <row r="136" spans="1:9" ht="35.1" customHeight="1">
      <c r="A136" s="143"/>
      <c r="D136" s="127" t="s">
        <v>453</v>
      </c>
      <c r="E136" s="943" t="str">
        <f>IF(F121&gt;0,"Yes","No")</f>
        <v>No</v>
      </c>
      <c r="F136" s="1229" t="str">
        <f>IF(E136="No","Total Design Cost missing","No Issues")</f>
        <v>Total Design Cost missing</v>
      </c>
      <c r="G136" s="1229"/>
      <c r="H136" s="904"/>
      <c r="I136" s="904"/>
    </row>
    <row r="137" spans="1:9" ht="35.1" customHeight="1">
      <c r="A137" s="143"/>
      <c r="D137" s="127" t="s">
        <v>454</v>
      </c>
      <c r="E137" s="943" t="str">
        <f>IF(F122&gt;0,"Yes","No")</f>
        <v>No</v>
      </c>
      <c r="F137" s="1229" t="str">
        <f>IF(E137="No","Total Construction Cost missing","No Issues")</f>
        <v>Total Construction Cost missing</v>
      </c>
      <c r="G137" s="1229"/>
      <c r="H137" s="904"/>
      <c r="I137" s="904"/>
    </row>
    <row r="138" spans="1:9" ht="35.1" customHeight="1">
      <c r="A138" s="143"/>
      <c r="D138" s="127" t="s">
        <v>455</v>
      </c>
      <c r="E138" s="943" t="str">
        <f>IF(F124&gt;0,"Yes","No")</f>
        <v>No</v>
      </c>
      <c r="F138" s="1229" t="str">
        <f>IF(E138="No","Green Star Certification Fees missing","No Issues")</f>
        <v>Green Star Certification Fees missing</v>
      </c>
      <c r="G138" s="1229"/>
      <c r="H138" s="904"/>
      <c r="I138" s="904"/>
    </row>
    <row r="139" spans="1:9" ht="35.1" hidden="1" customHeight="1">
      <c r="A139" s="143" t="s">
        <v>14</v>
      </c>
      <c r="D139" s="591" t="s">
        <v>188</v>
      </c>
      <c r="E139" s="592"/>
      <c r="F139" s="1230" t="s">
        <v>652</v>
      </c>
      <c r="G139" s="1230"/>
      <c r="H139" s="904"/>
      <c r="I139" s="904"/>
    </row>
    <row r="140" spans="1:9" ht="45" hidden="1" customHeight="1">
      <c r="A140" s="143" t="s">
        <v>14</v>
      </c>
      <c r="D140" s="128" t="s">
        <v>457</v>
      </c>
      <c r="E140" s="1446" t="str">
        <f>IF(OR(COUNTIF(F131:G138,"No Issues*")=8,F139="YES"),"1 POINT AWARDED","1 POINT NOT AWARDED")</f>
        <v>1 POINT NOT AWARDED</v>
      </c>
      <c r="F140" s="1446"/>
      <c r="G140" s="1446"/>
      <c r="H140" s="496"/>
      <c r="I140" s="496"/>
    </row>
  </sheetData>
  <sheetProtection algorithmName="SHA-512" hashValue="w0IUqn6UVkJ9anRm9PHwgpRQJVhE/tNjH1cOsYCP4J2iekFg8Wx8GkNB5o6MPJ1Oq9VPbsvcCQnBS5YpqrTzdQ==" saltValue="0J45qGSvKyyfPmbPeIckcg==" spinCount="100000" sheet="1" objects="1" scenarios="1"/>
  <sortState xmlns:xlrd2="http://schemas.microsoft.com/office/spreadsheetml/2017/richdata2" ref="S3:AA10">
    <sortCondition ref="S3"/>
  </sortState>
  <customSheetViews>
    <customSheetView guid="{CEACA748-A46A-4C8B-98CF-30E51B671B84}" scale="80" showGridLines="0" hiddenColumns="1">
      <pane ySplit="7" topLeftCell="A128" activePane="bottomLeft" state="frozen"/>
      <selection pane="bottomLeft" activeCell="E141" sqref="E141"/>
      <pageMargins left="0" right="0" top="0" bottom="0" header="0" footer="0"/>
      <pageSetup paperSize="9" orientation="portrait" r:id="rId1"/>
    </customSheetView>
    <customSheetView guid="{2ED91B50-D126-4494-B9B8-889B5F8EA715}">
      <selection activeCell="E5" sqref="E5"/>
      <pageMargins left="0" right="0" top="0" bottom="0" header="0" footer="0"/>
      <pageSetup paperSize="9" orientation="portrait" r:id="rId2"/>
    </customSheetView>
  </customSheetViews>
  <mergeCells count="38">
    <mergeCell ref="F139:G139"/>
    <mergeCell ref="B87:B88"/>
    <mergeCell ref="C87:C88"/>
    <mergeCell ref="E87:E88"/>
    <mergeCell ref="B108:B109"/>
    <mergeCell ref="C108:C109"/>
    <mergeCell ref="B33:B36"/>
    <mergeCell ref="C33:C36"/>
    <mergeCell ref="B82:B83"/>
    <mergeCell ref="C82:C83"/>
    <mergeCell ref="B60:B61"/>
    <mergeCell ref="C60:C61"/>
    <mergeCell ref="B77:B78"/>
    <mergeCell ref="C77:C78"/>
    <mergeCell ref="B80:B81"/>
    <mergeCell ref="C80:C81"/>
    <mergeCell ref="H6:I6"/>
    <mergeCell ref="E115:E117"/>
    <mergeCell ref="F131:G131"/>
    <mergeCell ref="F132:G132"/>
    <mergeCell ref="F134:G134"/>
    <mergeCell ref="F133:G133"/>
    <mergeCell ref="B1:F1"/>
    <mergeCell ref="E140:G140"/>
    <mergeCell ref="F135:G135"/>
    <mergeCell ref="F136:G136"/>
    <mergeCell ref="F137:G137"/>
    <mergeCell ref="F138:G138"/>
    <mergeCell ref="B10:B11"/>
    <mergeCell ref="C10:C11"/>
    <mergeCell ref="B14:B15"/>
    <mergeCell ref="C14:C15"/>
    <mergeCell ref="B16:B17"/>
    <mergeCell ref="C16:C17"/>
    <mergeCell ref="B27:B28"/>
    <mergeCell ref="C27:C28"/>
    <mergeCell ref="B31:B32"/>
    <mergeCell ref="C31:C32"/>
  </mergeCells>
  <conditionalFormatting sqref="C2:C5 F2">
    <cfRule type="containsText" dxfId="46" priority="718" operator="containsText" text="Please">
      <formula>NOT(ISERROR(SEARCH("Please",C2)))</formula>
    </cfRule>
  </conditionalFormatting>
  <conditionalFormatting sqref="H115:L117 H9:L20 H24:L42 H46:L54 H58:L63 H67:L72 H76:L91 H95:L99 H103:L111">
    <cfRule type="expression" dxfId="45" priority="18">
      <formula>$F9=""</formula>
    </cfRule>
  </conditionalFormatting>
  <conditionalFormatting sqref="H28 J28:L28 H30 J30:L30 H35:H38 H52 H54 H69 H71:H72 H96 H107 H109 J35:L38 J52:L52 J54:L54 J58:L59 J69:L69 J71:L72 J77:L78 J80:L83 J85:L86 J96:L96 J98:L98 J107:L107 J109:L109 H58:H63 H77:H83 H85:H87 H89 H91 H98">
    <cfRule type="expression" dxfId="44" priority="14">
      <formula>$Q28=TRUE</formula>
    </cfRule>
  </conditionalFormatting>
  <conditionalFormatting sqref="D28:F28 B30:F30 D35:F36 B37:F38 B52:F52 B54:F54 B58:F59 B69:F69 B71:F72 D77:F78 D80:F83 B85:F86 B96:F96 B98:F98 B107:F107 D109:F109">
    <cfRule type="expression" dxfId="43" priority="17">
      <formula>$Q28=TRUE</formula>
    </cfRule>
  </conditionalFormatting>
  <conditionalFormatting sqref="L28 L30 L35:L38 L52 L54 L58:L59 L69 L71:L72 L77:L78 L80:L83 L85:L86 L96 L98 L107 L109">
    <cfRule type="cellIs" dxfId="42" priority="6" operator="equal">
      <formula>"NA"</formula>
    </cfRule>
  </conditionalFormatting>
  <conditionalFormatting sqref="F131:G138">
    <cfRule type="containsText" dxfId="41" priority="2" operator="containsText" text="No Issues">
      <formula>NOT(ISERROR(SEARCH("No Issues",F131)))</formula>
    </cfRule>
  </conditionalFormatting>
  <conditionalFormatting sqref="H6:J6">
    <cfRule type="containsText" dxfId="40" priority="20" operator="containsText" text="Select">
      <formula>NOT(ISERROR(SEARCH("Select",H6)))</formula>
    </cfRule>
  </conditionalFormatting>
  <conditionalFormatting sqref="F139">
    <cfRule type="cellIs" dxfId="39" priority="1" operator="equal">
      <formula>"YES"</formula>
    </cfRule>
  </conditionalFormatting>
  <dataValidations count="12">
    <dataValidation allowBlank="1" showErrorMessage="1" promptTitle="Rating Tool Version" prompt="Please select the project's rating tool version" sqref="C5" xr:uid="{00000000-0002-0000-0C00-000000000000}"/>
    <dataValidation allowBlank="1" showInputMessage="1" showErrorMessage="1" promptTitle="Project number" prompt="Please enter the Green Star number" sqref="C2" xr:uid="{00000000-0002-0000-0C00-000001000000}"/>
    <dataValidation allowBlank="1" showInputMessage="1" showErrorMessage="1" promptTitle="Project Name" prompt="Please enter the project name" sqref="C3" xr:uid="{00000000-0002-0000-0C00-000002000000}"/>
    <dataValidation type="list" allowBlank="1" showInputMessage="1" showErrorMessage="1" promptTitle="Green Star Rating" prompt="Please select the project's targeted rating" sqref="C4" xr:uid="{00000000-0002-0000-0C00-000003000000}">
      <formula1>$N$2:$N$5</formula1>
    </dataValidation>
    <dataValidation type="whole" allowBlank="1" showInputMessage="1" showErrorMessage="1" sqref="F115:F117 F67:F72 F47:F54 F96:F99 F9:F20 F24:F42 F58:F63 F76:F91 F103:F111" xr:uid="{00000000-0002-0000-0C00-000004000000}">
      <formula1>0</formula1>
      <formula2>E9</formula2>
    </dataValidation>
    <dataValidation type="list" allowBlank="1" showInputMessage="1" showErrorMessage="1" sqref="E131" xr:uid="{00000000-0002-0000-0C00-000005000000}">
      <formula1>"Please select, Yes, No"</formula1>
    </dataValidation>
    <dataValidation type="list" allowBlank="1" showInputMessage="1" showErrorMessage="1" sqref="F95 F46" xr:uid="{00000000-0002-0000-0C00-000006000000}">
      <formula1>$N$11:$N$12</formula1>
    </dataValidation>
    <dataValidation type="list" allowBlank="1" showInputMessage="1" showErrorMessage="1" sqref="J6" xr:uid="{00000000-0002-0000-0C00-000007000000}">
      <formula1>$O$7:$O$9</formula1>
    </dataValidation>
    <dataValidation type="list" allowBlank="1" showInputMessage="1" showErrorMessage="1" sqref="H6:I6" xr:uid="{00000000-0002-0000-0C00-000008000000}">
      <formula1>$N$7:$N$9</formula1>
    </dataValidation>
    <dataValidation type="list" allowBlank="1" showInputMessage="1" showErrorMessage="1" sqref="F2" xr:uid="{00000000-0002-0000-0C00-000009000000}">
      <formula1>$S$2:$S$10</formula1>
    </dataValidation>
    <dataValidation type="decimal" operator="greaterThanOrEqual" allowBlank="1" showInputMessage="1" showErrorMessage="1" sqref="H9:I117 F121:F122 F124" xr:uid="{00000000-0002-0000-0C00-00000A000000}">
      <formula1>0</formula1>
    </dataValidation>
    <dataValidation type="list" allowBlank="1" showInputMessage="1" showErrorMessage="1" sqref="F139:G139" xr:uid="{00000000-0002-0000-0C00-00000B000000}">
      <formula1>"YES/NO, YES, NO"</formula1>
    </dataValidation>
  </dataValidations>
  <pageMargins left="0.7" right="0.7" top="0.75" bottom="0.75" header="0.3" footer="0.3"/>
  <pageSetup paperSize="9" orientation="portrait" r:id="rId3"/>
  <ignoredErrors>
    <ignoredError sqref="K111:L114 K118:L123 K100:L102 K73:L75 K55:L57 K92:L94 K64:L66 K43:L45 K10:L27 K46:L51 K67:L68 K95:L95 K60:L63 K76:L76 K103:L106 K29:L34 K28 K39:L42 K35:K38 K53:L53 K52 K54 K58:K59 K70:L70 K69 K71:K72 K79:L79 K77:K78 K84:L84 K80:K83 K87:L91 K85:K86 K97:L97 K96 K99:L99 K98 K108:L108 K107 K109 K124:L124"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63498" r:id="rId6" name="Check Box 10">
              <controlPr defaultSize="0" autoFill="0" autoLine="0" autoPict="0">
                <anchor moveWithCells="1">
                  <from>
                    <xdr:col>0</xdr:col>
                    <xdr:colOff>69850</xdr:colOff>
                    <xdr:row>27</xdr:row>
                    <xdr:rowOff>228600</xdr:rowOff>
                  </from>
                  <to>
                    <xdr:col>1</xdr:col>
                    <xdr:colOff>609600</xdr:colOff>
                    <xdr:row>27</xdr:row>
                    <xdr:rowOff>438150</xdr:rowOff>
                  </to>
                </anchor>
              </controlPr>
            </control>
          </mc:Choice>
        </mc:AlternateContent>
        <mc:AlternateContent xmlns:mc="http://schemas.openxmlformats.org/markup-compatibility/2006">
          <mc:Choice Requires="x14">
            <control shapeId="63499" r:id="rId7" name="Check Box 11">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3500" r:id="rId8" name="Check Box 12">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63501" r:id="rId9" name="Check Box 13">
              <controlPr defaultSize="0" autoFill="0" autoLine="0" autoPict="0">
                <anchor moveWithCells="1">
                  <from>
                    <xdr:col>0</xdr:col>
                    <xdr:colOff>69850</xdr:colOff>
                    <xdr:row>36</xdr:row>
                    <xdr:rowOff>228600</xdr:rowOff>
                  </from>
                  <to>
                    <xdr:col>1</xdr:col>
                    <xdr:colOff>609600</xdr:colOff>
                    <xdr:row>36</xdr:row>
                    <xdr:rowOff>438150</xdr:rowOff>
                  </to>
                </anchor>
              </controlPr>
            </control>
          </mc:Choice>
        </mc:AlternateContent>
        <mc:AlternateContent xmlns:mc="http://schemas.openxmlformats.org/markup-compatibility/2006">
          <mc:Choice Requires="x14">
            <control shapeId="63506" r:id="rId10" name="Check Box 18">
              <controlPr defaultSize="0" autoFill="0" autoLine="0" autoPict="0">
                <anchor moveWithCells="1">
                  <from>
                    <xdr:col>0</xdr:col>
                    <xdr:colOff>69850</xdr:colOff>
                    <xdr:row>58</xdr:row>
                    <xdr:rowOff>228600</xdr:rowOff>
                  </from>
                  <to>
                    <xdr:col>1</xdr:col>
                    <xdr:colOff>609600</xdr:colOff>
                    <xdr:row>58</xdr:row>
                    <xdr:rowOff>438150</xdr:rowOff>
                  </to>
                </anchor>
              </controlPr>
            </control>
          </mc:Choice>
        </mc:AlternateContent>
        <mc:AlternateContent xmlns:mc="http://schemas.openxmlformats.org/markup-compatibility/2006">
          <mc:Choice Requires="x14">
            <control shapeId="63511" r:id="rId11" name="Check Box 23">
              <controlPr defaultSize="0" autoFill="0" autoLine="0" autoPict="0">
                <anchor moveWithCells="1">
                  <from>
                    <xdr:col>0</xdr:col>
                    <xdr:colOff>69850</xdr:colOff>
                    <xdr:row>76</xdr:row>
                    <xdr:rowOff>228600</xdr:rowOff>
                  </from>
                  <to>
                    <xdr:col>1</xdr:col>
                    <xdr:colOff>609600</xdr:colOff>
                    <xdr:row>76</xdr:row>
                    <xdr:rowOff>438150</xdr:rowOff>
                  </to>
                </anchor>
              </controlPr>
            </control>
          </mc:Choice>
        </mc:AlternateContent>
        <mc:AlternateContent xmlns:mc="http://schemas.openxmlformats.org/markup-compatibility/2006">
          <mc:Choice Requires="x14">
            <control shapeId="63512" r:id="rId12" name="Check Box 24">
              <controlPr defaultSize="0" autoFill="0" autoLine="0" autoPict="0">
                <anchor moveWithCells="1">
                  <from>
                    <xdr:col>0</xdr:col>
                    <xdr:colOff>69850</xdr:colOff>
                    <xdr:row>77</xdr:row>
                    <xdr:rowOff>228600</xdr:rowOff>
                  </from>
                  <to>
                    <xdr:col>1</xdr:col>
                    <xdr:colOff>609600</xdr:colOff>
                    <xdr:row>77</xdr:row>
                    <xdr:rowOff>438150</xdr:rowOff>
                  </to>
                </anchor>
              </controlPr>
            </control>
          </mc:Choice>
        </mc:AlternateContent>
        <mc:AlternateContent xmlns:mc="http://schemas.openxmlformats.org/markup-compatibility/2006">
          <mc:Choice Requires="x14">
            <control shapeId="63513" r:id="rId13" name="Check Box 25">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3514" r:id="rId14" name="Check Box 26">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63515" r:id="rId15" name="Check Box 27">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3516" r:id="rId16" name="Check Box 28">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63521" r:id="rId17" name="Check Box 33">
              <controlPr defaultSize="0" autoFill="0" autoLine="0" autoPict="0">
                <anchor moveWithCells="1">
                  <from>
                    <xdr:col>0</xdr:col>
                    <xdr:colOff>69850</xdr:colOff>
                    <xdr:row>95</xdr:row>
                    <xdr:rowOff>228600</xdr:rowOff>
                  </from>
                  <to>
                    <xdr:col>1</xdr:col>
                    <xdr:colOff>609600</xdr:colOff>
                    <xdr:row>95</xdr:row>
                    <xdr:rowOff>438150</xdr:rowOff>
                  </to>
                </anchor>
              </controlPr>
            </control>
          </mc:Choice>
        </mc:AlternateContent>
        <mc:AlternateContent xmlns:mc="http://schemas.openxmlformats.org/markup-compatibility/2006">
          <mc:Choice Requires="x14">
            <control shapeId="63522" r:id="rId18" name="Check Box 34">
              <controlPr defaultSize="0" autoFill="0" autoLine="0" autoPict="0">
                <anchor moveWithCells="1">
                  <from>
                    <xdr:col>0</xdr:col>
                    <xdr:colOff>69850</xdr:colOff>
                    <xdr:row>97</xdr:row>
                    <xdr:rowOff>228600</xdr:rowOff>
                  </from>
                  <to>
                    <xdr:col>1</xdr:col>
                    <xdr:colOff>609600</xdr:colOff>
                    <xdr:row>97</xdr:row>
                    <xdr:rowOff>438150</xdr:rowOff>
                  </to>
                </anchor>
              </controlPr>
            </control>
          </mc:Choice>
        </mc:AlternateContent>
        <mc:AlternateContent xmlns:mc="http://schemas.openxmlformats.org/markup-compatibility/2006">
          <mc:Choice Requires="x14">
            <control shapeId="63523" r:id="rId19" name="Check Box 35">
              <controlPr defaultSize="0" autoFill="0" autoLine="0" autoPict="0">
                <anchor moveWithCells="1">
                  <from>
                    <xdr:col>0</xdr:col>
                    <xdr:colOff>69850</xdr:colOff>
                    <xdr:row>106</xdr:row>
                    <xdr:rowOff>228600</xdr:rowOff>
                  </from>
                  <to>
                    <xdr:col>1</xdr:col>
                    <xdr:colOff>609600</xdr:colOff>
                    <xdr:row>106</xdr:row>
                    <xdr:rowOff>438150</xdr:rowOff>
                  </to>
                </anchor>
              </controlPr>
            </control>
          </mc:Choice>
        </mc:AlternateContent>
        <mc:AlternateContent xmlns:mc="http://schemas.openxmlformats.org/markup-compatibility/2006">
          <mc:Choice Requires="x14">
            <control shapeId="63524" r:id="rId20" name="Check Box 36">
              <controlPr defaultSize="0" autoFill="0" autoLine="0" autoPict="0">
                <anchor moveWithCells="1">
                  <from>
                    <xdr:col>0</xdr:col>
                    <xdr:colOff>69850</xdr:colOff>
                    <xdr:row>108</xdr:row>
                    <xdr:rowOff>228600</xdr:rowOff>
                  </from>
                  <to>
                    <xdr:col>1</xdr:col>
                    <xdr:colOff>609600</xdr:colOff>
                    <xdr:row>108</xdr:row>
                    <xdr:rowOff>438150</xdr:rowOff>
                  </to>
                </anchor>
              </controlPr>
            </control>
          </mc:Choice>
        </mc:AlternateContent>
        <mc:AlternateContent xmlns:mc="http://schemas.openxmlformats.org/markup-compatibility/2006">
          <mc:Choice Requires="x14">
            <control shapeId="63526" r:id="rId21" name="Check Box 38">
              <controlPr defaultSize="0" autoFill="0" autoLine="0" autoPict="0">
                <anchor moveWithCells="1">
                  <from>
                    <xdr:col>0</xdr:col>
                    <xdr:colOff>57150</xdr:colOff>
                    <xdr:row>84</xdr:row>
                    <xdr:rowOff>190500</xdr:rowOff>
                  </from>
                  <to>
                    <xdr:col>1</xdr:col>
                    <xdr:colOff>603250</xdr:colOff>
                    <xdr:row>84</xdr:row>
                    <xdr:rowOff>412750</xdr:rowOff>
                  </to>
                </anchor>
              </controlPr>
            </control>
          </mc:Choice>
        </mc:AlternateContent>
        <mc:AlternateContent xmlns:mc="http://schemas.openxmlformats.org/markup-compatibility/2006">
          <mc:Choice Requires="x14">
            <control shapeId="63527" r:id="rId22" name="Check Box 39">
              <controlPr defaultSize="0" autoFill="0" autoLine="0" autoPict="0">
                <anchor moveWithCells="1">
                  <from>
                    <xdr:col>0</xdr:col>
                    <xdr:colOff>57150</xdr:colOff>
                    <xdr:row>85</xdr:row>
                    <xdr:rowOff>190500</xdr:rowOff>
                  </from>
                  <to>
                    <xdr:col>1</xdr:col>
                    <xdr:colOff>603250</xdr:colOff>
                    <xdr:row>85</xdr:row>
                    <xdr:rowOff>412750</xdr:rowOff>
                  </to>
                </anchor>
              </controlPr>
            </control>
          </mc:Choice>
        </mc:AlternateContent>
        <mc:AlternateContent xmlns:mc="http://schemas.openxmlformats.org/markup-compatibility/2006">
          <mc:Choice Requires="x14">
            <control shapeId="63534" r:id="rId23" name="Check Box 46">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63535" r:id="rId24" name="Check Box 47">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63536" r:id="rId25" name="Check Box 48">
              <controlPr defaultSize="0" autoFill="0" autoLine="0" autoPict="0">
                <anchor moveWithCells="1">
                  <from>
                    <xdr:col>0</xdr:col>
                    <xdr:colOff>69850</xdr:colOff>
                    <xdr:row>35</xdr:row>
                    <xdr:rowOff>228600</xdr:rowOff>
                  </from>
                  <to>
                    <xdr:col>1</xdr:col>
                    <xdr:colOff>609600</xdr:colOff>
                    <xdr:row>35</xdr:row>
                    <xdr:rowOff>438150</xdr:rowOff>
                  </to>
                </anchor>
              </controlPr>
            </control>
          </mc:Choice>
        </mc:AlternateContent>
        <mc:AlternateContent xmlns:mc="http://schemas.openxmlformats.org/markup-compatibility/2006">
          <mc:Choice Requires="x14">
            <control shapeId="63537" r:id="rId26" name="Check Box 49">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3538" r:id="rId27" name="Check Box 50">
              <controlPr defaultSize="0" autoFill="0" autoLine="0" autoPict="0">
                <anchor moveWithCells="1">
                  <from>
                    <xdr:col>0</xdr:col>
                    <xdr:colOff>69850</xdr:colOff>
                    <xdr:row>57</xdr:row>
                    <xdr:rowOff>228600</xdr:rowOff>
                  </from>
                  <to>
                    <xdr:col>1</xdr:col>
                    <xdr:colOff>609600</xdr:colOff>
                    <xdr:row>57</xdr:row>
                    <xdr:rowOff>438150</xdr:rowOff>
                  </to>
                </anchor>
              </controlPr>
            </control>
          </mc:Choice>
        </mc:AlternateContent>
        <mc:AlternateContent xmlns:mc="http://schemas.openxmlformats.org/markup-compatibility/2006">
          <mc:Choice Requires="x14">
            <control shapeId="63539" r:id="rId28" name="Check Box 51">
              <controlPr defaultSize="0" autoFill="0" autoLine="0" autoPict="0">
                <anchor moveWithCells="1">
                  <from>
                    <xdr:col>0</xdr:col>
                    <xdr:colOff>69850</xdr:colOff>
                    <xdr:row>68</xdr:row>
                    <xdr:rowOff>228600</xdr:rowOff>
                  </from>
                  <to>
                    <xdr:col>1</xdr:col>
                    <xdr:colOff>609600</xdr:colOff>
                    <xdr:row>68</xdr:row>
                    <xdr:rowOff>438150</xdr:rowOff>
                  </to>
                </anchor>
              </controlPr>
            </control>
          </mc:Choice>
        </mc:AlternateContent>
        <mc:AlternateContent xmlns:mc="http://schemas.openxmlformats.org/markup-compatibility/2006">
          <mc:Choice Requires="x14">
            <control shapeId="63540" r:id="rId29" name="Check Box 52">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3541" r:id="rId30" name="Check Box 53">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sheetPr>
  <dimension ref="A1:AB282"/>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258" customWidth="1"/>
    <col min="3" max="3" width="55.7109375" style="5" customWidth="1"/>
    <col min="4" max="4" width="52.7109375" style="5" customWidth="1"/>
    <col min="5" max="5" width="15.7109375" style="242" customWidth="1"/>
    <col min="6" max="6" width="15.7109375" style="5" customWidth="1"/>
    <col min="7" max="7" width="10.7109375" style="192" customWidth="1"/>
    <col min="8" max="9" width="26.7109375" style="178" customWidth="1"/>
    <col min="10" max="10" width="45.7109375" style="178" customWidth="1"/>
    <col min="11" max="12" width="20.7109375" style="178" hidden="1" customWidth="1"/>
    <col min="13" max="13" width="9.140625" style="178"/>
    <col min="14" max="14" width="30" style="178" hidden="1" customWidth="1"/>
    <col min="15" max="15" width="2.140625" style="178" hidden="1" customWidth="1"/>
    <col min="16" max="16" width="13.42578125" style="178" hidden="1" customWidth="1"/>
    <col min="17" max="17" width="9.140625" style="73" hidden="1" customWidth="1"/>
    <col min="18" max="18" width="9.140625" style="178"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201" t="s">
        <v>0</v>
      </c>
      <c r="C1" s="1201"/>
      <c r="D1" s="1201"/>
      <c r="E1" s="1201"/>
      <c r="F1" s="1201"/>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60" t="s">
        <v>228</v>
      </c>
      <c r="D2" s="192"/>
      <c r="E2" s="139" t="s">
        <v>1080</v>
      </c>
      <c r="F2" s="158" t="s">
        <v>1081</v>
      </c>
      <c r="H2" s="107" t="s">
        <v>532</v>
      </c>
      <c r="I2" s="538"/>
      <c r="J2" s="496"/>
      <c r="K2" s="496"/>
      <c r="L2" s="496"/>
      <c r="M2" s="496"/>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25" t="s">
        <v>229</v>
      </c>
      <c r="C3" s="161" t="s">
        <v>531</v>
      </c>
      <c r="D3" s="192"/>
      <c r="E3" s="192"/>
      <c r="F3" s="108"/>
      <c r="H3" s="123">
        <f>SUM(F28,F83,F94,G78,F127,F135,F147,F153)</f>
        <v>0</v>
      </c>
      <c r="I3" s="538"/>
      <c r="J3" s="496"/>
      <c r="K3" s="496"/>
      <c r="L3" s="496"/>
      <c r="M3" s="496"/>
      <c r="N3" s="496" t="s">
        <v>256</v>
      </c>
      <c r="O3" s="496"/>
      <c r="P3" s="496"/>
      <c r="Q3" s="846"/>
      <c r="R3" s="496"/>
      <c r="S3" s="538" t="s">
        <v>1084</v>
      </c>
      <c r="T3" s="933">
        <v>0.1</v>
      </c>
      <c r="U3" s="933">
        <v>0.17</v>
      </c>
      <c r="V3" s="933">
        <v>0.24</v>
      </c>
      <c r="W3" s="933">
        <v>0.08</v>
      </c>
      <c r="X3" s="933">
        <v>0.11</v>
      </c>
      <c r="Y3" s="933">
        <v>0.15</v>
      </c>
      <c r="Z3" s="933">
        <v>0.06</v>
      </c>
      <c r="AA3" s="933">
        <v>0.09</v>
      </c>
      <c r="AB3" s="934">
        <f>SUM(T3:AA3)</f>
        <v>0.99999999999999989</v>
      </c>
    </row>
    <row r="4" spans="1:28" ht="37.5" customHeight="1">
      <c r="A4" s="496"/>
      <c r="B4" s="125" t="s">
        <v>234</v>
      </c>
      <c r="C4" s="162" t="s">
        <v>235</v>
      </c>
      <c r="D4" s="192"/>
      <c r="E4" s="192"/>
      <c r="F4" s="109"/>
      <c r="H4" s="904"/>
      <c r="I4" s="538"/>
      <c r="J4" s="496"/>
      <c r="K4" s="496"/>
      <c r="L4" s="496"/>
      <c r="M4" s="496"/>
      <c r="N4" s="496" t="s">
        <v>260</v>
      </c>
      <c r="O4" s="496"/>
      <c r="P4" s="496"/>
      <c r="Q4" s="846"/>
      <c r="R4" s="496"/>
      <c r="S4" s="538" t="s">
        <v>1083</v>
      </c>
      <c r="T4" s="933">
        <v>0.1</v>
      </c>
      <c r="U4" s="933">
        <v>0.17</v>
      </c>
      <c r="V4" s="933">
        <v>0.24</v>
      </c>
      <c r="W4" s="933">
        <v>0.08</v>
      </c>
      <c r="X4" s="933">
        <v>0.11</v>
      </c>
      <c r="Y4" s="933">
        <v>0.15</v>
      </c>
      <c r="Z4" s="933">
        <v>0.06</v>
      </c>
      <c r="AA4" s="933">
        <v>0.09</v>
      </c>
      <c r="AB4" s="934">
        <f t="shared" ref="AB4:AB10" si="0">SUM(T4:AA4)</f>
        <v>0.99999999999999989</v>
      </c>
    </row>
    <row r="5" spans="1:28" ht="37.5" customHeight="1">
      <c r="A5" s="496"/>
      <c r="B5" s="126" t="s">
        <v>238</v>
      </c>
      <c r="C5" s="138" t="s">
        <v>167</v>
      </c>
      <c r="D5" s="192"/>
      <c r="E5" s="192"/>
      <c r="F5" s="109"/>
      <c r="H5" s="538"/>
      <c r="I5" s="538"/>
      <c r="J5" s="496"/>
      <c r="K5" s="496"/>
      <c r="L5" s="496"/>
      <c r="M5" s="496"/>
      <c r="N5" s="496" t="s">
        <v>269</v>
      </c>
      <c r="O5" s="496"/>
      <c r="P5" s="496"/>
      <c r="Q5" s="846"/>
      <c r="R5" s="496"/>
      <c r="S5" s="538" t="s">
        <v>1085</v>
      </c>
      <c r="T5" s="933">
        <v>0.1</v>
      </c>
      <c r="U5" s="933">
        <v>0.17</v>
      </c>
      <c r="V5" s="933">
        <v>0.24</v>
      </c>
      <c r="W5" s="933">
        <v>0.08</v>
      </c>
      <c r="X5" s="933">
        <v>0.09</v>
      </c>
      <c r="Y5" s="933">
        <v>0.15</v>
      </c>
      <c r="Z5" s="933">
        <v>0.08</v>
      </c>
      <c r="AA5" s="933">
        <v>0.09</v>
      </c>
      <c r="AB5" s="934">
        <f t="shared" si="0"/>
        <v>0.99999999999999989</v>
      </c>
    </row>
    <row r="6" spans="1:28" ht="24.95" customHeight="1">
      <c r="A6" s="496"/>
      <c r="B6" s="193"/>
      <c r="C6" s="194"/>
      <c r="D6" s="194"/>
      <c r="E6" s="195"/>
      <c r="F6" s="196"/>
      <c r="H6" s="1482" t="s">
        <v>255</v>
      </c>
      <c r="I6" s="1482"/>
      <c r="J6" s="181" t="s">
        <v>241</v>
      </c>
      <c r="K6" s="496"/>
      <c r="L6" s="496"/>
      <c r="M6" s="496"/>
      <c r="N6" s="496"/>
      <c r="O6" s="496"/>
      <c r="P6" s="496"/>
      <c r="Q6" s="846"/>
      <c r="R6" s="496"/>
      <c r="S6" s="538" t="s">
        <v>1086</v>
      </c>
      <c r="T6" s="933">
        <v>0.1</v>
      </c>
      <c r="U6" s="933">
        <v>0.17</v>
      </c>
      <c r="V6" s="933">
        <v>0.24</v>
      </c>
      <c r="W6" s="933">
        <v>0.08</v>
      </c>
      <c r="X6" s="933">
        <v>0.09</v>
      </c>
      <c r="Y6" s="933">
        <v>0.15</v>
      </c>
      <c r="Z6" s="933">
        <v>0.08</v>
      </c>
      <c r="AA6" s="933">
        <v>0.09</v>
      </c>
      <c r="AB6" s="934">
        <f t="shared" si="0"/>
        <v>0.99999999999999989</v>
      </c>
    </row>
    <row r="7" spans="1:28" ht="42">
      <c r="A7" s="85" t="s">
        <v>242</v>
      </c>
      <c r="B7" s="197" t="s">
        <v>1087</v>
      </c>
      <c r="C7" s="198" t="s">
        <v>246</v>
      </c>
      <c r="D7" s="198"/>
      <c r="E7" s="199" t="s">
        <v>247</v>
      </c>
      <c r="F7" s="200" t="s">
        <v>248</v>
      </c>
      <c r="H7" s="248" t="s">
        <v>940</v>
      </c>
      <c r="I7" s="248" t="s">
        <v>941</v>
      </c>
      <c r="J7" s="249" t="s">
        <v>25</v>
      </c>
      <c r="K7" s="250" t="s">
        <v>252</v>
      </c>
      <c r="L7" s="249" t="s">
        <v>253</v>
      </c>
      <c r="M7" s="496"/>
      <c r="N7" s="496" t="s">
        <v>255</v>
      </c>
      <c r="O7" s="496" t="s">
        <v>241</v>
      </c>
      <c r="P7" s="496"/>
      <c r="Q7" s="846"/>
      <c r="R7" s="496"/>
      <c r="S7" s="538" t="s">
        <v>1088</v>
      </c>
      <c r="T7" s="933">
        <v>0.1</v>
      </c>
      <c r="U7" s="933">
        <v>0.17</v>
      </c>
      <c r="V7" s="933">
        <v>0.24</v>
      </c>
      <c r="W7" s="933">
        <v>0.08</v>
      </c>
      <c r="X7" s="933">
        <v>0.14000000000000001</v>
      </c>
      <c r="Y7" s="933">
        <v>0.15</v>
      </c>
      <c r="Z7" s="933">
        <v>0.03</v>
      </c>
      <c r="AA7" s="933">
        <v>0.09</v>
      </c>
      <c r="AB7" s="934">
        <f t="shared" si="0"/>
        <v>1</v>
      </c>
    </row>
    <row r="8" spans="1:28" s="247" customFormat="1" ht="45" customHeight="1">
      <c r="B8" s="204" t="s">
        <v>254</v>
      </c>
      <c r="C8" s="205"/>
      <c r="D8" s="206" t="s">
        <v>1089</v>
      </c>
      <c r="E8" s="207" t="str">
        <f>IFERROR(VLOOKUP($F$2,$S$3:$AA$10,2,FALSE),"")</f>
        <v/>
      </c>
      <c r="F8" s="208"/>
      <c r="G8" s="192"/>
      <c r="H8" s="209"/>
      <c r="I8" s="209"/>
      <c r="J8" s="209"/>
      <c r="K8" s="209"/>
      <c r="L8" s="209"/>
      <c r="M8" s="496"/>
      <c r="N8" s="496" t="s">
        <v>240</v>
      </c>
      <c r="O8" s="210" t="s">
        <v>259</v>
      </c>
      <c r="Q8" s="246"/>
      <c r="S8" s="538" t="s">
        <v>1090</v>
      </c>
      <c r="T8" s="933">
        <v>0.1</v>
      </c>
      <c r="U8" s="933">
        <v>0.17</v>
      </c>
      <c r="V8" s="933">
        <v>0.19</v>
      </c>
      <c r="W8" s="933">
        <v>0.08</v>
      </c>
      <c r="X8" s="933">
        <v>0.14000000000000001</v>
      </c>
      <c r="Y8" s="933">
        <v>0.15</v>
      </c>
      <c r="Z8" s="933">
        <v>0.08</v>
      </c>
      <c r="AA8" s="933">
        <v>0.09</v>
      </c>
      <c r="AB8" s="934">
        <f t="shared" si="0"/>
        <v>1</v>
      </c>
    </row>
    <row r="9" spans="1:28" ht="45" customHeight="1">
      <c r="A9" s="222"/>
      <c r="B9" s="251" t="s">
        <v>1091</v>
      </c>
      <c r="C9" s="952" t="s">
        <v>257</v>
      </c>
      <c r="D9" s="952"/>
      <c r="E9" s="936">
        <v>2</v>
      </c>
      <c r="F9" s="455"/>
      <c r="H9" s="903"/>
      <c r="I9" s="903"/>
      <c r="J9" s="937"/>
      <c r="K9" s="924" t="str">
        <f t="shared" ref="K9:L18" si="1">IF(ISBLANK($F9)=FALSE,IF(H9="","No","Yes"),"")</f>
        <v/>
      </c>
      <c r="L9" s="924" t="str">
        <f t="shared" si="1"/>
        <v/>
      </c>
      <c r="M9" s="496"/>
      <c r="N9" s="496" t="s">
        <v>267</v>
      </c>
      <c r="O9" s="496" t="s">
        <v>268</v>
      </c>
      <c r="P9" s="496"/>
      <c r="Q9" s="846"/>
      <c r="R9" s="496"/>
      <c r="S9" s="538" t="s">
        <v>1092</v>
      </c>
      <c r="T9" s="933">
        <v>0.1</v>
      </c>
      <c r="U9" s="933">
        <v>0.17</v>
      </c>
      <c r="V9" s="933">
        <v>0.24</v>
      </c>
      <c r="W9" s="933">
        <v>0.08</v>
      </c>
      <c r="X9" s="933">
        <v>0.14000000000000001</v>
      </c>
      <c r="Y9" s="933">
        <v>0.15</v>
      </c>
      <c r="Z9" s="933">
        <v>0.03</v>
      </c>
      <c r="AA9" s="933">
        <v>0.09</v>
      </c>
      <c r="AB9" s="934">
        <f t="shared" si="0"/>
        <v>1</v>
      </c>
    </row>
    <row r="10" spans="1:28" ht="45" customHeight="1">
      <c r="A10" s="222"/>
      <c r="B10" s="1451" t="s">
        <v>1093</v>
      </c>
      <c r="C10" s="1480" t="s">
        <v>1094</v>
      </c>
      <c r="D10" s="952" t="s">
        <v>1095</v>
      </c>
      <c r="E10" s="936">
        <v>1</v>
      </c>
      <c r="F10" s="455"/>
      <c r="H10" s="903"/>
      <c r="I10" s="903"/>
      <c r="J10" s="937"/>
      <c r="K10" s="924"/>
      <c r="L10" s="924"/>
      <c r="M10" s="496"/>
      <c r="N10" s="496"/>
      <c r="O10" s="496"/>
      <c r="P10" s="496"/>
      <c r="Q10" s="846"/>
      <c r="R10" s="496"/>
      <c r="S10" s="538" t="s">
        <v>1096</v>
      </c>
      <c r="T10" s="933">
        <v>0.1</v>
      </c>
      <c r="U10" s="933">
        <v>0.17</v>
      </c>
      <c r="V10" s="933">
        <v>0.24</v>
      </c>
      <c r="W10" s="933">
        <v>0.08</v>
      </c>
      <c r="X10" s="933">
        <v>0.11</v>
      </c>
      <c r="Y10" s="933">
        <v>0.15</v>
      </c>
      <c r="Z10" s="933">
        <v>0.06</v>
      </c>
      <c r="AA10" s="933">
        <v>0.09</v>
      </c>
      <c r="AB10" s="934">
        <f t="shared" si="0"/>
        <v>0.99999999999999989</v>
      </c>
    </row>
    <row r="11" spans="1:28" ht="45" customHeight="1">
      <c r="A11" s="222"/>
      <c r="B11" s="1452"/>
      <c r="C11" s="1481"/>
      <c r="D11" s="952" t="s">
        <v>1097</v>
      </c>
      <c r="E11" s="936">
        <v>1</v>
      </c>
      <c r="F11" s="455"/>
      <c r="H11" s="903"/>
      <c r="I11" s="903"/>
      <c r="J11" s="937"/>
      <c r="K11" s="924" t="str">
        <f t="shared" si="1"/>
        <v/>
      </c>
      <c r="L11" s="924" t="str">
        <f t="shared" si="1"/>
        <v/>
      </c>
      <c r="M11" s="496"/>
      <c r="N11" s="496" t="s">
        <v>266</v>
      </c>
      <c r="O11" s="496"/>
      <c r="P11" s="496"/>
      <c r="Q11" s="846"/>
      <c r="R11" s="496"/>
      <c r="S11" s="496"/>
      <c r="T11" s="496"/>
      <c r="U11" s="496"/>
      <c r="V11" s="496"/>
      <c r="W11" s="496"/>
      <c r="X11" s="496"/>
      <c r="Y11" s="496"/>
      <c r="Z11" s="496"/>
      <c r="AA11" s="496"/>
      <c r="AB11" s="496"/>
    </row>
    <row r="12" spans="1:28" ht="45" customHeight="1">
      <c r="A12" s="222"/>
      <c r="B12" s="251" t="s">
        <v>1098</v>
      </c>
      <c r="C12" s="952" t="s">
        <v>1099</v>
      </c>
      <c r="D12" s="952"/>
      <c r="E12" s="936">
        <v>1</v>
      </c>
      <c r="F12" s="455"/>
      <c r="H12" s="903"/>
      <c r="I12" s="903"/>
      <c r="J12" s="937"/>
      <c r="K12" s="924" t="str">
        <f t="shared" si="1"/>
        <v/>
      </c>
      <c r="L12" s="924" t="str">
        <f t="shared" si="1"/>
        <v/>
      </c>
      <c r="M12" s="496"/>
      <c r="N12" s="496" t="s">
        <v>274</v>
      </c>
      <c r="O12" s="496"/>
      <c r="P12" s="496"/>
      <c r="Q12" s="846"/>
      <c r="R12" s="496"/>
      <c r="S12" s="496"/>
      <c r="T12" s="496"/>
      <c r="U12" s="496"/>
      <c r="V12" s="496"/>
      <c r="W12" s="496"/>
      <c r="X12" s="496"/>
      <c r="Y12" s="496"/>
      <c r="Z12" s="496"/>
      <c r="AA12" s="496"/>
      <c r="AB12" s="496"/>
    </row>
    <row r="13" spans="1:28" ht="45" customHeight="1">
      <c r="A13" s="222"/>
      <c r="B13" s="251" t="s">
        <v>1100</v>
      </c>
      <c r="C13" s="952" t="s">
        <v>281</v>
      </c>
      <c r="D13" s="952"/>
      <c r="E13" s="936">
        <v>1</v>
      </c>
      <c r="F13" s="455"/>
      <c r="H13" s="903"/>
      <c r="I13" s="903"/>
      <c r="J13" s="937"/>
      <c r="K13" s="924" t="str">
        <f t="shared" si="1"/>
        <v/>
      </c>
      <c r="L13" s="924" t="str">
        <f t="shared" si="1"/>
        <v/>
      </c>
      <c r="M13" s="496"/>
      <c r="N13" s="496"/>
      <c r="O13" s="496"/>
      <c r="P13" s="496"/>
      <c r="Q13" s="846"/>
      <c r="R13" s="496"/>
      <c r="S13" s="496"/>
      <c r="T13" s="496"/>
      <c r="U13" s="496"/>
      <c r="V13" s="496"/>
      <c r="W13" s="496"/>
      <c r="X13" s="496"/>
      <c r="Y13" s="496"/>
      <c r="Z13" s="496"/>
      <c r="AA13" s="496"/>
      <c r="AB13" s="496"/>
    </row>
    <row r="14" spans="1:28" ht="45" customHeight="1">
      <c r="A14" s="222"/>
      <c r="B14" s="251" t="s">
        <v>1101</v>
      </c>
      <c r="C14" s="952" t="s">
        <v>1272</v>
      </c>
      <c r="D14" s="952"/>
      <c r="E14" s="936">
        <v>1</v>
      </c>
      <c r="F14" s="455"/>
      <c r="H14" s="903"/>
      <c r="I14" s="903"/>
      <c r="J14" s="937"/>
      <c r="K14" s="924" t="str">
        <f t="shared" si="1"/>
        <v/>
      </c>
      <c r="L14" s="924" t="str">
        <f t="shared" si="1"/>
        <v/>
      </c>
      <c r="M14" s="496"/>
      <c r="N14" s="496"/>
      <c r="O14" s="496"/>
      <c r="P14" s="496"/>
      <c r="Q14" s="846"/>
      <c r="R14" s="496"/>
      <c r="S14" s="496"/>
      <c r="T14" s="496"/>
      <c r="U14" s="496"/>
      <c r="V14" s="496"/>
      <c r="W14" s="496"/>
      <c r="X14" s="496"/>
      <c r="Y14" s="496"/>
      <c r="Z14" s="496"/>
      <c r="AA14" s="496"/>
      <c r="AB14" s="496"/>
    </row>
    <row r="15" spans="1:28" ht="45" customHeight="1">
      <c r="A15" s="222"/>
      <c r="B15" s="251" t="s">
        <v>1103</v>
      </c>
      <c r="C15" s="952" t="s">
        <v>680</v>
      </c>
      <c r="D15" s="952"/>
      <c r="E15" s="936">
        <v>3</v>
      </c>
      <c r="F15" s="455"/>
      <c r="H15" s="903"/>
      <c r="I15" s="903"/>
      <c r="J15" s="937"/>
      <c r="K15" s="924" t="str">
        <f t="shared" si="1"/>
        <v/>
      </c>
      <c r="L15" s="924" t="str">
        <f t="shared" si="1"/>
        <v/>
      </c>
      <c r="M15" s="496"/>
      <c r="N15" s="496"/>
      <c r="O15" s="496"/>
      <c r="P15" s="496"/>
      <c r="Q15" s="846"/>
      <c r="R15" s="496"/>
      <c r="S15" s="496"/>
      <c r="T15" s="496"/>
      <c r="U15" s="496"/>
      <c r="V15" s="496"/>
      <c r="W15" s="496"/>
      <c r="X15" s="496"/>
      <c r="Y15" s="496"/>
      <c r="Z15" s="496"/>
      <c r="AA15" s="496"/>
      <c r="AB15" s="496"/>
    </row>
    <row r="16" spans="1:28" ht="45" customHeight="1">
      <c r="A16" s="222"/>
      <c r="B16" s="251" t="s">
        <v>1104</v>
      </c>
      <c r="C16" s="952" t="s">
        <v>785</v>
      </c>
      <c r="D16" s="952"/>
      <c r="E16" s="936">
        <v>2</v>
      </c>
      <c r="F16" s="455"/>
      <c r="H16" s="903"/>
      <c r="I16" s="903"/>
      <c r="J16" s="937"/>
      <c r="K16" s="924" t="str">
        <f t="shared" si="1"/>
        <v/>
      </c>
      <c r="L16" s="924" t="str">
        <f t="shared" si="1"/>
        <v/>
      </c>
      <c r="M16" s="496"/>
      <c r="N16" s="496"/>
      <c r="O16" s="496"/>
      <c r="P16" s="496"/>
      <c r="Q16" s="846"/>
      <c r="R16" s="496"/>
      <c r="S16" s="496"/>
      <c r="T16" s="496"/>
      <c r="U16" s="496"/>
      <c r="V16" s="496"/>
      <c r="W16" s="496"/>
      <c r="X16" s="496"/>
      <c r="Y16" s="496"/>
      <c r="Z16" s="496"/>
      <c r="AA16" s="496"/>
      <c r="AB16" s="496"/>
    </row>
    <row r="17" spans="1:17" s="247" customFormat="1" ht="45" customHeight="1">
      <c r="B17" s="1451" t="s">
        <v>1273</v>
      </c>
      <c r="C17" s="1480" t="s">
        <v>1274</v>
      </c>
      <c r="D17" s="952" t="s">
        <v>1178</v>
      </c>
      <c r="E17" s="936">
        <v>1</v>
      </c>
      <c r="F17" s="455"/>
      <c r="G17" s="192"/>
      <c r="H17" s="903"/>
      <c r="I17" s="903"/>
      <c r="J17" s="937"/>
      <c r="K17" s="924"/>
      <c r="L17" s="924"/>
      <c r="M17" s="496"/>
      <c r="N17" s="496"/>
      <c r="O17" s="222"/>
      <c r="Q17" s="246"/>
    </row>
    <row r="18" spans="1:17" ht="45" customHeight="1">
      <c r="A18" s="222"/>
      <c r="B18" s="1452"/>
      <c r="C18" s="1481"/>
      <c r="D18" s="952" t="s">
        <v>1275</v>
      </c>
      <c r="E18" s="936">
        <v>2</v>
      </c>
      <c r="F18" s="455"/>
      <c r="H18" s="903"/>
      <c r="I18" s="903"/>
      <c r="J18" s="937"/>
      <c r="K18" s="924" t="str">
        <f t="shared" si="1"/>
        <v/>
      </c>
      <c r="L18" s="924" t="str">
        <f t="shared" si="1"/>
        <v/>
      </c>
      <c r="M18" s="496"/>
      <c r="N18" s="496"/>
      <c r="O18" s="496"/>
      <c r="P18" s="496"/>
      <c r="Q18" s="846"/>
    </row>
    <row r="19" spans="1:17" ht="45" customHeight="1">
      <c r="A19" s="222"/>
      <c r="B19" s="218" t="s">
        <v>963</v>
      </c>
      <c r="C19" s="176"/>
      <c r="D19" s="176"/>
      <c r="E19" s="85">
        <f>SUM(E9:E18)</f>
        <v>15</v>
      </c>
      <c r="F19" s="216" t="str">
        <f>IFERROR(SUM(F9:F18)/E19*E8*100,"")</f>
        <v/>
      </c>
      <c r="H19" s="176"/>
      <c r="I19" s="176"/>
      <c r="J19" s="176"/>
      <c r="K19" s="176"/>
      <c r="L19" s="176"/>
      <c r="M19" s="496"/>
      <c r="N19" s="496"/>
      <c r="O19" s="496"/>
      <c r="P19" s="496"/>
      <c r="Q19" s="846"/>
    </row>
    <row r="20" spans="1:17" ht="45" customHeight="1">
      <c r="A20" s="222"/>
      <c r="B20" s="254"/>
      <c r="C20" s="222"/>
      <c r="D20" s="222"/>
      <c r="E20" s="196"/>
      <c r="F20" s="196"/>
      <c r="H20" s="496"/>
      <c r="I20" s="496"/>
      <c r="J20" s="496"/>
      <c r="K20" s="496"/>
      <c r="L20" s="496"/>
      <c r="M20" s="496"/>
      <c r="N20" s="496"/>
      <c r="O20" s="496"/>
      <c r="P20" s="496"/>
      <c r="Q20" s="846"/>
    </row>
    <row r="21" spans="1:17" ht="45" customHeight="1">
      <c r="A21" s="222"/>
      <c r="B21" s="204" t="s">
        <v>306</v>
      </c>
      <c r="C21" s="205"/>
      <c r="D21" s="206" t="s">
        <v>1089</v>
      </c>
      <c r="E21" s="207" t="str">
        <f>IFERROR(VLOOKUP($F$2,$S$3:$AA$10,3,FALSE),"")</f>
        <v/>
      </c>
      <c r="F21" s="208"/>
      <c r="H21" s="226"/>
      <c r="I21" s="226"/>
      <c r="J21" s="226"/>
      <c r="K21" s="226"/>
      <c r="L21" s="226"/>
      <c r="M21" s="496"/>
      <c r="N21" s="496"/>
      <c r="O21" s="496"/>
      <c r="P21" s="496"/>
      <c r="Q21" s="846"/>
    </row>
    <row r="22" spans="1:17" ht="45" customHeight="1">
      <c r="A22" s="222"/>
      <c r="B22" s="251" t="s">
        <v>1116</v>
      </c>
      <c r="C22" s="952" t="s">
        <v>1117</v>
      </c>
      <c r="D22" s="952"/>
      <c r="E22" s="936">
        <v>3</v>
      </c>
      <c r="F22" s="455"/>
      <c r="H22" s="903"/>
      <c r="I22" s="903"/>
      <c r="J22" s="937"/>
      <c r="K22" s="924" t="str">
        <f>IF(OR(ISBLANK($F22)=FALSE,$Q22=TRUE),IF(H22="","No","Yes"),"")</f>
        <v/>
      </c>
      <c r="L22" s="924" t="str">
        <f>IF(ISBLANK($F22)=FALSE,IF(I22="","No","Yes"),IF($Q22=TRUE,"NA",""))</f>
        <v/>
      </c>
      <c r="M22" s="496"/>
      <c r="N22" s="496"/>
      <c r="O22" s="496"/>
      <c r="P22" s="496" t="s">
        <v>242</v>
      </c>
      <c r="Q22" s="846" t="b">
        <v>0</v>
      </c>
    </row>
    <row r="23" spans="1:17" ht="45" customHeight="1">
      <c r="A23" s="222"/>
      <c r="B23" s="251" t="s">
        <v>1118</v>
      </c>
      <c r="C23" s="952" t="s">
        <v>1119</v>
      </c>
      <c r="D23" s="952"/>
      <c r="E23" s="936">
        <v>2</v>
      </c>
      <c r="F23" s="455"/>
      <c r="H23" s="903"/>
      <c r="I23" s="903"/>
      <c r="J23" s="937"/>
      <c r="K23" s="924" t="str">
        <f>IF(OR(ISBLANK($F23)=FALSE,$Q23=TRUE),IF(H23="","No","Yes"),"")</f>
        <v/>
      </c>
      <c r="L23" s="924" t="str">
        <f>IF(ISBLANK($F23)=FALSE,IF(I23="","No","Yes"),IF($Q23=TRUE,"NA",""))</f>
        <v/>
      </c>
      <c r="M23" s="496"/>
      <c r="N23" s="496"/>
      <c r="O23" s="496"/>
      <c r="P23" s="496" t="s">
        <v>242</v>
      </c>
      <c r="Q23" s="846" t="b">
        <v>0</v>
      </c>
    </row>
    <row r="24" spans="1:17" ht="45" customHeight="1">
      <c r="A24" s="222"/>
      <c r="B24" s="251" t="s">
        <v>1120</v>
      </c>
      <c r="C24" s="952" t="s">
        <v>1276</v>
      </c>
      <c r="D24" s="952"/>
      <c r="E24" s="936">
        <v>1</v>
      </c>
      <c r="F24" s="455"/>
      <c r="H24" s="903"/>
      <c r="I24" s="903"/>
      <c r="J24" s="937"/>
      <c r="K24" s="924" t="str">
        <f>IF(OR(ISBLANK($F24)=FALSE,$Q24=TRUE),IF(H24="","No","Yes"),"")</f>
        <v/>
      </c>
      <c r="L24" s="924" t="str">
        <f>IF(ISBLANK($F24)=FALSE,IF(I24="","No","Yes"),IF($Q24=TRUE,"NA",""))</f>
        <v/>
      </c>
      <c r="M24" s="496"/>
      <c r="N24" s="496"/>
      <c r="O24" s="496"/>
      <c r="P24" s="496" t="s">
        <v>242</v>
      </c>
      <c r="Q24" s="846" t="b">
        <v>0</v>
      </c>
    </row>
    <row r="25" spans="1:17" ht="45" customHeight="1">
      <c r="A25" s="222"/>
      <c r="B25" s="251" t="s">
        <v>1122</v>
      </c>
      <c r="C25" s="952" t="s">
        <v>326</v>
      </c>
      <c r="D25" s="952"/>
      <c r="E25" s="936">
        <v>3</v>
      </c>
      <c r="F25" s="455"/>
      <c r="H25" s="903"/>
      <c r="I25" s="903"/>
      <c r="J25" s="937"/>
      <c r="K25" s="924" t="str">
        <f>IF(ISBLANK($F25)=FALSE,IF(H25="","No","Yes"),"")</f>
        <v/>
      </c>
      <c r="L25" s="924" t="str">
        <f>IF(ISBLANK($F25)=FALSE,IF(I25="","No","Yes"),"")</f>
        <v/>
      </c>
      <c r="M25" s="496"/>
      <c r="N25" s="496"/>
      <c r="O25" s="496"/>
      <c r="P25" s="496"/>
      <c r="Q25" s="846"/>
    </row>
    <row r="26" spans="1:17" ht="45" customHeight="1">
      <c r="A26" s="222"/>
      <c r="B26" s="1451" t="s">
        <v>1123</v>
      </c>
      <c r="C26" s="1480" t="s">
        <v>332</v>
      </c>
      <c r="D26" s="952" t="s">
        <v>1277</v>
      </c>
      <c r="E26" s="936">
        <v>1</v>
      </c>
      <c r="F26" s="455"/>
      <c r="H26" s="903"/>
      <c r="I26" s="903"/>
      <c r="J26" s="937"/>
      <c r="K26" s="924" t="str">
        <f t="shared" ref="K26:K31" si="2">IF(OR(ISBLANK($F26)=FALSE,$Q26=TRUE),IF(H26="","No","Yes"),"")</f>
        <v/>
      </c>
      <c r="L26" s="924" t="str">
        <f t="shared" ref="L26:L31" si="3">IF(ISBLANK($F26)=FALSE,IF(I26="","No","Yes"),IF($Q26=TRUE,"NA",""))</f>
        <v/>
      </c>
      <c r="M26" s="496"/>
      <c r="N26" s="496"/>
      <c r="O26" s="496"/>
      <c r="P26" s="496" t="s">
        <v>242</v>
      </c>
      <c r="Q26" s="846" t="b">
        <v>0</v>
      </c>
    </row>
    <row r="27" spans="1:17" ht="45" customHeight="1">
      <c r="A27" s="222"/>
      <c r="B27" s="1455"/>
      <c r="C27" s="1483"/>
      <c r="D27" s="952" t="s">
        <v>1278</v>
      </c>
      <c r="E27" s="936">
        <v>1</v>
      </c>
      <c r="F27" s="455"/>
      <c r="H27" s="903"/>
      <c r="I27" s="903"/>
      <c r="J27" s="937"/>
      <c r="K27" s="924" t="str">
        <f t="shared" si="2"/>
        <v/>
      </c>
      <c r="L27" s="924" t="str">
        <f t="shared" si="3"/>
        <v/>
      </c>
      <c r="M27" s="496"/>
      <c r="N27" s="496"/>
      <c r="O27" s="496"/>
      <c r="P27" s="496" t="s">
        <v>242</v>
      </c>
      <c r="Q27" s="846" t="b">
        <v>0</v>
      </c>
    </row>
    <row r="28" spans="1:17" ht="45" customHeight="1">
      <c r="A28" s="222"/>
      <c r="B28" s="1452"/>
      <c r="C28" s="1481"/>
      <c r="D28" s="952" t="s">
        <v>1279</v>
      </c>
      <c r="E28" s="936">
        <v>1</v>
      </c>
      <c r="F28" s="455"/>
      <c r="H28" s="903"/>
      <c r="I28" s="903"/>
      <c r="J28" s="937"/>
      <c r="K28" s="924" t="str">
        <f t="shared" si="2"/>
        <v/>
      </c>
      <c r="L28" s="924" t="str">
        <f t="shared" si="3"/>
        <v/>
      </c>
      <c r="M28" s="496"/>
      <c r="N28" s="496"/>
      <c r="O28" s="496"/>
      <c r="P28" s="496" t="s">
        <v>242</v>
      </c>
      <c r="Q28" s="846" t="b">
        <v>0</v>
      </c>
    </row>
    <row r="29" spans="1:17" ht="45" customHeight="1">
      <c r="A29" s="222"/>
      <c r="B29" s="251" t="s">
        <v>1124</v>
      </c>
      <c r="C29" s="952" t="s">
        <v>597</v>
      </c>
      <c r="D29" s="952"/>
      <c r="E29" s="936">
        <v>1</v>
      </c>
      <c r="F29" s="455"/>
      <c r="H29" s="903"/>
      <c r="I29" s="903"/>
      <c r="J29" s="937"/>
      <c r="K29" s="924" t="str">
        <f t="shared" si="2"/>
        <v/>
      </c>
      <c r="L29" s="924" t="str">
        <f t="shared" si="3"/>
        <v/>
      </c>
      <c r="M29" s="496"/>
      <c r="N29" s="496"/>
      <c r="O29" s="496"/>
      <c r="P29" s="496" t="s">
        <v>242</v>
      </c>
      <c r="Q29" s="846" t="b">
        <v>0</v>
      </c>
    </row>
    <row r="30" spans="1:17" ht="45" customHeight="1">
      <c r="A30" s="222"/>
      <c r="B30" s="1451" t="s">
        <v>1125</v>
      </c>
      <c r="C30" s="1480" t="s">
        <v>314</v>
      </c>
      <c r="D30" s="952" t="s">
        <v>1280</v>
      </c>
      <c r="E30" s="936">
        <v>1</v>
      </c>
      <c r="F30" s="455"/>
      <c r="H30" s="903"/>
      <c r="I30" s="903"/>
      <c r="J30" s="937"/>
      <c r="K30" s="924" t="str">
        <f t="shared" si="2"/>
        <v/>
      </c>
      <c r="L30" s="924" t="str">
        <f t="shared" si="3"/>
        <v/>
      </c>
      <c r="M30" s="496"/>
      <c r="N30" s="496"/>
      <c r="O30" s="496"/>
      <c r="P30" s="496" t="s">
        <v>242</v>
      </c>
      <c r="Q30" s="846" t="b">
        <v>0</v>
      </c>
    </row>
    <row r="31" spans="1:17" ht="45" customHeight="1">
      <c r="A31" s="222"/>
      <c r="B31" s="1452"/>
      <c r="C31" s="1481"/>
      <c r="D31" s="952" t="s">
        <v>1281</v>
      </c>
      <c r="E31" s="936">
        <v>1</v>
      </c>
      <c r="F31" s="455"/>
      <c r="H31" s="903"/>
      <c r="I31" s="903"/>
      <c r="J31" s="937"/>
      <c r="K31" s="924" t="str">
        <f t="shared" si="2"/>
        <v/>
      </c>
      <c r="L31" s="924" t="str">
        <f t="shared" si="3"/>
        <v/>
      </c>
      <c r="M31" s="496"/>
      <c r="N31" s="496"/>
      <c r="O31" s="496"/>
      <c r="P31" s="496" t="s">
        <v>242</v>
      </c>
      <c r="Q31" s="846" t="b">
        <v>0</v>
      </c>
    </row>
    <row r="32" spans="1:17" ht="45" customHeight="1">
      <c r="A32" s="222"/>
      <c r="B32" s="1451" t="s">
        <v>1126</v>
      </c>
      <c r="C32" s="1480" t="s">
        <v>1127</v>
      </c>
      <c r="D32" s="952" t="s">
        <v>1128</v>
      </c>
      <c r="E32" s="936">
        <v>1</v>
      </c>
      <c r="F32" s="455"/>
      <c r="H32" s="903"/>
      <c r="I32" s="903"/>
      <c r="J32" s="937"/>
      <c r="K32" s="924"/>
      <c r="L32" s="924"/>
      <c r="M32" s="496"/>
      <c r="N32" s="496"/>
      <c r="O32" s="496"/>
      <c r="P32" s="496"/>
      <c r="Q32" s="846"/>
    </row>
    <row r="33" spans="1:17" s="247" customFormat="1" ht="45" customHeight="1">
      <c r="B33" s="1455"/>
      <c r="C33" s="1483"/>
      <c r="D33" s="952" t="s">
        <v>1129</v>
      </c>
      <c r="E33" s="936">
        <v>1</v>
      </c>
      <c r="F33" s="455"/>
      <c r="G33" s="192"/>
      <c r="H33" s="903"/>
      <c r="I33" s="903"/>
      <c r="J33" s="937"/>
      <c r="K33" s="924"/>
      <c r="L33" s="924"/>
      <c r="M33" s="496"/>
      <c r="N33" s="222"/>
      <c r="O33" s="222"/>
      <c r="Q33" s="246"/>
    </row>
    <row r="34" spans="1:17" ht="45" customHeight="1">
      <c r="A34" s="222"/>
      <c r="B34" s="1452"/>
      <c r="C34" s="1481"/>
      <c r="D34" s="952" t="s">
        <v>991</v>
      </c>
      <c r="E34" s="936">
        <v>1</v>
      </c>
      <c r="F34" s="455"/>
      <c r="H34" s="903"/>
      <c r="I34" s="903"/>
      <c r="J34" s="937"/>
      <c r="K34" s="924" t="str">
        <f>IF(OR(ISBLANK($F34)=FALSE,$Q34=TRUE),IF(H34="","No","Yes"),"")</f>
        <v/>
      </c>
      <c r="L34" s="924" t="str">
        <f>IF(ISBLANK($F34)=FALSE,IF(I34="","No","Yes"),IF($Q34=TRUE,"NA",""))</f>
        <v/>
      </c>
      <c r="M34" s="496"/>
      <c r="N34" s="496"/>
      <c r="O34" s="496"/>
      <c r="P34" s="496" t="s">
        <v>242</v>
      </c>
      <c r="Q34" s="846" t="b">
        <v>0</v>
      </c>
    </row>
    <row r="35" spans="1:17" ht="45" customHeight="1">
      <c r="A35" s="222"/>
      <c r="B35" s="251" t="s">
        <v>1132</v>
      </c>
      <c r="C35" s="952" t="s">
        <v>1133</v>
      </c>
      <c r="D35" s="952"/>
      <c r="E35" s="936">
        <v>1</v>
      </c>
      <c r="F35" s="455"/>
      <c r="H35" s="903"/>
      <c r="I35" s="903"/>
      <c r="J35" s="937"/>
      <c r="K35" s="924" t="str">
        <f>IF(OR(ISBLANK($F35)=FALSE,$Q35=TRUE),IF(H35="","No","Yes"),"")</f>
        <v/>
      </c>
      <c r="L35" s="924" t="str">
        <f>IF(ISBLANK($F35)=FALSE,IF(I35="","No","Yes"),IF($Q35=TRUE,"NA",""))</f>
        <v/>
      </c>
      <c r="M35" s="496"/>
      <c r="N35" s="496"/>
      <c r="O35" s="496"/>
      <c r="P35" s="496" t="s">
        <v>242</v>
      </c>
      <c r="Q35" s="846" t="b">
        <v>0</v>
      </c>
    </row>
    <row r="36" spans="1:17" ht="45" customHeight="1">
      <c r="A36" s="222"/>
      <c r="B36" s="251" t="s">
        <v>1136</v>
      </c>
      <c r="C36" s="952" t="s">
        <v>1137</v>
      </c>
      <c r="D36" s="952"/>
      <c r="E36" s="936">
        <v>1</v>
      </c>
      <c r="F36" s="455"/>
      <c r="H36" s="903"/>
      <c r="I36" s="903"/>
      <c r="J36" s="937"/>
      <c r="K36" s="924" t="str">
        <f>IF(ISBLANK($F36)=FALSE,IF(H36="","No","Yes"),"")</f>
        <v/>
      </c>
      <c r="L36" s="924" t="str">
        <f>IF(ISBLANK($F36)=FALSE,IF(I36="","No","Yes"),"")</f>
        <v/>
      </c>
      <c r="M36" s="496"/>
      <c r="N36" s="496"/>
      <c r="O36" s="496"/>
      <c r="P36" s="496"/>
      <c r="Q36" s="846"/>
    </row>
    <row r="37" spans="1:17" s="247" customFormat="1" ht="45" customHeight="1">
      <c r="B37" s="251" t="s">
        <v>1140</v>
      </c>
      <c r="C37" s="952" t="s">
        <v>1141</v>
      </c>
      <c r="D37" s="952"/>
      <c r="E37" s="936">
        <v>1</v>
      </c>
      <c r="F37" s="455"/>
      <c r="G37" s="192"/>
      <c r="H37" s="903"/>
      <c r="I37" s="903"/>
      <c r="J37" s="937"/>
      <c r="K37" s="924" t="str">
        <f>IF(ISBLANK($F37)=FALSE,IF(H37="","No","Yes"),"")</f>
        <v/>
      </c>
      <c r="L37" s="924" t="str">
        <f>IF(ISBLANK($F37)=FALSE,IF(I37="","No","Yes"),"")</f>
        <v/>
      </c>
      <c r="M37" s="496"/>
      <c r="N37" s="222"/>
      <c r="O37" s="222"/>
      <c r="Q37" s="246"/>
    </row>
    <row r="38" spans="1:17" ht="45" customHeight="1">
      <c r="A38" s="222"/>
      <c r="B38" s="251" t="s">
        <v>1142</v>
      </c>
      <c r="C38" s="952" t="s">
        <v>1143</v>
      </c>
      <c r="D38" s="952"/>
      <c r="E38" s="936">
        <v>2</v>
      </c>
      <c r="F38" s="455"/>
      <c r="H38" s="903"/>
      <c r="I38" s="903"/>
      <c r="J38" s="937"/>
      <c r="K38" s="924" t="str">
        <f>IF(OR(ISBLANK($F38)=FALSE,$Q38=TRUE),IF(H38="","No","Yes"),"")</f>
        <v/>
      </c>
      <c r="L38" s="924" t="str">
        <f>IF(ISBLANK($F38)=FALSE,IF(I38="","No","Yes"),IF($Q38=TRUE,"NA",""))</f>
        <v/>
      </c>
      <c r="M38" s="496"/>
      <c r="N38" s="496"/>
      <c r="O38" s="496"/>
      <c r="P38" s="496" t="s">
        <v>242</v>
      </c>
      <c r="Q38" s="846" t="b">
        <v>0</v>
      </c>
    </row>
    <row r="39" spans="1:17" ht="45" customHeight="1">
      <c r="A39" s="222"/>
      <c r="B39" s="251" t="s">
        <v>1282</v>
      </c>
      <c r="C39" s="952" t="s">
        <v>1135</v>
      </c>
      <c r="D39" s="952"/>
      <c r="E39" s="936">
        <v>1</v>
      </c>
      <c r="F39" s="455"/>
      <c r="H39" s="903"/>
      <c r="I39" s="903"/>
      <c r="J39" s="937"/>
      <c r="K39" s="924" t="str">
        <f>IF(ISBLANK($F39)=FALSE,IF(H39="","No","Yes"),"")</f>
        <v/>
      </c>
      <c r="L39" s="924" t="str">
        <f>IF(ISBLANK($F39)=FALSE,IF(I39="","No","Yes"),"")</f>
        <v/>
      </c>
      <c r="M39" s="496"/>
      <c r="N39" s="496"/>
      <c r="O39" s="496"/>
      <c r="P39" s="496"/>
      <c r="Q39" s="846"/>
    </row>
    <row r="40" spans="1:17" ht="45" customHeight="1">
      <c r="A40" s="222"/>
      <c r="B40" s="251" t="s">
        <v>1150</v>
      </c>
      <c r="C40" s="952" t="s">
        <v>1283</v>
      </c>
      <c r="D40" s="952"/>
      <c r="E40" s="936">
        <v>2</v>
      </c>
      <c r="F40" s="455"/>
      <c r="H40" s="903"/>
      <c r="I40" s="903"/>
      <c r="J40" s="937"/>
      <c r="K40" s="924" t="str">
        <f>IF(ISBLANK($F40)=FALSE,IF(H40="","No","Yes"),"")</f>
        <v/>
      </c>
      <c r="L40" s="924" t="str">
        <f>IF(ISBLANK($F40)=FALSE,IF(I40="","No","Yes"),"")</f>
        <v/>
      </c>
      <c r="M40" s="496"/>
      <c r="N40" s="496"/>
      <c r="O40" s="496"/>
      <c r="P40" s="496"/>
      <c r="Q40" s="846"/>
    </row>
    <row r="41" spans="1:17" ht="45" customHeight="1">
      <c r="A41" s="222"/>
      <c r="B41" s="251" t="s">
        <v>1284</v>
      </c>
      <c r="C41" s="952" t="s">
        <v>1285</v>
      </c>
      <c r="D41" s="952"/>
      <c r="E41" s="936">
        <v>2</v>
      </c>
      <c r="F41" s="455"/>
      <c r="H41" s="903"/>
      <c r="I41" s="903"/>
      <c r="J41" s="937"/>
      <c r="K41" s="924" t="str">
        <f>IF(OR(ISBLANK($F41)=FALSE,$Q41=TRUE),IF(H41="","No","Yes"),"")</f>
        <v/>
      </c>
      <c r="L41" s="924" t="str">
        <f>IF(ISBLANK($F41)=FALSE,IF(I41="","No","Yes"),IF($Q41=TRUE,"NA",""))</f>
        <v/>
      </c>
      <c r="M41" s="496"/>
      <c r="N41" s="496"/>
      <c r="O41" s="496"/>
      <c r="P41" s="496" t="s">
        <v>242</v>
      </c>
      <c r="Q41" s="846" t="b">
        <v>0</v>
      </c>
    </row>
    <row r="42" spans="1:17" ht="45" customHeight="1">
      <c r="A42" s="222"/>
      <c r="B42" s="218" t="s">
        <v>963</v>
      </c>
      <c r="C42" s="176"/>
      <c r="D42" s="176"/>
      <c r="E42" s="85">
        <f>SUM(E22:E41)</f>
        <v>28</v>
      </c>
      <c r="F42" s="216" t="str">
        <f>IFERROR(SUM(F22:F41)/E42*E21*100,"")</f>
        <v/>
      </c>
      <c r="H42" s="176"/>
      <c r="I42" s="176"/>
      <c r="J42" s="176"/>
      <c r="K42" s="176"/>
      <c r="L42" s="176"/>
      <c r="M42" s="496"/>
      <c r="N42" s="496"/>
      <c r="O42" s="496"/>
      <c r="P42" s="496"/>
      <c r="Q42" s="846"/>
    </row>
    <row r="43" spans="1:17" s="247" customFormat="1" ht="45" customHeight="1">
      <c r="B43" s="254"/>
      <c r="C43" s="222"/>
      <c r="D43" s="222"/>
      <c r="E43" s="196"/>
      <c r="F43" s="196"/>
      <c r="G43" s="192"/>
      <c r="H43" s="496"/>
      <c r="I43" s="496"/>
      <c r="J43" s="496"/>
      <c r="K43" s="496"/>
      <c r="L43" s="496"/>
      <c r="M43" s="496"/>
      <c r="Q43" s="246"/>
    </row>
    <row r="44" spans="1:17" ht="45" customHeight="1">
      <c r="A44" s="496"/>
      <c r="B44" s="204" t="s">
        <v>335</v>
      </c>
      <c r="C44" s="205"/>
      <c r="D44" s="206" t="s">
        <v>1089</v>
      </c>
      <c r="E44" s="207" t="str">
        <f>IFERROR(VLOOKUP($F$2,$S$3:$AA$10,4,FALSE),"")</f>
        <v/>
      </c>
      <c r="F44" s="208"/>
      <c r="H44" s="226"/>
      <c r="I44" s="226"/>
      <c r="J44" s="226"/>
      <c r="K44" s="226"/>
      <c r="L44" s="226"/>
      <c r="M44" s="496"/>
      <c r="N44" s="496"/>
      <c r="O44" s="496"/>
      <c r="P44" s="496"/>
      <c r="Q44" s="846"/>
    </row>
    <row r="45" spans="1:17" ht="45" customHeight="1">
      <c r="A45" s="222"/>
      <c r="B45" s="251" t="s">
        <v>1152</v>
      </c>
      <c r="C45" s="952" t="s">
        <v>338</v>
      </c>
      <c r="D45" s="952"/>
      <c r="E45" s="936" t="s">
        <v>264</v>
      </c>
      <c r="F45" s="455"/>
      <c r="H45" s="903"/>
      <c r="I45" s="903"/>
      <c r="J45" s="937"/>
      <c r="K45" s="924" t="str">
        <f t="shared" ref="K45:L47" si="4">IF(ISBLANK($F45)=FALSE,IF(H45="","No","Yes"),"")</f>
        <v/>
      </c>
      <c r="L45" s="924" t="str">
        <f t="shared" si="4"/>
        <v/>
      </c>
      <c r="M45" s="496"/>
      <c r="N45" s="496"/>
      <c r="O45" s="496"/>
      <c r="P45" s="496"/>
      <c r="Q45" s="846"/>
    </row>
    <row r="46" spans="1:17" ht="45" customHeight="1">
      <c r="A46" s="222"/>
      <c r="B46" s="251" t="s">
        <v>1153</v>
      </c>
      <c r="C46" s="952" t="s">
        <v>336</v>
      </c>
      <c r="D46" s="952"/>
      <c r="E46" s="936">
        <v>20</v>
      </c>
      <c r="F46" s="455"/>
      <c r="H46" s="903"/>
      <c r="I46" s="903"/>
      <c r="J46" s="937"/>
      <c r="K46" s="924" t="str">
        <f t="shared" si="4"/>
        <v/>
      </c>
      <c r="L46" s="924" t="str">
        <f t="shared" si="4"/>
        <v/>
      </c>
      <c r="M46" s="496"/>
      <c r="N46" s="496"/>
      <c r="O46" s="496"/>
      <c r="P46" s="496"/>
      <c r="Q46" s="846"/>
    </row>
    <row r="47" spans="1:17" ht="45" customHeight="1">
      <c r="A47" s="222"/>
      <c r="B47" s="251" t="s">
        <v>1156</v>
      </c>
      <c r="C47" s="952" t="s">
        <v>1157</v>
      </c>
      <c r="D47" s="952"/>
      <c r="E47" s="936">
        <v>2</v>
      </c>
      <c r="F47" s="455"/>
      <c r="H47" s="903"/>
      <c r="I47" s="903"/>
      <c r="J47" s="937"/>
      <c r="K47" s="924" t="str">
        <f t="shared" si="4"/>
        <v/>
      </c>
      <c r="L47" s="924" t="str">
        <f t="shared" si="4"/>
        <v/>
      </c>
      <c r="M47" s="496"/>
      <c r="N47" s="496"/>
      <c r="O47" s="496"/>
      <c r="P47" s="496"/>
      <c r="Q47" s="846"/>
    </row>
    <row r="48" spans="1:17" s="247" customFormat="1" ht="45" customHeight="1">
      <c r="B48" s="218" t="s">
        <v>963</v>
      </c>
      <c r="C48" s="176"/>
      <c r="D48" s="176"/>
      <c r="E48" s="85">
        <f>SUM(E45:E47)</f>
        <v>22</v>
      </c>
      <c r="F48" s="216" t="str">
        <f>IFERROR(SUM(F45:F47)/E48*E44*100,"")</f>
        <v/>
      </c>
      <c r="G48" s="192"/>
      <c r="H48" s="176"/>
      <c r="I48" s="176"/>
      <c r="J48" s="176"/>
      <c r="K48" s="176"/>
      <c r="L48" s="176"/>
      <c r="M48" s="496"/>
      <c r="N48" s="222"/>
      <c r="O48" s="222"/>
      <c r="Q48" s="246"/>
    </row>
    <row r="49" spans="1:17" ht="45" customHeight="1">
      <c r="A49" s="222"/>
      <c r="B49" s="254"/>
      <c r="C49" s="222"/>
      <c r="D49" s="222"/>
      <c r="E49" s="196"/>
      <c r="F49" s="196"/>
      <c r="H49" s="496"/>
      <c r="I49" s="496"/>
      <c r="J49" s="496"/>
      <c r="K49" s="496"/>
      <c r="L49" s="496"/>
      <c r="M49" s="496"/>
      <c r="N49" s="496"/>
      <c r="O49" s="496"/>
      <c r="P49" s="496"/>
      <c r="Q49" s="846"/>
    </row>
    <row r="50" spans="1:17" ht="45" customHeight="1">
      <c r="A50" s="222"/>
      <c r="B50" s="204" t="s">
        <v>345</v>
      </c>
      <c r="C50" s="205"/>
      <c r="D50" s="206" t="s">
        <v>1089</v>
      </c>
      <c r="E50" s="207" t="str">
        <f>IFERROR(VLOOKUP($F$2,$S$3:$AA$10,5,FALSE),"")</f>
        <v/>
      </c>
      <c r="F50" s="208"/>
      <c r="H50" s="226"/>
      <c r="I50" s="226"/>
      <c r="J50" s="226"/>
      <c r="K50" s="226"/>
      <c r="L50" s="226"/>
      <c r="M50" s="496"/>
      <c r="N50" s="496"/>
      <c r="O50" s="496"/>
      <c r="P50" s="496"/>
      <c r="Q50" s="846"/>
    </row>
    <row r="51" spans="1:17" ht="45" customHeight="1">
      <c r="A51" s="222"/>
      <c r="B51" s="251" t="s">
        <v>1164</v>
      </c>
      <c r="C51" s="952" t="s">
        <v>1165</v>
      </c>
      <c r="D51" s="952"/>
      <c r="E51" s="936">
        <v>2</v>
      </c>
      <c r="F51" s="455"/>
      <c r="H51" s="903"/>
      <c r="I51" s="903"/>
      <c r="J51" s="937"/>
      <c r="K51" s="924" t="str">
        <f>IF(OR(ISBLANK($F51)=FALSE,$Q51=TRUE),IF(H51="","No","Yes"),"")</f>
        <v/>
      </c>
      <c r="L51" s="924" t="str">
        <f>IF(ISBLANK($F51)=FALSE,IF(I51="","No","Yes"),IF($Q51=TRUE,"NA",""))</f>
        <v/>
      </c>
      <c r="M51" s="496"/>
      <c r="N51" s="496"/>
      <c r="O51" s="496"/>
      <c r="P51" s="496" t="s">
        <v>242</v>
      </c>
      <c r="Q51" s="846" t="b">
        <v>0</v>
      </c>
    </row>
    <row r="52" spans="1:17" ht="45" customHeight="1">
      <c r="A52" s="222"/>
      <c r="B52" s="251" t="s">
        <v>1166</v>
      </c>
      <c r="C52" s="952" t="s">
        <v>1167</v>
      </c>
      <c r="D52" s="952"/>
      <c r="E52" s="936">
        <v>1</v>
      </c>
      <c r="F52" s="455"/>
      <c r="H52" s="903"/>
      <c r="I52" s="903"/>
      <c r="J52" s="937"/>
      <c r="K52" s="924" t="str">
        <f>IF(OR(ISBLANK($F52)=FALSE,$Q52=TRUE),IF(H52="","No","Yes"),"")</f>
        <v/>
      </c>
      <c r="L52" s="924" t="str">
        <f>IF(ISBLANK($F52)=FALSE,IF(I52="","No","Yes"),IF($Q52=TRUE,"NA",""))</f>
        <v/>
      </c>
      <c r="M52" s="496"/>
      <c r="N52" s="496"/>
      <c r="O52" s="496"/>
      <c r="P52" s="496" t="s">
        <v>242</v>
      </c>
      <c r="Q52" s="846" t="b">
        <v>0</v>
      </c>
    </row>
    <row r="53" spans="1:17" ht="45" customHeight="1">
      <c r="A53" s="222"/>
      <c r="B53" s="251" t="s">
        <v>1168</v>
      </c>
      <c r="C53" s="952" t="s">
        <v>1169</v>
      </c>
      <c r="D53" s="952"/>
      <c r="E53" s="936">
        <v>2</v>
      </c>
      <c r="F53" s="455"/>
      <c r="H53" s="903"/>
      <c r="I53" s="903"/>
      <c r="J53" s="937"/>
      <c r="K53" s="924" t="str">
        <f t="shared" ref="K53:L55" si="5">IF(ISBLANK($F53)=FALSE,IF(H53="","No","Yes"),"")</f>
        <v/>
      </c>
      <c r="L53" s="924" t="str">
        <f t="shared" si="5"/>
        <v/>
      </c>
      <c r="M53" s="496"/>
      <c r="N53" s="496"/>
      <c r="O53" s="496"/>
      <c r="P53" s="496"/>
      <c r="Q53" s="846"/>
    </row>
    <row r="54" spans="1:17" ht="45" customHeight="1">
      <c r="A54" s="222"/>
      <c r="B54" s="251" t="s">
        <v>1172</v>
      </c>
      <c r="C54" s="952" t="s">
        <v>985</v>
      </c>
      <c r="D54" s="952"/>
      <c r="E54" s="936">
        <v>5</v>
      </c>
      <c r="F54" s="455"/>
      <c r="H54" s="903"/>
      <c r="I54" s="903"/>
      <c r="J54" s="937"/>
      <c r="K54" s="924" t="str">
        <f t="shared" si="5"/>
        <v/>
      </c>
      <c r="L54" s="924" t="str">
        <f t="shared" si="5"/>
        <v/>
      </c>
      <c r="M54" s="496"/>
      <c r="N54" s="496"/>
      <c r="O54" s="496"/>
      <c r="P54" s="496"/>
      <c r="Q54" s="846"/>
    </row>
    <row r="55" spans="1:17" ht="45" customHeight="1">
      <c r="A55" s="222"/>
      <c r="B55" s="251" t="s">
        <v>1173</v>
      </c>
      <c r="C55" s="952" t="s">
        <v>1286</v>
      </c>
      <c r="D55" s="952"/>
      <c r="E55" s="936">
        <v>2</v>
      </c>
      <c r="F55" s="455"/>
      <c r="H55" s="903"/>
      <c r="I55" s="903"/>
      <c r="J55" s="937"/>
      <c r="K55" s="924" t="str">
        <f t="shared" si="5"/>
        <v/>
      </c>
      <c r="L55" s="924" t="str">
        <f t="shared" si="5"/>
        <v/>
      </c>
      <c r="M55" s="496"/>
      <c r="N55" s="496"/>
      <c r="O55" s="496"/>
      <c r="P55" s="496"/>
      <c r="Q55" s="846"/>
    </row>
    <row r="56" spans="1:17" ht="45" customHeight="1">
      <c r="A56" s="222"/>
      <c r="B56" s="218" t="s">
        <v>963</v>
      </c>
      <c r="C56" s="176"/>
      <c r="D56" s="176"/>
      <c r="E56" s="85">
        <f>SUM(E51:E55)</f>
        <v>12</v>
      </c>
      <c r="F56" s="216" t="str">
        <f>IFERROR(SUM(F51:F55)/E56*E50*100,"")</f>
        <v/>
      </c>
      <c r="H56" s="176"/>
      <c r="I56" s="176"/>
      <c r="J56" s="176"/>
      <c r="K56" s="176"/>
      <c r="L56" s="176"/>
      <c r="M56" s="496"/>
      <c r="N56" s="496"/>
      <c r="O56" s="496"/>
      <c r="P56" s="496"/>
      <c r="Q56" s="846"/>
    </row>
    <row r="57" spans="1:17" ht="45" customHeight="1">
      <c r="A57" s="496"/>
      <c r="B57" s="254"/>
      <c r="C57" s="222"/>
      <c r="D57" s="222"/>
      <c r="E57" s="196"/>
      <c r="F57" s="196"/>
      <c r="H57" s="496"/>
      <c r="I57" s="496"/>
      <c r="J57" s="496"/>
      <c r="K57" s="496"/>
      <c r="L57" s="496"/>
      <c r="M57" s="496"/>
      <c r="N57" s="496"/>
      <c r="O57" s="496"/>
      <c r="P57" s="496"/>
      <c r="Q57" s="846"/>
    </row>
    <row r="58" spans="1:17" ht="45" customHeight="1">
      <c r="A58" s="222"/>
      <c r="B58" s="204" t="s">
        <v>353</v>
      </c>
      <c r="C58" s="205"/>
      <c r="D58" s="206" t="s">
        <v>1089</v>
      </c>
      <c r="E58" s="207" t="str">
        <f>IFERROR(VLOOKUP($F$2,$S$3:$AA$10,6,FALSE),"")</f>
        <v/>
      </c>
      <c r="F58" s="208"/>
      <c r="H58" s="226"/>
      <c r="I58" s="226"/>
      <c r="J58" s="226"/>
      <c r="K58" s="226"/>
      <c r="L58" s="226"/>
      <c r="M58" s="496"/>
      <c r="N58" s="496"/>
      <c r="O58" s="496"/>
      <c r="P58" s="496"/>
      <c r="Q58" s="846"/>
    </row>
    <row r="59" spans="1:17" ht="45" customHeight="1">
      <c r="A59" s="222"/>
      <c r="B59" s="251" t="s">
        <v>1175</v>
      </c>
      <c r="C59" s="952" t="s">
        <v>1176</v>
      </c>
      <c r="D59" s="952"/>
      <c r="E59" s="936">
        <v>5</v>
      </c>
      <c r="F59" s="455"/>
      <c r="H59" s="903"/>
      <c r="I59" s="903"/>
      <c r="J59" s="937"/>
      <c r="K59" s="924" t="str">
        <f t="shared" ref="K59:L61" si="6">IF(ISBLANK($F59)=FALSE,IF(H59="","No","Yes"),"")</f>
        <v/>
      </c>
      <c r="L59" s="924" t="str">
        <f t="shared" si="6"/>
        <v/>
      </c>
      <c r="M59" s="496"/>
      <c r="N59" s="496"/>
      <c r="O59" s="496"/>
      <c r="P59" s="496"/>
      <c r="Q59" s="846"/>
    </row>
    <row r="60" spans="1:17" ht="45" customHeight="1">
      <c r="A60" s="222"/>
      <c r="B60" s="251" t="s">
        <v>1179</v>
      </c>
      <c r="C60" s="952" t="s">
        <v>364</v>
      </c>
      <c r="D60" s="952"/>
      <c r="E60" s="936">
        <v>1</v>
      </c>
      <c r="F60" s="455"/>
      <c r="H60" s="903"/>
      <c r="I60" s="903"/>
      <c r="J60" s="937"/>
      <c r="K60" s="924" t="str">
        <f>IF(OR(ISBLANK($F60)=FALSE,$Q60=TRUE),IF(H60="","No","Yes"),"")</f>
        <v/>
      </c>
      <c r="L60" s="924" t="str">
        <f>IF(ISBLANK($F60)=FALSE,IF(I60="","No","Yes"),IF($Q60=TRUE,"NA",""))</f>
        <v/>
      </c>
      <c r="M60" s="496"/>
      <c r="N60" s="496"/>
      <c r="O60" s="496"/>
      <c r="P60" s="496" t="s">
        <v>242</v>
      </c>
      <c r="Q60" s="846" t="b">
        <v>0</v>
      </c>
    </row>
    <row r="61" spans="1:17" ht="45" customHeight="1">
      <c r="A61" s="222"/>
      <c r="B61" s="251" t="s">
        <v>1180</v>
      </c>
      <c r="C61" s="952" t="s">
        <v>1181</v>
      </c>
      <c r="D61" s="952"/>
      <c r="E61" s="936">
        <v>2</v>
      </c>
      <c r="F61" s="455"/>
      <c r="H61" s="903"/>
      <c r="I61" s="903"/>
      <c r="J61" s="937"/>
      <c r="K61" s="924" t="str">
        <f t="shared" si="6"/>
        <v/>
      </c>
      <c r="L61" s="924" t="str">
        <f t="shared" si="6"/>
        <v/>
      </c>
      <c r="M61" s="496"/>
      <c r="N61" s="496"/>
      <c r="O61" s="496"/>
      <c r="P61" s="496"/>
      <c r="Q61" s="846"/>
    </row>
    <row r="62" spans="1:17" ht="45" customHeight="1">
      <c r="A62" s="222"/>
      <c r="B62" s="251" t="s">
        <v>1182</v>
      </c>
      <c r="C62" s="952" t="s">
        <v>1287</v>
      </c>
      <c r="D62" s="952"/>
      <c r="E62" s="936">
        <v>2</v>
      </c>
      <c r="F62" s="455"/>
      <c r="H62" s="903"/>
      <c r="I62" s="903"/>
      <c r="J62" s="937"/>
      <c r="K62" s="924" t="str">
        <f>IF(OR(ISBLANK($F62)=FALSE,$Q62=TRUE),IF(H62="","No","Yes"),"")</f>
        <v/>
      </c>
      <c r="L62" s="924" t="str">
        <f>IF(ISBLANK($F62)=FALSE,IF(I62="","No","Yes"),IF($Q62=TRUE,"NA",""))</f>
        <v/>
      </c>
      <c r="M62" s="496"/>
      <c r="N62" s="496"/>
      <c r="O62" s="496"/>
      <c r="P62" s="496" t="s">
        <v>242</v>
      </c>
      <c r="Q62" s="846" t="b">
        <v>0</v>
      </c>
    </row>
    <row r="63" spans="1:17" ht="45" customHeight="1">
      <c r="A63" s="496"/>
      <c r="B63" s="218" t="s">
        <v>963</v>
      </c>
      <c r="C63" s="176"/>
      <c r="D63" s="176"/>
      <c r="E63" s="85">
        <f>SUM(E59:E62)</f>
        <v>10</v>
      </c>
      <c r="F63" s="216" t="str">
        <f>IFERROR(SUM(F59:F62)/E63*E58*100,"")</f>
        <v/>
      </c>
      <c r="H63" s="176"/>
      <c r="I63" s="176"/>
      <c r="J63" s="176"/>
      <c r="K63" s="176"/>
      <c r="L63" s="176"/>
      <c r="M63" s="496"/>
      <c r="N63" s="496"/>
      <c r="O63" s="496"/>
      <c r="P63" s="496"/>
      <c r="Q63" s="846"/>
    </row>
    <row r="64" spans="1:17" ht="45" customHeight="1">
      <c r="A64" s="222"/>
      <c r="B64" s="254"/>
      <c r="C64" s="222"/>
      <c r="D64" s="222"/>
      <c r="E64" s="196"/>
      <c r="F64" s="196"/>
      <c r="H64" s="496"/>
      <c r="I64" s="496"/>
      <c r="J64" s="496"/>
      <c r="K64" s="496"/>
      <c r="L64" s="496"/>
      <c r="M64" s="496"/>
      <c r="N64" s="496"/>
      <c r="O64" s="496"/>
      <c r="P64" s="496"/>
      <c r="Q64" s="846"/>
    </row>
    <row r="65" spans="1:17" ht="45" customHeight="1">
      <c r="A65" s="222"/>
      <c r="B65" s="204" t="s">
        <v>367</v>
      </c>
      <c r="C65" s="205"/>
      <c r="D65" s="206" t="s">
        <v>1089</v>
      </c>
      <c r="E65" s="207" t="str">
        <f>IFERROR(VLOOKUP($F$2,$S$3:$AA$10,7,FALSE),"")</f>
        <v/>
      </c>
      <c r="F65" s="208"/>
      <c r="H65" s="226"/>
      <c r="I65" s="226"/>
      <c r="J65" s="226"/>
      <c r="K65" s="226"/>
      <c r="L65" s="226"/>
      <c r="M65" s="496"/>
      <c r="N65" s="496"/>
      <c r="O65" s="496"/>
      <c r="P65" s="496"/>
      <c r="Q65" s="846"/>
    </row>
    <row r="66" spans="1:17" ht="45" customHeight="1">
      <c r="A66" s="222"/>
      <c r="B66" s="251" t="s">
        <v>1186</v>
      </c>
      <c r="C66" s="952" t="s">
        <v>1187</v>
      </c>
      <c r="D66" s="952"/>
      <c r="E66" s="936">
        <v>2</v>
      </c>
      <c r="F66" s="455"/>
      <c r="H66" s="903"/>
      <c r="I66" s="903"/>
      <c r="J66" s="937"/>
      <c r="K66" s="924" t="str">
        <f>IF(ISBLANK($F66)=FALSE,IF(H66="","No","Yes"),"")</f>
        <v/>
      </c>
      <c r="L66" s="924" t="str">
        <f>IF(ISBLANK($F66)=FALSE,IF(I66="","No","Yes"),"")</f>
        <v/>
      </c>
      <c r="M66" s="496"/>
      <c r="N66" s="496"/>
      <c r="O66" s="496"/>
      <c r="P66" s="496"/>
      <c r="Q66" s="846"/>
    </row>
    <row r="67" spans="1:17" ht="45" customHeight="1">
      <c r="A67" s="222"/>
      <c r="B67" s="1451" t="s">
        <v>1188</v>
      </c>
      <c r="C67" s="1480" t="s">
        <v>380</v>
      </c>
      <c r="D67" s="952" t="s">
        <v>1189</v>
      </c>
      <c r="E67" s="936">
        <v>2</v>
      </c>
      <c r="F67" s="455"/>
      <c r="H67" s="903"/>
      <c r="I67" s="903"/>
      <c r="J67" s="937"/>
      <c r="K67" s="924" t="str">
        <f>IF(OR(ISBLANK($F67)=FALSE,$Q67=TRUE),IF(H67="","No","Yes"),"")</f>
        <v/>
      </c>
      <c r="L67" s="924" t="str">
        <f>IF(ISBLANK($F67)=FALSE,IF(I67="","No","Yes"),IF($Q67=TRUE,"NA",""))</f>
        <v/>
      </c>
      <c r="M67" s="496"/>
      <c r="N67" s="496"/>
      <c r="O67" s="496"/>
      <c r="P67" s="496" t="s">
        <v>242</v>
      </c>
      <c r="Q67" s="846" t="b">
        <v>0</v>
      </c>
    </row>
    <row r="68" spans="1:17" ht="45" customHeight="1">
      <c r="A68" s="222"/>
      <c r="B68" s="1452"/>
      <c r="C68" s="1481"/>
      <c r="D68" s="952" t="s">
        <v>1190</v>
      </c>
      <c r="E68" s="936">
        <v>4</v>
      </c>
      <c r="F68" s="455"/>
      <c r="H68" s="903"/>
      <c r="I68" s="903"/>
      <c r="J68" s="937"/>
      <c r="K68" s="924" t="str">
        <f>IF(OR(ISBLANK($F68)=FALSE,$Q68=TRUE),IF(H68="","No","Yes"),"")</f>
        <v/>
      </c>
      <c r="L68" s="924" t="str">
        <f>IF(ISBLANK($F68)=FALSE,IF(I68="","No","Yes"),IF($Q68=TRUE,"NA",""))</f>
        <v/>
      </c>
      <c r="M68" s="496"/>
      <c r="N68" s="496"/>
      <c r="O68" s="496"/>
      <c r="P68" s="496" t="s">
        <v>242</v>
      </c>
      <c r="Q68" s="846" t="b">
        <v>0</v>
      </c>
    </row>
    <row r="69" spans="1:17" ht="45" customHeight="1">
      <c r="A69" s="222"/>
      <c r="B69" s="251" t="s">
        <v>1191</v>
      </c>
      <c r="C69" s="952" t="s">
        <v>1192</v>
      </c>
      <c r="D69" s="952"/>
      <c r="E69" s="936">
        <v>2</v>
      </c>
      <c r="F69" s="455"/>
      <c r="H69" s="903"/>
      <c r="I69" s="903"/>
      <c r="J69" s="937"/>
      <c r="K69" s="924" t="str">
        <f>IF(ISBLANK($F69)=FALSE,IF(H69="","No","Yes"),"")</f>
        <v/>
      </c>
      <c r="L69" s="924" t="str">
        <f>IF(ISBLANK($F69)=FALSE,IF(I69="","No","Yes"),"")</f>
        <v/>
      </c>
      <c r="M69" s="496"/>
      <c r="N69" s="496"/>
      <c r="O69" s="496"/>
      <c r="P69" s="496"/>
      <c r="Q69" s="846"/>
    </row>
    <row r="70" spans="1:17" ht="45" customHeight="1">
      <c r="A70" s="222"/>
      <c r="B70" s="1451" t="s">
        <v>1193</v>
      </c>
      <c r="C70" s="1480" t="s">
        <v>1194</v>
      </c>
      <c r="D70" s="952" t="s">
        <v>1195</v>
      </c>
      <c r="E70" s="936">
        <v>2</v>
      </c>
      <c r="F70" s="455"/>
      <c r="H70" s="903"/>
      <c r="I70" s="903"/>
      <c r="J70" s="937"/>
      <c r="K70" s="924" t="str">
        <f t="shared" ref="K70:K75" si="7">IF(OR(ISBLANK($F70)=FALSE,$Q70=TRUE),IF(H70="","No","Yes"),"")</f>
        <v/>
      </c>
      <c r="L70" s="924" t="str">
        <f t="shared" ref="L70:L75" si="8">IF(ISBLANK($F70)=FALSE,IF(I70="","No","Yes"),IF($Q70=TRUE,"NA",""))</f>
        <v/>
      </c>
      <c r="M70" s="496"/>
      <c r="N70" s="496"/>
      <c r="O70" s="496"/>
      <c r="P70" s="496" t="s">
        <v>242</v>
      </c>
      <c r="Q70" s="846" t="b">
        <v>0</v>
      </c>
    </row>
    <row r="71" spans="1:17" ht="45" customHeight="1">
      <c r="A71" s="222"/>
      <c r="B71" s="1452"/>
      <c r="C71" s="1481"/>
      <c r="D71" s="952" t="s">
        <v>1196</v>
      </c>
      <c r="E71" s="936">
        <v>1</v>
      </c>
      <c r="F71" s="455"/>
      <c r="H71" s="903"/>
      <c r="I71" s="903"/>
      <c r="J71" s="937"/>
      <c r="K71" s="924" t="str">
        <f t="shared" si="7"/>
        <v/>
      </c>
      <c r="L71" s="924" t="str">
        <f t="shared" si="8"/>
        <v/>
      </c>
      <c r="M71" s="496"/>
      <c r="N71" s="496"/>
      <c r="O71" s="496"/>
      <c r="P71" s="496" t="s">
        <v>242</v>
      </c>
      <c r="Q71" s="846" t="b">
        <v>0</v>
      </c>
    </row>
    <row r="72" spans="1:17" ht="45" customHeight="1">
      <c r="A72" s="222"/>
      <c r="B72" s="1451" t="s">
        <v>1197</v>
      </c>
      <c r="C72" s="1480" t="s">
        <v>1198</v>
      </c>
      <c r="D72" s="952" t="s">
        <v>1199</v>
      </c>
      <c r="E72" s="936">
        <v>1</v>
      </c>
      <c r="F72" s="455"/>
      <c r="H72" s="903"/>
      <c r="I72" s="903"/>
      <c r="J72" s="937"/>
      <c r="K72" s="924" t="str">
        <f t="shared" si="7"/>
        <v/>
      </c>
      <c r="L72" s="924" t="str">
        <f t="shared" si="8"/>
        <v/>
      </c>
      <c r="M72" s="496"/>
      <c r="N72" s="496"/>
      <c r="O72" s="496"/>
      <c r="P72" s="496" t="s">
        <v>242</v>
      </c>
      <c r="Q72" s="846" t="b">
        <v>0</v>
      </c>
    </row>
    <row r="73" spans="1:17" ht="45" customHeight="1">
      <c r="A73" s="496"/>
      <c r="B73" s="1452"/>
      <c r="C73" s="1481"/>
      <c r="D73" s="952" t="s">
        <v>1200</v>
      </c>
      <c r="E73" s="936">
        <v>1</v>
      </c>
      <c r="F73" s="455"/>
      <c r="H73" s="903"/>
      <c r="I73" s="903"/>
      <c r="J73" s="937"/>
      <c r="K73" s="924" t="str">
        <f t="shared" si="7"/>
        <v/>
      </c>
      <c r="L73" s="924" t="str">
        <f t="shared" si="8"/>
        <v/>
      </c>
      <c r="M73" s="496"/>
      <c r="N73" s="496"/>
      <c r="O73" s="496"/>
      <c r="P73" s="496" t="s">
        <v>242</v>
      </c>
      <c r="Q73" s="846" t="b">
        <v>0</v>
      </c>
    </row>
    <row r="74" spans="1:17" ht="45" customHeight="1">
      <c r="A74" s="496"/>
      <c r="B74" s="251" t="s">
        <v>1201</v>
      </c>
      <c r="C74" s="952" t="s">
        <v>1202</v>
      </c>
      <c r="D74" s="952"/>
      <c r="E74" s="936">
        <v>2</v>
      </c>
      <c r="F74" s="455"/>
      <c r="H74" s="903"/>
      <c r="I74" s="903"/>
      <c r="J74" s="937"/>
      <c r="K74" s="924" t="str">
        <f t="shared" si="7"/>
        <v/>
      </c>
      <c r="L74" s="924" t="str">
        <f t="shared" si="8"/>
        <v/>
      </c>
      <c r="M74" s="496"/>
      <c r="N74" s="496"/>
      <c r="O74" s="496"/>
      <c r="P74" s="496" t="s">
        <v>242</v>
      </c>
      <c r="Q74" s="846" t="b">
        <v>0</v>
      </c>
    </row>
    <row r="75" spans="1:17" ht="45" customHeight="1">
      <c r="A75" s="496"/>
      <c r="B75" s="251" t="s">
        <v>1203</v>
      </c>
      <c r="C75" s="952" t="s">
        <v>1204</v>
      </c>
      <c r="D75" s="952"/>
      <c r="E75" s="936">
        <v>1</v>
      </c>
      <c r="F75" s="455"/>
      <c r="H75" s="903"/>
      <c r="I75" s="903"/>
      <c r="J75" s="937"/>
      <c r="K75" s="924" t="str">
        <f t="shared" si="7"/>
        <v/>
      </c>
      <c r="L75" s="924" t="str">
        <f t="shared" si="8"/>
        <v/>
      </c>
      <c r="M75" s="496"/>
      <c r="N75" s="496"/>
      <c r="O75" s="496"/>
      <c r="P75" s="496" t="s">
        <v>242</v>
      </c>
      <c r="Q75" s="846" t="b">
        <v>0</v>
      </c>
    </row>
    <row r="76" spans="1:17" ht="45" customHeight="1">
      <c r="A76" s="496"/>
      <c r="B76" s="251" t="s">
        <v>1207</v>
      </c>
      <c r="C76" s="952" t="s">
        <v>1208</v>
      </c>
      <c r="D76" s="952"/>
      <c r="E76" s="936">
        <v>1</v>
      </c>
      <c r="F76" s="455"/>
      <c r="H76" s="903"/>
      <c r="I76" s="903"/>
      <c r="J76" s="937"/>
      <c r="K76" s="924" t="str">
        <f>IF(ISBLANK($F76)=FALSE,IF(H76="","No","Yes"),"")</f>
        <v/>
      </c>
      <c r="L76" s="924" t="str">
        <f>IF(ISBLANK($F76)=FALSE,IF(I76="","No","Yes"),"")</f>
        <v/>
      </c>
      <c r="M76" s="496"/>
      <c r="N76" s="496"/>
      <c r="O76" s="496"/>
      <c r="P76" s="496"/>
      <c r="Q76" s="846"/>
    </row>
    <row r="77" spans="1:17" s="256" customFormat="1" ht="45" customHeight="1">
      <c r="A77" s="256" t="s">
        <v>1288</v>
      </c>
      <c r="B77" s="218" t="s">
        <v>963</v>
      </c>
      <c r="C77" s="176"/>
      <c r="D77" s="176"/>
      <c r="E77" s="85">
        <f>SUM(E66:E76)</f>
        <v>19</v>
      </c>
      <c r="F77" s="216" t="str">
        <f>IFERROR(SUM(F66:F76)/E77*E65*100,"")</f>
        <v/>
      </c>
      <c r="G77" s="192"/>
      <c r="H77" s="176"/>
      <c r="I77" s="176"/>
      <c r="J77" s="176"/>
      <c r="K77" s="176"/>
      <c r="L77" s="176"/>
      <c r="M77" s="496"/>
      <c r="Q77" s="257"/>
    </row>
    <row r="78" spans="1:17" ht="45" customHeight="1">
      <c r="A78" s="192"/>
      <c r="B78" s="254"/>
      <c r="C78" s="222"/>
      <c r="D78" s="222"/>
      <c r="E78" s="196"/>
      <c r="F78" s="196"/>
      <c r="H78" s="496"/>
      <c r="I78" s="496"/>
      <c r="J78" s="496"/>
      <c r="K78" s="496"/>
      <c r="L78" s="496"/>
      <c r="M78" s="192"/>
      <c r="N78" s="496"/>
      <c r="O78" s="496"/>
      <c r="P78" s="496"/>
      <c r="Q78" s="846"/>
    </row>
    <row r="79" spans="1:17" s="256" customFormat="1" ht="45" customHeight="1">
      <c r="A79" s="192"/>
      <c r="B79" s="204" t="s">
        <v>396</v>
      </c>
      <c r="C79" s="205"/>
      <c r="D79" s="206" t="s">
        <v>1089</v>
      </c>
      <c r="E79" s="207" t="str">
        <f>IFERROR(VLOOKUP($F$2,$S$3:$AA$10,8,FALSE),"")</f>
        <v/>
      </c>
      <c r="F79" s="208"/>
      <c r="G79" s="192"/>
      <c r="H79" s="226"/>
      <c r="I79" s="226"/>
      <c r="J79" s="226"/>
      <c r="K79" s="226"/>
      <c r="L79" s="226"/>
      <c r="M79" s="192"/>
      <c r="N79" s="496"/>
      <c r="O79" s="496"/>
      <c r="Q79" s="257"/>
    </row>
    <row r="80" spans="1:17" s="222" customFormat="1" ht="45" customHeight="1">
      <c r="A80" s="192"/>
      <c r="B80" s="251" t="s">
        <v>1218</v>
      </c>
      <c r="C80" s="952" t="s">
        <v>1219</v>
      </c>
      <c r="D80" s="952"/>
      <c r="E80" s="936" t="s">
        <v>264</v>
      </c>
      <c r="F80" s="455"/>
      <c r="G80" s="192"/>
      <c r="H80" s="903"/>
      <c r="I80" s="903"/>
      <c r="J80" s="937"/>
      <c r="K80" s="924" t="str">
        <f t="shared" ref="K80:L84" si="9">IF(ISBLANK($F80)=FALSE,IF(H80="","No","Yes"),"")</f>
        <v/>
      </c>
      <c r="L80" s="924" t="str">
        <f t="shared" si="9"/>
        <v/>
      </c>
      <c r="M80" s="192"/>
      <c r="O80" s="252"/>
      <c r="Q80" s="255"/>
    </row>
    <row r="81" spans="1:17" s="222" customFormat="1" ht="45" customHeight="1">
      <c r="A81" s="192"/>
      <c r="B81" s="251" t="s">
        <v>1039</v>
      </c>
      <c r="C81" s="952" t="s">
        <v>1220</v>
      </c>
      <c r="D81" s="952"/>
      <c r="E81" s="936">
        <v>1</v>
      </c>
      <c r="F81" s="455"/>
      <c r="G81" s="192"/>
      <c r="H81" s="903"/>
      <c r="I81" s="903"/>
      <c r="J81" s="937"/>
      <c r="K81" s="924" t="str">
        <f>IF(OR(ISBLANK($F81)=FALSE,$Q81=TRUE),IF(H81="","No","Yes"),"")</f>
        <v/>
      </c>
      <c r="L81" s="924" t="str">
        <f>IF(ISBLANK($F81)=FALSE,IF(I81="","No","Yes"),IF($Q81=TRUE,"NA",""))</f>
        <v/>
      </c>
      <c r="M81" s="192"/>
      <c r="P81" s="496" t="s">
        <v>242</v>
      </c>
      <c r="Q81" s="255" t="b">
        <v>0</v>
      </c>
    </row>
    <row r="82" spans="1:17" s="222" customFormat="1" ht="45" customHeight="1">
      <c r="A82" s="192"/>
      <c r="B82" s="251" t="s">
        <v>1045</v>
      </c>
      <c r="C82" s="952" t="s">
        <v>1221</v>
      </c>
      <c r="D82" s="952"/>
      <c r="E82" s="936">
        <v>1</v>
      </c>
      <c r="F82" s="455"/>
      <c r="G82" s="192"/>
      <c r="H82" s="903"/>
      <c r="I82" s="903"/>
      <c r="J82" s="937"/>
      <c r="K82" s="924" t="str">
        <f t="shared" si="9"/>
        <v/>
      </c>
      <c r="L82" s="924" t="str">
        <f t="shared" si="9"/>
        <v/>
      </c>
      <c r="M82" s="192"/>
      <c r="Q82" s="255"/>
    </row>
    <row r="83" spans="1:17" s="222" customFormat="1" ht="45" customHeight="1">
      <c r="A83" s="192"/>
      <c r="B83" s="251" t="s">
        <v>1046</v>
      </c>
      <c r="C83" s="952" t="s">
        <v>1222</v>
      </c>
      <c r="D83" s="952"/>
      <c r="E83" s="936">
        <v>2</v>
      </c>
      <c r="F83" s="455"/>
      <c r="G83" s="192"/>
      <c r="H83" s="903"/>
      <c r="I83" s="903"/>
      <c r="J83" s="937"/>
      <c r="K83" s="924" t="str">
        <f>IF(OR(ISBLANK($F83)=FALSE,$Q83=TRUE),IF(H83="","No","Yes"),"")</f>
        <v/>
      </c>
      <c r="L83" s="924" t="str">
        <f>IF(ISBLANK($F83)=FALSE,IF(I83="","No","Yes"),IF($Q83=TRUE,"NA",""))</f>
        <v/>
      </c>
      <c r="M83" s="192"/>
      <c r="P83" s="496" t="s">
        <v>242</v>
      </c>
      <c r="Q83" s="255" t="b">
        <v>0</v>
      </c>
    </row>
    <row r="84" spans="1:17" s="256" customFormat="1" ht="45" customHeight="1">
      <c r="A84" s="192"/>
      <c r="B84" s="251" t="s">
        <v>1047</v>
      </c>
      <c r="C84" s="952" t="s">
        <v>783</v>
      </c>
      <c r="D84" s="952"/>
      <c r="E84" s="936">
        <v>4</v>
      </c>
      <c r="F84" s="455"/>
      <c r="G84" s="192"/>
      <c r="H84" s="903"/>
      <c r="I84" s="903"/>
      <c r="J84" s="937"/>
      <c r="K84" s="924" t="str">
        <f t="shared" si="9"/>
        <v/>
      </c>
      <c r="L84" s="924" t="str">
        <f t="shared" si="9"/>
        <v/>
      </c>
      <c r="M84" s="192"/>
      <c r="N84" s="496"/>
      <c r="O84" s="496"/>
      <c r="Q84" s="257"/>
    </row>
    <row r="85" spans="1:17" ht="45" customHeight="1">
      <c r="A85" s="192"/>
      <c r="B85" s="218" t="s">
        <v>963</v>
      </c>
      <c r="C85" s="176"/>
      <c r="D85" s="176"/>
      <c r="E85" s="85">
        <f>SUM(E80:E84)</f>
        <v>8</v>
      </c>
      <c r="F85" s="216" t="str">
        <f>IFERROR(SUM(F80:F84)/E85*E79*100,"")</f>
        <v/>
      </c>
      <c r="H85" s="176"/>
      <c r="I85" s="176"/>
      <c r="J85" s="176"/>
      <c r="K85" s="176"/>
      <c r="L85" s="176"/>
      <c r="M85" s="192"/>
      <c r="N85" s="496"/>
      <c r="O85" s="496"/>
      <c r="P85" s="496"/>
      <c r="Q85" s="846"/>
    </row>
    <row r="86" spans="1:17" ht="45" customHeight="1">
      <c r="A86" s="192"/>
      <c r="B86" s="254"/>
      <c r="C86" s="222"/>
      <c r="D86" s="222"/>
      <c r="E86" s="196"/>
      <c r="F86" s="196"/>
      <c r="H86" s="496"/>
      <c r="I86" s="496"/>
      <c r="J86" s="496"/>
      <c r="K86" s="496"/>
      <c r="L86" s="496"/>
      <c r="M86" s="192"/>
      <c r="N86" s="496"/>
      <c r="O86" s="496"/>
      <c r="P86" s="496"/>
      <c r="Q86" s="846"/>
    </row>
    <row r="87" spans="1:17" ht="45" customHeight="1">
      <c r="A87" s="192"/>
      <c r="B87" s="204" t="s">
        <v>404</v>
      </c>
      <c r="C87" s="205"/>
      <c r="D87" s="206" t="s">
        <v>1089</v>
      </c>
      <c r="E87" s="207" t="str">
        <f>IFERROR(VLOOKUP($F$2,$S$3:$AA$10,9,FALSE),"")</f>
        <v/>
      </c>
      <c r="F87" s="208"/>
      <c r="H87" s="226"/>
      <c r="I87" s="226"/>
      <c r="J87" s="226"/>
      <c r="K87" s="226"/>
      <c r="L87" s="226"/>
      <c r="M87" s="192"/>
      <c r="N87" s="496"/>
      <c r="O87" s="496"/>
      <c r="P87" s="496"/>
      <c r="Q87" s="846"/>
    </row>
    <row r="88" spans="1:17" ht="45" customHeight="1">
      <c r="A88" s="192"/>
      <c r="B88" s="251" t="s">
        <v>1223</v>
      </c>
      <c r="C88" s="952" t="s">
        <v>1224</v>
      </c>
      <c r="D88" s="952"/>
      <c r="E88" s="936">
        <v>1</v>
      </c>
      <c r="F88" s="455"/>
      <c r="H88" s="903"/>
      <c r="I88" s="903"/>
      <c r="J88" s="937"/>
      <c r="K88" s="924" t="str">
        <f t="shared" ref="K88:K97" si="10">IF(ISBLANK($F88)=FALSE,IF(H88="","No","Yes"),"")</f>
        <v/>
      </c>
      <c r="L88" s="924" t="str">
        <f t="shared" ref="L88:L97" si="11">IF(ISBLANK($F88)=FALSE,IF(I88="","No","Yes"),"")</f>
        <v/>
      </c>
      <c r="M88" s="192"/>
      <c r="N88" s="496"/>
      <c r="O88" s="496"/>
      <c r="P88" s="496"/>
      <c r="Q88" s="846"/>
    </row>
    <row r="89" spans="1:17" ht="45" customHeight="1">
      <c r="A89" s="192"/>
      <c r="B89" s="251" t="s">
        <v>1225</v>
      </c>
      <c r="C89" s="952" t="s">
        <v>1226</v>
      </c>
      <c r="D89" s="952"/>
      <c r="E89" s="936">
        <v>2</v>
      </c>
      <c r="F89" s="455"/>
      <c r="H89" s="903"/>
      <c r="I89" s="903"/>
      <c r="J89" s="937"/>
      <c r="K89" s="924" t="str">
        <f t="shared" si="10"/>
        <v/>
      </c>
      <c r="L89" s="924" t="str">
        <f t="shared" si="11"/>
        <v/>
      </c>
      <c r="M89" s="192"/>
      <c r="N89" s="496"/>
      <c r="O89" s="496"/>
      <c r="P89" s="496"/>
      <c r="Q89" s="846"/>
    </row>
    <row r="90" spans="1:17" ht="45" customHeight="1">
      <c r="A90" s="192"/>
      <c r="B90" s="251" t="s">
        <v>1227</v>
      </c>
      <c r="C90" s="952" t="s">
        <v>1228</v>
      </c>
      <c r="D90" s="952"/>
      <c r="E90" s="936">
        <v>1</v>
      </c>
      <c r="F90" s="455"/>
      <c r="H90" s="903"/>
      <c r="I90" s="903"/>
      <c r="J90" s="937"/>
      <c r="K90" s="924" t="str">
        <f>IF(OR(ISBLANK($F90)=FALSE,$Q90=TRUE),IF(H90="","No","Yes"),"")</f>
        <v/>
      </c>
      <c r="L90" s="924" t="str">
        <f>IF(ISBLANK($F90)=FALSE,IF(I90="","No","Yes"),IF($Q90=TRUE,"NA",""))</f>
        <v/>
      </c>
      <c r="M90" s="192"/>
      <c r="N90" s="496"/>
      <c r="O90" s="496"/>
      <c r="P90" s="496" t="s">
        <v>242</v>
      </c>
      <c r="Q90" s="846" t="b">
        <v>0</v>
      </c>
    </row>
    <row r="91" spans="1:17" ht="45" customHeight="1">
      <c r="A91" s="192"/>
      <c r="B91" s="251" t="s">
        <v>1229</v>
      </c>
      <c r="C91" s="952" t="s">
        <v>1230</v>
      </c>
      <c r="D91" s="952"/>
      <c r="E91" s="936">
        <v>1</v>
      </c>
      <c r="F91" s="455"/>
      <c r="H91" s="903"/>
      <c r="I91" s="903"/>
      <c r="J91" s="937"/>
      <c r="K91" s="924" t="str">
        <f t="shared" si="10"/>
        <v/>
      </c>
      <c r="L91" s="924" t="str">
        <f t="shared" si="11"/>
        <v/>
      </c>
      <c r="M91" s="192"/>
      <c r="N91" s="496"/>
      <c r="O91" s="496"/>
      <c r="P91" s="496"/>
      <c r="Q91" s="846"/>
    </row>
    <row r="92" spans="1:17" ht="45" customHeight="1">
      <c r="A92" s="192"/>
      <c r="B92" s="251" t="s">
        <v>1231</v>
      </c>
      <c r="C92" s="952" t="s">
        <v>1232</v>
      </c>
      <c r="D92" s="952"/>
      <c r="E92" s="936">
        <v>3</v>
      </c>
      <c r="F92" s="455"/>
      <c r="H92" s="903"/>
      <c r="I92" s="903"/>
      <c r="J92" s="937"/>
      <c r="K92" s="924" t="str">
        <f>IF(OR(ISBLANK($F92)=FALSE,$Q92=TRUE),IF(H92="","No","Yes"),"")</f>
        <v/>
      </c>
      <c r="L92" s="924" t="str">
        <f>IF(ISBLANK($F92)=FALSE,IF(I92="","No","Yes"),IF($Q92=TRUE,"NA",""))</f>
        <v/>
      </c>
      <c r="M92" s="192"/>
      <c r="N92" s="496"/>
      <c r="O92" s="496"/>
      <c r="P92" s="496" t="s">
        <v>242</v>
      </c>
      <c r="Q92" s="846" t="b">
        <v>0</v>
      </c>
    </row>
    <row r="93" spans="1:17" ht="45" customHeight="1">
      <c r="A93" s="192"/>
      <c r="B93" s="1451" t="s">
        <v>1233</v>
      </c>
      <c r="C93" s="1480" t="s">
        <v>1234</v>
      </c>
      <c r="D93" s="952" t="s">
        <v>1235</v>
      </c>
      <c r="E93" s="936">
        <v>4</v>
      </c>
      <c r="F93" s="455"/>
      <c r="H93" s="903"/>
      <c r="I93" s="903"/>
      <c r="J93" s="937"/>
      <c r="K93" s="924"/>
      <c r="L93" s="924"/>
      <c r="M93" s="192"/>
      <c r="N93" s="496"/>
      <c r="O93" s="496"/>
      <c r="P93" s="496"/>
      <c r="Q93" s="846"/>
    </row>
    <row r="94" spans="1:17" ht="45" customHeight="1">
      <c r="A94" s="192"/>
      <c r="B94" s="1452"/>
      <c r="C94" s="1481"/>
      <c r="D94" s="952" t="s">
        <v>1236</v>
      </c>
      <c r="E94" s="936">
        <v>1</v>
      </c>
      <c r="F94" s="455"/>
      <c r="H94" s="903"/>
      <c r="I94" s="903"/>
      <c r="J94" s="937"/>
      <c r="K94" s="924" t="str">
        <f>IF(OR(ISBLANK($F94)=FALSE,$Q94=TRUE),IF(H94="","No","Yes"),"")</f>
        <v/>
      </c>
      <c r="L94" s="924" t="str">
        <f>IF(ISBLANK($F94)=FALSE,IF(I94="","No","Yes"),IF($Q94=TRUE,"NA",""))</f>
        <v/>
      </c>
      <c r="M94" s="192"/>
      <c r="N94" s="496"/>
      <c r="O94" s="496"/>
      <c r="P94" s="496" t="s">
        <v>242</v>
      </c>
      <c r="Q94" s="846" t="b">
        <v>0</v>
      </c>
    </row>
    <row r="95" spans="1:17" ht="45" customHeight="1">
      <c r="A95" s="192"/>
      <c r="B95" s="251" t="s">
        <v>1237</v>
      </c>
      <c r="C95" s="952" t="s">
        <v>409</v>
      </c>
      <c r="D95" s="952"/>
      <c r="E95" s="936">
        <v>1</v>
      </c>
      <c r="F95" s="455"/>
      <c r="H95" s="903"/>
      <c r="I95" s="903"/>
      <c r="J95" s="937"/>
      <c r="K95" s="924" t="str">
        <f t="shared" si="10"/>
        <v/>
      </c>
      <c r="L95" s="924" t="str">
        <f t="shared" si="11"/>
        <v/>
      </c>
      <c r="M95" s="192"/>
      <c r="N95" s="496"/>
      <c r="O95" s="496"/>
      <c r="P95" s="496"/>
      <c r="Q95" s="846"/>
    </row>
    <row r="96" spans="1:17" ht="45" customHeight="1">
      <c r="A96" s="496"/>
      <c r="B96" s="251" t="s">
        <v>1238</v>
      </c>
      <c r="C96" s="952" t="s">
        <v>1289</v>
      </c>
      <c r="D96" s="952"/>
      <c r="E96" s="936">
        <v>1</v>
      </c>
      <c r="F96" s="455"/>
      <c r="H96" s="903"/>
      <c r="I96" s="903"/>
      <c r="J96" s="937"/>
      <c r="K96" s="924" t="str">
        <f t="shared" si="10"/>
        <v/>
      </c>
      <c r="L96" s="924" t="str">
        <f t="shared" si="11"/>
        <v/>
      </c>
      <c r="M96" s="496"/>
      <c r="N96" s="496"/>
      <c r="O96" s="496"/>
      <c r="P96" s="496"/>
      <c r="Q96" s="846"/>
    </row>
    <row r="97" spans="2:12" ht="45" customHeight="1">
      <c r="B97" s="251" t="s">
        <v>1290</v>
      </c>
      <c r="C97" s="952" t="s">
        <v>1291</v>
      </c>
      <c r="D97" s="952"/>
      <c r="E97" s="936">
        <v>1</v>
      </c>
      <c r="F97" s="455"/>
      <c r="H97" s="903"/>
      <c r="I97" s="903"/>
      <c r="J97" s="937"/>
      <c r="K97" s="924" t="str">
        <f t="shared" si="10"/>
        <v/>
      </c>
      <c r="L97" s="924" t="str">
        <f t="shared" si="11"/>
        <v/>
      </c>
    </row>
    <row r="98" spans="2:12" ht="45" customHeight="1">
      <c r="B98" s="218" t="s">
        <v>963</v>
      </c>
      <c r="C98" s="176"/>
      <c r="D98" s="176"/>
      <c r="E98" s="85">
        <f>SUM(E88:E97)</f>
        <v>16</v>
      </c>
      <c r="F98" s="216" t="str">
        <f>IFERROR(SUM(F88:F97)/E98*E87*100,"")</f>
        <v/>
      </c>
      <c r="H98" s="176"/>
      <c r="I98" s="176"/>
      <c r="J98" s="176"/>
      <c r="K98" s="176"/>
      <c r="L98" s="176"/>
    </row>
    <row r="99" spans="2:12" ht="45" customHeight="1">
      <c r="B99" s="254"/>
      <c r="C99" s="222"/>
      <c r="D99" s="222"/>
      <c r="E99" s="196"/>
      <c r="F99" s="196"/>
      <c r="H99" s="496"/>
      <c r="I99" s="496"/>
      <c r="J99" s="496"/>
      <c r="K99" s="496"/>
      <c r="L99" s="496"/>
    </row>
    <row r="100" spans="2:12" ht="45" customHeight="1">
      <c r="B100" s="204" t="s">
        <v>419</v>
      </c>
      <c r="C100" s="205"/>
      <c r="D100" s="205"/>
      <c r="E100" s="228"/>
      <c r="F100" s="208"/>
      <c r="H100" s="226"/>
      <c r="I100" s="226"/>
      <c r="J100" s="226"/>
      <c r="K100" s="226"/>
      <c r="L100" s="226"/>
    </row>
    <row r="101" spans="2:12" ht="45" customHeight="1">
      <c r="B101" s="251" t="s">
        <v>1079</v>
      </c>
      <c r="C101" s="952" t="s">
        <v>1242</v>
      </c>
      <c r="D101" s="953"/>
      <c r="E101" s="1448">
        <v>10</v>
      </c>
      <c r="F101" s="455"/>
      <c r="H101" s="903"/>
      <c r="I101" s="903"/>
      <c r="J101" s="937"/>
      <c r="K101" s="924" t="str">
        <f t="shared" ref="K101:L103" si="12">IF(ISBLANK($F101)=FALSE,IF(H101="","No","Yes"),"")</f>
        <v/>
      </c>
      <c r="L101" s="924" t="str">
        <f t="shared" si="12"/>
        <v/>
      </c>
    </row>
    <row r="102" spans="2:12" ht="45" customHeight="1">
      <c r="B102" s="251" t="s">
        <v>1243</v>
      </c>
      <c r="C102" s="952" t="s">
        <v>1244</v>
      </c>
      <c r="D102" s="954"/>
      <c r="E102" s="1449"/>
      <c r="F102" s="455"/>
      <c r="H102" s="903"/>
      <c r="I102" s="903"/>
      <c r="J102" s="937"/>
      <c r="K102" s="924" t="str">
        <f t="shared" si="12"/>
        <v/>
      </c>
      <c r="L102" s="924" t="str">
        <f t="shared" si="12"/>
        <v/>
      </c>
    </row>
    <row r="103" spans="2:12" ht="45" customHeight="1">
      <c r="B103" s="251" t="s">
        <v>1245</v>
      </c>
      <c r="C103" s="952" t="s">
        <v>1246</v>
      </c>
      <c r="D103" s="955"/>
      <c r="E103" s="1450"/>
      <c r="F103" s="455"/>
      <c r="H103" s="903"/>
      <c r="I103" s="903"/>
      <c r="J103" s="937"/>
      <c r="K103" s="924" t="str">
        <f t="shared" si="12"/>
        <v/>
      </c>
      <c r="L103" s="924" t="str">
        <f t="shared" si="12"/>
        <v/>
      </c>
    </row>
    <row r="104" spans="2:12" ht="45" customHeight="1">
      <c r="B104" s="218" t="s">
        <v>963</v>
      </c>
      <c r="C104" s="85"/>
      <c r="D104" s="85"/>
      <c r="E104" s="85">
        <f>SUM(E101:E103)</f>
        <v>10</v>
      </c>
      <c r="F104" s="85">
        <f>IF(SUM(F101:F103)&gt;10,10,SUM(F101:F103))</f>
        <v>0</v>
      </c>
      <c r="H104" s="176"/>
      <c r="I104" s="176"/>
      <c r="J104" s="217"/>
      <c r="K104" s="217"/>
      <c r="L104" s="176"/>
    </row>
    <row r="105" spans="2:12" ht="45" customHeight="1">
      <c r="B105" s="265"/>
      <c r="C105" s="192"/>
      <c r="D105" s="192"/>
      <c r="E105" s="192"/>
      <c r="F105" s="259"/>
      <c r="H105" s="192"/>
      <c r="I105" s="192"/>
      <c r="J105" s="192"/>
      <c r="K105" s="192"/>
      <c r="L105" s="192"/>
    </row>
    <row r="106" spans="2:12" ht="45" customHeight="1">
      <c r="B106" s="265"/>
      <c r="C106" s="538"/>
      <c r="D106" s="230" t="s">
        <v>437</v>
      </c>
      <c r="E106" s="218"/>
      <c r="F106" s="218"/>
      <c r="G106" s="496"/>
      <c r="H106" s="201" t="s">
        <v>599</v>
      </c>
      <c r="I106" s="201" t="s">
        <v>600</v>
      </c>
      <c r="J106" s="192"/>
      <c r="K106" s="192"/>
      <c r="L106" s="192"/>
    </row>
    <row r="107" spans="2:12" ht="45" customHeight="1">
      <c r="B107" s="265"/>
      <c r="C107" s="538"/>
      <c r="D107" s="231" t="s">
        <v>440</v>
      </c>
      <c r="E107" s="232"/>
      <c r="F107" s="233"/>
      <c r="G107" s="210"/>
      <c r="H107" s="234">
        <f>SUMIF(K9:K103,"Yes",H9:H103)</f>
        <v>0</v>
      </c>
      <c r="I107" s="234">
        <f>SUMIF(L9:L103,"Yes",I9:I103)</f>
        <v>0</v>
      </c>
      <c r="J107" s="192"/>
      <c r="K107" s="192"/>
      <c r="L107" s="192"/>
    </row>
    <row r="108" spans="2:12" ht="45" customHeight="1">
      <c r="B108" s="265"/>
      <c r="C108" s="538"/>
      <c r="D108" s="231" t="s">
        <v>441</v>
      </c>
      <c r="E108" s="232"/>
      <c r="F108" s="233"/>
      <c r="G108" s="210"/>
      <c r="H108" s="225"/>
      <c r="I108" s="225"/>
      <c r="J108" s="192"/>
      <c r="K108" s="192"/>
      <c r="L108" s="192"/>
    </row>
    <row r="109" spans="2:12" ht="45" customHeight="1">
      <c r="B109" s="265"/>
      <c r="C109" s="538"/>
      <c r="D109" s="235" t="s">
        <v>442</v>
      </c>
      <c r="E109" s="236"/>
      <c r="F109" s="237">
        <f>SUM(F107:F108)</f>
        <v>0</v>
      </c>
      <c r="G109" s="210"/>
      <c r="H109" s="192"/>
      <c r="I109" s="225"/>
      <c r="J109" s="192"/>
      <c r="K109" s="192"/>
      <c r="L109" s="192"/>
    </row>
    <row r="110" spans="2:12" ht="45" customHeight="1">
      <c r="B110" s="265"/>
      <c r="C110" s="538"/>
      <c r="D110" s="231" t="s">
        <v>443</v>
      </c>
      <c r="E110" s="232"/>
      <c r="F110" s="233"/>
      <c r="G110" s="210"/>
      <c r="H110" s="192"/>
      <c r="I110" s="225"/>
      <c r="J110" s="192"/>
      <c r="K110" s="192"/>
      <c r="L110" s="192"/>
    </row>
    <row r="111" spans="2:12" ht="45" customHeight="1">
      <c r="B111" s="265"/>
      <c r="C111" s="538"/>
      <c r="D111" s="231" t="s">
        <v>107</v>
      </c>
      <c r="E111" s="232"/>
      <c r="F111" s="237">
        <f>H107</f>
        <v>0</v>
      </c>
      <c r="G111" s="210"/>
      <c r="H111" s="192"/>
      <c r="I111" s="225"/>
      <c r="J111" s="192"/>
      <c r="K111" s="192"/>
      <c r="L111" s="192"/>
    </row>
    <row r="112" spans="2:12" ht="45" customHeight="1">
      <c r="B112" s="265"/>
      <c r="C112" s="538"/>
      <c r="D112" s="231" t="s">
        <v>444</v>
      </c>
      <c r="E112" s="232"/>
      <c r="F112" s="237">
        <f>I107</f>
        <v>0</v>
      </c>
      <c r="G112" s="210"/>
      <c r="H112" s="192"/>
      <c r="I112" s="225"/>
      <c r="J112" s="192"/>
      <c r="K112" s="192"/>
      <c r="L112" s="192"/>
    </row>
    <row r="113" spans="1:12" ht="45" customHeight="1">
      <c r="A113" s="496"/>
      <c r="B113" s="265"/>
      <c r="C113" s="538"/>
      <c r="D113" s="235" t="s">
        <v>445</v>
      </c>
      <c r="E113" s="236"/>
      <c r="F113" s="238">
        <f>SUM(F110:F112)</f>
        <v>0</v>
      </c>
      <c r="G113" s="210"/>
      <c r="H113" s="192"/>
      <c r="I113" s="225"/>
      <c r="J113" s="192"/>
      <c r="K113" s="192"/>
      <c r="L113" s="192"/>
    </row>
    <row r="114" spans="1:12" ht="45" customHeight="1">
      <c r="A114" s="496"/>
      <c r="B114" s="265"/>
      <c r="C114" s="538"/>
      <c r="D114" s="239" t="s">
        <v>112</v>
      </c>
      <c r="E114" s="240"/>
      <c r="F114" s="241">
        <f>IFERROR(F113/F109,0)</f>
        <v>0</v>
      </c>
      <c r="G114" s="210"/>
      <c r="H114" s="192"/>
      <c r="I114" s="225"/>
      <c r="J114" s="192"/>
      <c r="K114" s="192"/>
      <c r="L114" s="192"/>
    </row>
    <row r="115" spans="1:12" ht="45" customHeight="1">
      <c r="A115" s="496"/>
      <c r="B115" s="265"/>
      <c r="C115" s="815"/>
      <c r="D115" s="815"/>
      <c r="E115" s="942"/>
      <c r="F115" s="538"/>
      <c r="G115" s="496"/>
      <c r="H115" s="904"/>
      <c r="I115" s="904"/>
      <c r="J115" s="192"/>
      <c r="K115" s="192"/>
      <c r="L115" s="192"/>
    </row>
    <row r="116" spans="1:12" ht="30" customHeight="1">
      <c r="A116" s="143"/>
      <c r="B116" s="265"/>
      <c r="C116" s="538"/>
      <c r="D116" s="230" t="s">
        <v>101</v>
      </c>
      <c r="E116" s="243"/>
      <c r="F116" s="244" t="s">
        <v>602</v>
      </c>
      <c r="G116" s="243"/>
      <c r="H116" s="904"/>
      <c r="I116" s="904"/>
      <c r="J116" s="192"/>
      <c r="K116" s="192"/>
      <c r="L116" s="192"/>
    </row>
    <row r="117" spans="1:12" ht="35.1" customHeight="1">
      <c r="A117" s="143"/>
      <c r="B117" s="265"/>
      <c r="C117" s="538"/>
      <c r="D117" s="127" t="s">
        <v>447</v>
      </c>
      <c r="E117" s="943" t="s">
        <v>937</v>
      </c>
      <c r="F117" s="1227" t="str">
        <f>IF(E117="Yes","No Issues", IF(E117="No","Contact project team","Check scorecard points"))</f>
        <v>Check scorecard points</v>
      </c>
      <c r="G117" s="1227"/>
      <c r="H117" s="904"/>
      <c r="I117" s="904"/>
      <c r="J117" s="192"/>
      <c r="K117" s="192"/>
      <c r="L117" s="192"/>
    </row>
    <row r="118" spans="1:12" ht="35.1" customHeight="1">
      <c r="A118" s="143"/>
      <c r="B118" s="265"/>
      <c r="C118" s="538"/>
      <c r="D118" s="127" t="s">
        <v>604</v>
      </c>
      <c r="E118" s="943">
        <f>COUNTA(F9:F18,F22:F41,F45:F47,F51:F55,F59:F62,F66:F76,F80:F84,F88:F97,F101:F103)+COUNTIF(Q9:Q103,TRUE)</f>
        <v>0</v>
      </c>
      <c r="F118" s="1227" t="str">
        <f>IF(E118=0,"No credits entered","No Issues")</f>
        <v>No credits entered</v>
      </c>
      <c r="G118" s="1227"/>
      <c r="H118" s="904"/>
      <c r="I118" s="904"/>
      <c r="J118" s="192"/>
      <c r="K118" s="192"/>
      <c r="L118" s="192"/>
    </row>
    <row r="119" spans="1:12" ht="35.1" customHeight="1">
      <c r="A119" s="143"/>
      <c r="B119" s="265"/>
      <c r="C119" s="538"/>
      <c r="D119" s="127" t="s">
        <v>1292</v>
      </c>
      <c r="E119" s="943">
        <f>COUNTIF(Q9:Q103,TRUE)</f>
        <v>0</v>
      </c>
      <c r="F119" s="1304" t="str">
        <f>IF(E119=0,"No Issues - No NA credits claimed",CONCATENATE("No Issues - ",E119," Implementation Costs not needed"))</f>
        <v>No Issues - No NA credits claimed</v>
      </c>
      <c r="G119" s="1304"/>
      <c r="H119" s="904"/>
      <c r="I119" s="904"/>
      <c r="J119" s="192"/>
      <c r="K119" s="192"/>
      <c r="L119" s="192"/>
    </row>
    <row r="120" spans="1:12" ht="60" customHeight="1">
      <c r="A120" s="143"/>
      <c r="B120" s="265"/>
      <c r="C120" s="538"/>
      <c r="D120" s="127" t="s">
        <v>451</v>
      </c>
      <c r="E120" s="943">
        <f>COUNTIF(K9:K103,"Yes")</f>
        <v>0</v>
      </c>
      <c r="F120" s="1229" t="str">
        <f>IF(E120&lt;E118,CONCATENATE(E118-E120," documentation costs missing"),IF(E120=0,"No credits entered",IF(COUNTIF(H9:H103,0)&gt;0,CONCATENATE(COUNTIF(H9:H103,0)," $0 cost(s) provided. Enter a value or explain the $0 value in the Comments column."),"No Issues")))</f>
        <v>No credits entered</v>
      </c>
      <c r="G120" s="1229"/>
      <c r="H120" s="454"/>
      <c r="I120" s="593"/>
      <c r="J120" s="192"/>
      <c r="K120" s="192"/>
      <c r="L120" s="192"/>
    </row>
    <row r="121" spans="1:12" ht="60" customHeight="1">
      <c r="A121" s="143"/>
      <c r="B121" s="265"/>
      <c r="C121" s="538"/>
      <c r="D121" s="127" t="s">
        <v>452</v>
      </c>
      <c r="E121" s="943">
        <f>COUNTIF(L9:L103,"Yes")</f>
        <v>0</v>
      </c>
      <c r="F121" s="1229" t="str">
        <f>IF(E121&lt;(E118-E119),CONCATENATE(E118-E121-E119," implementation costs missing"),IF(E121=0,"No credits entered",IF(COUNTIF(I9:I103,0)&gt;ROUND(0.25*E118,0),CONCATENATE(COUNTIF(I9:I103,0)," $0 cost(s) provided. Enter a value or explain the $0 value in the Comments column."),"No Issues")))</f>
        <v>No credits entered</v>
      </c>
      <c r="G121" s="1229"/>
      <c r="H121" s="454"/>
      <c r="I121" s="593"/>
      <c r="J121" s="192"/>
      <c r="K121" s="192"/>
      <c r="L121" s="192"/>
    </row>
    <row r="122" spans="1:12" ht="35.1" customHeight="1">
      <c r="A122" s="143"/>
      <c r="C122" s="538"/>
      <c r="D122" s="127" t="s">
        <v>453</v>
      </c>
      <c r="E122" s="943" t="str">
        <f>IF(F107&gt;0,"Yes","No")</f>
        <v>No</v>
      </c>
      <c r="F122" s="1229" t="str">
        <f>IF(E122="No","Total Design Cost missing","No Issues")</f>
        <v>Total Design Cost missing</v>
      </c>
      <c r="G122" s="1229"/>
      <c r="H122" s="904"/>
      <c r="I122" s="904"/>
      <c r="J122" s="496"/>
      <c r="K122" s="496"/>
      <c r="L122" s="496"/>
    </row>
    <row r="123" spans="1:12" ht="35.1" customHeight="1">
      <c r="A123" s="143"/>
      <c r="C123" s="538"/>
      <c r="D123" s="127" t="s">
        <v>454</v>
      </c>
      <c r="E123" s="943" t="str">
        <f>IF(F108&gt;0,"Yes","No")</f>
        <v>No</v>
      </c>
      <c r="F123" s="1229" t="str">
        <f>IF(E123="No","Total Construction Cost missing","No Issues")</f>
        <v>Total Construction Cost missing</v>
      </c>
      <c r="G123" s="1229"/>
      <c r="H123" s="904"/>
      <c r="I123" s="904"/>
      <c r="J123" s="496"/>
      <c r="K123" s="496"/>
      <c r="L123" s="496"/>
    </row>
    <row r="124" spans="1:12" ht="35.1" customHeight="1">
      <c r="A124" s="143"/>
      <c r="C124" s="538"/>
      <c r="D124" s="127" t="s">
        <v>455</v>
      </c>
      <c r="E124" s="943" t="str">
        <f>IF(F110&gt;0,"Yes","No")</f>
        <v>No</v>
      </c>
      <c r="F124" s="1229" t="str">
        <f>IF(E124="No","Green Star Certification Fees missing","No Issues")</f>
        <v>Green Star Certification Fees missing</v>
      </c>
      <c r="G124" s="1229"/>
      <c r="H124" s="904"/>
      <c r="I124" s="904"/>
      <c r="J124" s="496"/>
      <c r="K124" s="496"/>
      <c r="L124" s="496"/>
    </row>
    <row r="125" spans="1:12" ht="35.1" hidden="1" customHeight="1">
      <c r="A125" s="143" t="s">
        <v>14</v>
      </c>
      <c r="C125" s="538"/>
      <c r="D125" s="591" t="s">
        <v>188</v>
      </c>
      <c r="E125" s="592"/>
      <c r="F125" s="1230" t="s">
        <v>652</v>
      </c>
      <c r="G125" s="1230"/>
      <c r="H125" s="904"/>
      <c r="I125" s="904"/>
      <c r="J125" s="496"/>
      <c r="K125" s="496"/>
      <c r="L125" s="496"/>
    </row>
    <row r="126" spans="1:12" ht="45" hidden="1" customHeight="1">
      <c r="A126" s="143" t="s">
        <v>14</v>
      </c>
      <c r="C126" s="538"/>
      <c r="D126" s="128" t="s">
        <v>457</v>
      </c>
      <c r="E126" s="1446" t="str">
        <f>IF(OR(COUNTIF(F117:G124,"No Issues*")=8,F125="YES"),"1 POINT AWARDED","1 POINT NOT AWARDED")</f>
        <v>1 POINT NOT AWARDED</v>
      </c>
      <c r="F126" s="1446"/>
      <c r="G126" s="1446"/>
      <c r="H126" s="496"/>
      <c r="I126" s="496"/>
      <c r="J126" s="496"/>
      <c r="K126" s="496"/>
      <c r="L126" s="496"/>
    </row>
    <row r="282" spans="17:17">
      <c r="Q282" s="846" t="b">
        <v>0</v>
      </c>
    </row>
  </sheetData>
  <sheetProtection algorithmName="SHA-512" hashValue="RcFTpQKvO6vCATi4RM7W9bcG0ZjrhIZg/gtE26Z46B/RAX2/e7mJ9pNYIRZ3p4NJMTU2rE6HezMm6U8DRqGRXg==" saltValue="EjYwjSVSCEdg5ERjQ5ykwg==" spinCount="100000" sheet="1" objects="1" scenarios="1"/>
  <customSheetViews>
    <customSheetView guid="{CEACA748-A46A-4C8B-98CF-30E51B671B84}" scale="80" showGridLines="0" hiddenColumns="1">
      <pane ySplit="7" topLeftCell="A115" activePane="bottomLeft" state="frozen"/>
      <selection pane="bottomLeft" activeCell="E127" sqref="E127"/>
      <pageMargins left="0" right="0" top="0" bottom="0" header="0" footer="0"/>
    </customSheetView>
    <customSheetView guid="{2ED91B50-D126-4494-B9B8-889B5F8EA715}">
      <selection activeCell="E5" sqref="E5"/>
      <pageMargins left="0" right="0" top="0" bottom="0" header="0" footer="0"/>
    </customSheetView>
  </customSheetViews>
  <mergeCells count="31">
    <mergeCell ref="H6:I6"/>
    <mergeCell ref="B1:F1"/>
    <mergeCell ref="F123:G123"/>
    <mergeCell ref="F124:G124"/>
    <mergeCell ref="B10:B11"/>
    <mergeCell ref="C10:C11"/>
    <mergeCell ref="B17:B18"/>
    <mergeCell ref="C17:C18"/>
    <mergeCell ref="B26:B28"/>
    <mergeCell ref="C26:C28"/>
    <mergeCell ref="B30:B31"/>
    <mergeCell ref="C30:C31"/>
    <mergeCell ref="B32:B34"/>
    <mergeCell ref="C32:C34"/>
    <mergeCell ref="B67:B68"/>
    <mergeCell ref="B93:B94"/>
    <mergeCell ref="E126:G126"/>
    <mergeCell ref="E101:E103"/>
    <mergeCell ref="F117:G117"/>
    <mergeCell ref="F118:G118"/>
    <mergeCell ref="F120:G120"/>
    <mergeCell ref="F121:G121"/>
    <mergeCell ref="F122:G122"/>
    <mergeCell ref="F119:G119"/>
    <mergeCell ref="F125:G125"/>
    <mergeCell ref="C93:C94"/>
    <mergeCell ref="C67:C68"/>
    <mergeCell ref="B70:B71"/>
    <mergeCell ref="C70:C71"/>
    <mergeCell ref="B72:B73"/>
    <mergeCell ref="C72:C73"/>
  </mergeCells>
  <conditionalFormatting sqref="H45:L47 H101:L103 H9:L18 H22:L41 H51:L55 H59:L62 H66:L76 H80:L84 H88:L97">
    <cfRule type="expression" dxfId="38" priority="14">
      <formula>$F9=""</formula>
    </cfRule>
  </conditionalFormatting>
  <conditionalFormatting sqref="K45:L47 K101:L103 K9:L18 K22:L41 K51:L55 K59:L62 K66:L76 K80:L84 K88:L97">
    <cfRule type="cellIs" dxfId="37" priority="7" operator="equal">
      <formula>"Yes"</formula>
    </cfRule>
    <cfRule type="cellIs" dxfId="36" priority="8" operator="equal">
      <formula>"No"</formula>
    </cfRule>
  </conditionalFormatting>
  <conditionalFormatting sqref="B22:F24 D26:F28 B29:F29 D30:F31 D34:F34 B35:F35 B38:F38 B41:F41 B51:F52 B60:F60 B62:F62 D67:F68 D70:F73 B74:F75 B81:F81 B83:F83 B90:F90 B92:F92 D94:F94">
    <cfRule type="expression" dxfId="35" priority="13">
      <formula>$Q22=TRUE</formula>
    </cfRule>
  </conditionalFormatting>
  <conditionalFormatting sqref="J22:K24 H60 H81 H90 H92 H94 J26:K31 J34:K35 J38:K38 J41:K41 J51:K52 J60:K60 J62:K62 J67:K68 J70:K75 J81:K81 J83:K83 J90:K90 J92:K92 J94:K94 H22:H41 H51:H55 H62 H67:H75 H83">
    <cfRule type="expression" dxfId="34" priority="10">
      <formula>$Q22=TRUE</formula>
    </cfRule>
  </conditionalFormatting>
  <conditionalFormatting sqref="L22:L24 L26:L31 L34:L35 L38 L41 L51:L52 L60 L62 L67:L68 L70:L75 L81 L83 L90 L92 L94">
    <cfRule type="cellIs" dxfId="33" priority="4" operator="equal">
      <formula>"NA"</formula>
    </cfRule>
  </conditionalFormatting>
  <conditionalFormatting sqref="F117:G124">
    <cfRule type="containsText" dxfId="32" priority="3" operator="containsText" text="No Issues">
      <formula>NOT(ISERROR(SEARCH("No Issues",F117)))</formula>
    </cfRule>
  </conditionalFormatting>
  <conditionalFormatting sqref="H6:J6">
    <cfRule type="containsText" dxfId="31" priority="15" operator="containsText" text="Select">
      <formula>NOT(ISERROR(SEARCH("Select",H6)))</formula>
    </cfRule>
  </conditionalFormatting>
  <conditionalFormatting sqref="C2:C5 F2">
    <cfRule type="containsText" dxfId="30" priority="22" operator="containsText" text="Please">
      <formula>NOT(ISERROR(SEARCH("Please",C2)))</formula>
    </cfRule>
  </conditionalFormatting>
  <conditionalFormatting sqref="F125">
    <cfRule type="cellIs" dxfId="29" priority="1" operator="equal">
      <formula>"YES"</formula>
    </cfRule>
  </conditionalFormatting>
  <dataValidations count="12">
    <dataValidation type="list" allowBlank="1" showInputMessage="1" showErrorMessage="1" promptTitle="Green Star Rating" prompt="Please select the project's targeted rating" sqref="C4" xr:uid="{00000000-0002-0000-0D00-000000000000}">
      <formula1>$N$2:$N$5</formula1>
    </dataValidation>
    <dataValidation allowBlank="1" showInputMessage="1" showErrorMessage="1" promptTitle="Project Name" prompt="Please enter the project name" sqref="C3" xr:uid="{00000000-0002-0000-0D00-000001000000}"/>
    <dataValidation allowBlank="1" showInputMessage="1" showErrorMessage="1" promptTitle="Project number" prompt="Please enter the Green Star number" sqref="C2" xr:uid="{00000000-0002-0000-0D00-000002000000}"/>
    <dataValidation allowBlank="1" showErrorMessage="1" promptTitle="Rating Tool Version" prompt="Please select the project's rating tool version" sqref="C5" xr:uid="{00000000-0002-0000-0D00-000003000000}"/>
    <dataValidation type="list" allowBlank="1" showInputMessage="1" showErrorMessage="1" sqref="J6" xr:uid="{00000000-0002-0000-0D00-000004000000}">
      <formula1>$O$7:$O$9</formula1>
    </dataValidation>
    <dataValidation type="list" allowBlank="1" showInputMessage="1" showErrorMessage="1" sqref="H6" xr:uid="{00000000-0002-0000-0D00-000005000000}">
      <formula1>$N$7:$N$9</formula1>
    </dataValidation>
    <dataValidation type="whole" allowBlank="1" showInputMessage="1" showErrorMessage="1" sqref="F101:F103 F46:F47 F59:F62 F51:F55 F81:F84 F9:F18 F22:F41 F66:F76 F88:F97" xr:uid="{00000000-0002-0000-0D00-000006000000}">
      <formula1>0</formula1>
      <formula2>E9</formula2>
    </dataValidation>
    <dataValidation type="list" allowBlank="1" showInputMessage="1" showErrorMessage="1" sqref="E117" xr:uid="{00000000-0002-0000-0D00-000007000000}">
      <formula1>"Please select, Yes, No"</formula1>
    </dataValidation>
    <dataValidation type="list" allowBlank="1" showInputMessage="1" showErrorMessage="1" sqref="F45 F80" xr:uid="{00000000-0002-0000-0D00-000008000000}">
      <formula1>$N$11:$N$12</formula1>
    </dataValidation>
    <dataValidation type="list" allowBlank="1" showInputMessage="1" showErrorMessage="1" sqref="F2" xr:uid="{00000000-0002-0000-0D00-000009000000}">
      <formula1>$S$2:$S$10</formula1>
    </dataValidation>
    <dataValidation type="decimal" operator="greaterThanOrEqual" allowBlank="1" showInputMessage="1" showErrorMessage="1" sqref="H9:I103 F107:F108 F110" xr:uid="{00000000-0002-0000-0D00-00000A000000}">
      <formula1>0</formula1>
    </dataValidation>
    <dataValidation type="list" allowBlank="1" showInputMessage="1" showErrorMessage="1" sqref="F125:G125" xr:uid="{00000000-0002-0000-0D00-00000B000000}">
      <formula1>"YES/NO, YES, NO"</formula1>
    </dataValidation>
  </dataValidations>
  <pageMargins left="0.7" right="0.7" top="0.75" bottom="0.75" header="0.3" footer="0.3"/>
  <ignoredErrors>
    <ignoredError sqref="K25:L25 K32:L33 K26:K31 K36:L37 K34:K35 K39:L40 K38 K42:L50 K41 K53:L59 K51:K52 K61:L61 K60 K63:L66 K62 K69:L69 K67:K68 K76:L80 K70:K75 K82:L82 K81 K84:L89 K83 K91:L91 K90 K93:L93 K92 K95:L109 K94 K110:L119"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70657" r:id="rId3" name="Check Box 1">
              <controlPr defaultSize="0" autoFill="0" autoLine="0" autoPict="0">
                <anchor moveWithCells="1">
                  <from>
                    <xdr:col>0</xdr:col>
                    <xdr:colOff>69850</xdr:colOff>
                    <xdr:row>21</xdr:row>
                    <xdr:rowOff>228600</xdr:rowOff>
                  </from>
                  <to>
                    <xdr:col>1</xdr:col>
                    <xdr:colOff>609600</xdr:colOff>
                    <xdr:row>21</xdr:row>
                    <xdr:rowOff>438150</xdr:rowOff>
                  </to>
                </anchor>
              </controlPr>
            </control>
          </mc:Choice>
        </mc:AlternateContent>
        <mc:AlternateContent xmlns:mc="http://schemas.openxmlformats.org/markup-compatibility/2006">
          <mc:Choice Requires="x14">
            <control shapeId="70658" r:id="rId4" name="Check Box 2">
              <controlPr defaultSize="0" autoFill="0" autoLine="0" autoPict="0">
                <anchor moveWithCells="1">
                  <from>
                    <xdr:col>0</xdr:col>
                    <xdr:colOff>69850</xdr:colOff>
                    <xdr:row>22</xdr:row>
                    <xdr:rowOff>228600</xdr:rowOff>
                  </from>
                  <to>
                    <xdr:col>1</xdr:col>
                    <xdr:colOff>609600</xdr:colOff>
                    <xdr:row>22</xdr:row>
                    <xdr:rowOff>438150</xdr:rowOff>
                  </to>
                </anchor>
              </controlPr>
            </control>
          </mc:Choice>
        </mc:AlternateContent>
        <mc:AlternateContent xmlns:mc="http://schemas.openxmlformats.org/markup-compatibility/2006">
          <mc:Choice Requires="x14">
            <control shapeId="70659" r:id="rId5" name="Check Box 3">
              <controlPr defaultSize="0" autoFill="0" autoLine="0" autoPict="0">
                <anchor moveWithCells="1">
                  <from>
                    <xdr:col>0</xdr:col>
                    <xdr:colOff>69850</xdr:colOff>
                    <xdr:row>23</xdr:row>
                    <xdr:rowOff>228600</xdr:rowOff>
                  </from>
                  <to>
                    <xdr:col>1</xdr:col>
                    <xdr:colOff>609600</xdr:colOff>
                    <xdr:row>23</xdr:row>
                    <xdr:rowOff>438150</xdr:rowOff>
                  </to>
                </anchor>
              </controlPr>
            </control>
          </mc:Choice>
        </mc:AlternateContent>
        <mc:AlternateContent xmlns:mc="http://schemas.openxmlformats.org/markup-compatibility/2006">
          <mc:Choice Requires="x14">
            <control shapeId="70660" r:id="rId6" name="Check Box 4">
              <controlPr defaultSize="0" autoFill="0" autoLine="0" autoPict="0">
                <anchor moveWithCells="1">
                  <from>
                    <xdr:col>0</xdr:col>
                    <xdr:colOff>69850</xdr:colOff>
                    <xdr:row>25</xdr:row>
                    <xdr:rowOff>228600</xdr:rowOff>
                  </from>
                  <to>
                    <xdr:col>1</xdr:col>
                    <xdr:colOff>609600</xdr:colOff>
                    <xdr:row>25</xdr:row>
                    <xdr:rowOff>438150</xdr:rowOff>
                  </to>
                </anchor>
              </controlPr>
            </control>
          </mc:Choice>
        </mc:AlternateContent>
        <mc:AlternateContent xmlns:mc="http://schemas.openxmlformats.org/markup-compatibility/2006">
          <mc:Choice Requires="x14">
            <control shapeId="70661" r:id="rId7" name="Check Box 5">
              <controlPr defaultSize="0" autoFill="0" autoLine="0" autoPict="0">
                <anchor moveWithCells="1">
                  <from>
                    <xdr:col>0</xdr:col>
                    <xdr:colOff>69850</xdr:colOff>
                    <xdr:row>26</xdr:row>
                    <xdr:rowOff>228600</xdr:rowOff>
                  </from>
                  <to>
                    <xdr:col>1</xdr:col>
                    <xdr:colOff>609600</xdr:colOff>
                    <xdr:row>26</xdr:row>
                    <xdr:rowOff>438150</xdr:rowOff>
                  </to>
                </anchor>
              </controlPr>
            </control>
          </mc:Choice>
        </mc:AlternateContent>
        <mc:AlternateContent xmlns:mc="http://schemas.openxmlformats.org/markup-compatibility/2006">
          <mc:Choice Requires="x14">
            <control shapeId="70662" r:id="rId8" name="Check Box 6">
              <controlPr defaultSize="0" autoFill="0" autoLine="0" autoPict="0">
                <anchor moveWithCells="1">
                  <from>
                    <xdr:col>0</xdr:col>
                    <xdr:colOff>69850</xdr:colOff>
                    <xdr:row>27</xdr:row>
                    <xdr:rowOff>228600</xdr:rowOff>
                  </from>
                  <to>
                    <xdr:col>1</xdr:col>
                    <xdr:colOff>609600</xdr:colOff>
                    <xdr:row>27</xdr:row>
                    <xdr:rowOff>438150</xdr:rowOff>
                  </to>
                </anchor>
              </controlPr>
            </control>
          </mc:Choice>
        </mc:AlternateContent>
        <mc:AlternateContent xmlns:mc="http://schemas.openxmlformats.org/markup-compatibility/2006">
          <mc:Choice Requires="x14">
            <control shapeId="70663" r:id="rId9" name="Check Box 7">
              <controlPr defaultSize="0" autoFill="0" autoLine="0" autoPict="0">
                <anchor moveWithCells="1">
                  <from>
                    <xdr:col>0</xdr:col>
                    <xdr:colOff>69850</xdr:colOff>
                    <xdr:row>28</xdr:row>
                    <xdr:rowOff>228600</xdr:rowOff>
                  </from>
                  <to>
                    <xdr:col>1</xdr:col>
                    <xdr:colOff>609600</xdr:colOff>
                    <xdr:row>28</xdr:row>
                    <xdr:rowOff>438150</xdr:rowOff>
                  </to>
                </anchor>
              </controlPr>
            </control>
          </mc:Choice>
        </mc:AlternateContent>
        <mc:AlternateContent xmlns:mc="http://schemas.openxmlformats.org/markup-compatibility/2006">
          <mc:Choice Requires="x14">
            <control shapeId="70664" r:id="rId10" name="Check Box 8">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70665" r:id="rId11" name="Check Box 9">
              <controlPr defaultSize="0" autoFill="0" autoLine="0" autoPict="0">
                <anchor moveWithCells="1">
                  <from>
                    <xdr:col>0</xdr:col>
                    <xdr:colOff>69850</xdr:colOff>
                    <xdr:row>30</xdr:row>
                    <xdr:rowOff>228600</xdr:rowOff>
                  </from>
                  <to>
                    <xdr:col>1</xdr:col>
                    <xdr:colOff>609600</xdr:colOff>
                    <xdr:row>30</xdr:row>
                    <xdr:rowOff>438150</xdr:rowOff>
                  </to>
                </anchor>
              </controlPr>
            </control>
          </mc:Choice>
        </mc:AlternateContent>
        <mc:AlternateContent xmlns:mc="http://schemas.openxmlformats.org/markup-compatibility/2006">
          <mc:Choice Requires="x14">
            <control shapeId="70666" r:id="rId12" name="Check Box 10">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70667" r:id="rId13" name="Check Box 11">
              <controlPr defaultSize="0" autoFill="0" autoLine="0" autoPict="0">
                <anchor moveWithCells="1">
                  <from>
                    <xdr:col>0</xdr:col>
                    <xdr:colOff>69850</xdr:colOff>
                    <xdr:row>34</xdr:row>
                    <xdr:rowOff>228600</xdr:rowOff>
                  </from>
                  <to>
                    <xdr:col>1</xdr:col>
                    <xdr:colOff>609600</xdr:colOff>
                    <xdr:row>34</xdr:row>
                    <xdr:rowOff>438150</xdr:rowOff>
                  </to>
                </anchor>
              </controlPr>
            </control>
          </mc:Choice>
        </mc:AlternateContent>
        <mc:AlternateContent xmlns:mc="http://schemas.openxmlformats.org/markup-compatibility/2006">
          <mc:Choice Requires="x14">
            <control shapeId="70668" r:id="rId14" name="Check Box 12">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70669" r:id="rId15" name="Check Box 13">
              <controlPr defaultSize="0" autoFill="0" autoLine="0" autoPict="0">
                <anchor moveWithCells="1">
                  <from>
                    <xdr:col>0</xdr:col>
                    <xdr:colOff>69850</xdr:colOff>
                    <xdr:row>40</xdr:row>
                    <xdr:rowOff>228600</xdr:rowOff>
                  </from>
                  <to>
                    <xdr:col>1</xdr:col>
                    <xdr:colOff>609600</xdr:colOff>
                    <xdr:row>40</xdr:row>
                    <xdr:rowOff>438150</xdr:rowOff>
                  </to>
                </anchor>
              </controlPr>
            </control>
          </mc:Choice>
        </mc:AlternateContent>
        <mc:AlternateContent xmlns:mc="http://schemas.openxmlformats.org/markup-compatibility/2006">
          <mc:Choice Requires="x14">
            <control shapeId="70670" r:id="rId16" name="Check Box 14">
              <controlPr defaultSize="0" autoFill="0" autoLine="0" autoPict="0">
                <anchor moveWithCells="1">
                  <from>
                    <xdr:col>0</xdr:col>
                    <xdr:colOff>69850</xdr:colOff>
                    <xdr:row>50</xdr:row>
                    <xdr:rowOff>228600</xdr:rowOff>
                  </from>
                  <to>
                    <xdr:col>1</xdr:col>
                    <xdr:colOff>609600</xdr:colOff>
                    <xdr:row>50</xdr:row>
                    <xdr:rowOff>438150</xdr:rowOff>
                  </to>
                </anchor>
              </controlPr>
            </control>
          </mc:Choice>
        </mc:AlternateContent>
        <mc:AlternateContent xmlns:mc="http://schemas.openxmlformats.org/markup-compatibility/2006">
          <mc:Choice Requires="x14">
            <control shapeId="70671" r:id="rId17" name="Check Box 15">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70672" r:id="rId18" name="Check Box 16">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70673" r:id="rId19" name="Check Box 17">
              <controlPr defaultSize="0" autoFill="0" autoLine="0" autoPict="0">
                <anchor moveWithCells="1">
                  <from>
                    <xdr:col>0</xdr:col>
                    <xdr:colOff>69850</xdr:colOff>
                    <xdr:row>61</xdr:row>
                    <xdr:rowOff>228600</xdr:rowOff>
                  </from>
                  <to>
                    <xdr:col>1</xdr:col>
                    <xdr:colOff>609600</xdr:colOff>
                    <xdr:row>61</xdr:row>
                    <xdr:rowOff>438150</xdr:rowOff>
                  </to>
                </anchor>
              </controlPr>
            </control>
          </mc:Choice>
        </mc:AlternateContent>
        <mc:AlternateContent xmlns:mc="http://schemas.openxmlformats.org/markup-compatibility/2006">
          <mc:Choice Requires="x14">
            <control shapeId="70674" r:id="rId20" name="Check Box 18">
              <controlPr defaultSize="0" autoFill="0" autoLine="0" autoPict="0">
                <anchor moveWithCells="1">
                  <from>
                    <xdr:col>0</xdr:col>
                    <xdr:colOff>69850</xdr:colOff>
                    <xdr:row>66</xdr:row>
                    <xdr:rowOff>228600</xdr:rowOff>
                  </from>
                  <to>
                    <xdr:col>1</xdr:col>
                    <xdr:colOff>609600</xdr:colOff>
                    <xdr:row>66</xdr:row>
                    <xdr:rowOff>438150</xdr:rowOff>
                  </to>
                </anchor>
              </controlPr>
            </control>
          </mc:Choice>
        </mc:AlternateContent>
        <mc:AlternateContent xmlns:mc="http://schemas.openxmlformats.org/markup-compatibility/2006">
          <mc:Choice Requires="x14">
            <control shapeId="70675" r:id="rId21" name="Check Box 19">
              <controlPr defaultSize="0" autoFill="0" autoLine="0" autoPict="0">
                <anchor moveWithCells="1">
                  <from>
                    <xdr:col>0</xdr:col>
                    <xdr:colOff>69850</xdr:colOff>
                    <xdr:row>67</xdr:row>
                    <xdr:rowOff>228600</xdr:rowOff>
                  </from>
                  <to>
                    <xdr:col>1</xdr:col>
                    <xdr:colOff>609600</xdr:colOff>
                    <xdr:row>67</xdr:row>
                    <xdr:rowOff>438150</xdr:rowOff>
                  </to>
                </anchor>
              </controlPr>
            </control>
          </mc:Choice>
        </mc:AlternateContent>
        <mc:AlternateContent xmlns:mc="http://schemas.openxmlformats.org/markup-compatibility/2006">
          <mc:Choice Requires="x14">
            <control shapeId="70676" r:id="rId22" name="Check Box 20">
              <controlPr defaultSize="0" autoFill="0" autoLine="0" autoPict="0">
                <anchor moveWithCells="1">
                  <from>
                    <xdr:col>0</xdr:col>
                    <xdr:colOff>69850</xdr:colOff>
                    <xdr:row>69</xdr:row>
                    <xdr:rowOff>228600</xdr:rowOff>
                  </from>
                  <to>
                    <xdr:col>1</xdr:col>
                    <xdr:colOff>609600</xdr:colOff>
                    <xdr:row>69</xdr:row>
                    <xdr:rowOff>438150</xdr:rowOff>
                  </to>
                </anchor>
              </controlPr>
            </control>
          </mc:Choice>
        </mc:AlternateContent>
        <mc:AlternateContent xmlns:mc="http://schemas.openxmlformats.org/markup-compatibility/2006">
          <mc:Choice Requires="x14">
            <control shapeId="70677" r:id="rId23" name="Check Box 21">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70678" r:id="rId24" name="Check Box 22">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70679" r:id="rId25" name="Check Box 23">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70680" r:id="rId26" name="Check Box 24">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mc:AlternateContent xmlns:mc="http://schemas.openxmlformats.org/markup-compatibility/2006">
          <mc:Choice Requires="x14">
            <control shapeId="70681" r:id="rId27" name="Check Box 25">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70682" r:id="rId28" name="Check Box 26">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70683" r:id="rId29" name="Check Box 27">
              <controlPr defaultSize="0" autoFill="0" autoLine="0" autoPict="0">
                <anchor moveWithCells="1">
                  <from>
                    <xdr:col>0</xdr:col>
                    <xdr:colOff>69850</xdr:colOff>
                    <xdr:row>82</xdr:row>
                    <xdr:rowOff>228600</xdr:rowOff>
                  </from>
                  <to>
                    <xdr:col>1</xdr:col>
                    <xdr:colOff>609600</xdr:colOff>
                    <xdr:row>82</xdr:row>
                    <xdr:rowOff>438150</xdr:rowOff>
                  </to>
                </anchor>
              </controlPr>
            </control>
          </mc:Choice>
        </mc:AlternateContent>
        <mc:AlternateContent xmlns:mc="http://schemas.openxmlformats.org/markup-compatibility/2006">
          <mc:Choice Requires="x14">
            <control shapeId="70684" r:id="rId30" name="Check Box 28">
              <controlPr defaultSize="0" autoFill="0" autoLine="0" autoPict="0">
                <anchor moveWithCells="1">
                  <from>
                    <xdr:col>0</xdr:col>
                    <xdr:colOff>69850</xdr:colOff>
                    <xdr:row>89</xdr:row>
                    <xdr:rowOff>228600</xdr:rowOff>
                  </from>
                  <to>
                    <xdr:col>1</xdr:col>
                    <xdr:colOff>609600</xdr:colOff>
                    <xdr:row>89</xdr:row>
                    <xdr:rowOff>438150</xdr:rowOff>
                  </to>
                </anchor>
              </controlPr>
            </control>
          </mc:Choice>
        </mc:AlternateContent>
        <mc:AlternateContent xmlns:mc="http://schemas.openxmlformats.org/markup-compatibility/2006">
          <mc:Choice Requires="x14">
            <control shapeId="70685" r:id="rId31" name="Check Box 29">
              <controlPr defaultSize="0" autoFill="0" autoLine="0" autoPict="0">
                <anchor moveWithCells="1">
                  <from>
                    <xdr:col>0</xdr:col>
                    <xdr:colOff>69850</xdr:colOff>
                    <xdr:row>91</xdr:row>
                    <xdr:rowOff>228600</xdr:rowOff>
                  </from>
                  <to>
                    <xdr:col>1</xdr:col>
                    <xdr:colOff>609600</xdr:colOff>
                    <xdr:row>91</xdr:row>
                    <xdr:rowOff>438150</xdr:rowOff>
                  </to>
                </anchor>
              </controlPr>
            </control>
          </mc:Choice>
        </mc:AlternateContent>
        <mc:AlternateContent xmlns:mc="http://schemas.openxmlformats.org/markup-compatibility/2006">
          <mc:Choice Requires="x14">
            <control shapeId="70686" r:id="rId32" name="Check Box 30">
              <controlPr defaultSize="0" autoFill="0" autoLine="0" autoPict="0">
                <anchor moveWithCells="1">
                  <from>
                    <xdr:col>0</xdr:col>
                    <xdr:colOff>69850</xdr:colOff>
                    <xdr:row>93</xdr:row>
                    <xdr:rowOff>228600</xdr:rowOff>
                  </from>
                  <to>
                    <xdr:col>1</xdr:col>
                    <xdr:colOff>609600</xdr:colOff>
                    <xdr:row>93</xdr:row>
                    <xdr:rowOff>438150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9" tint="0.39997558519241921"/>
  </sheetPr>
  <dimension ref="A1:AB136"/>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00" customWidth="1"/>
    <col min="3" max="3" width="55.7109375" style="5" customWidth="1"/>
    <col min="4" max="4" width="52.7109375" style="5" customWidth="1"/>
    <col min="5" max="5" width="15.7109375" style="242" customWidth="1"/>
    <col min="6" max="6" width="15.7109375" style="5" customWidth="1"/>
    <col min="7" max="7" width="10.7109375" style="259" customWidth="1"/>
    <col min="8" max="9" width="26.7109375" style="5" customWidth="1"/>
    <col min="10" max="10" width="45.7109375" style="178" customWidth="1"/>
    <col min="11" max="12" width="19.7109375" style="178" hidden="1" customWidth="1"/>
    <col min="13" max="13" width="9.140625" style="178"/>
    <col min="14" max="14" width="30" style="178" hidden="1" customWidth="1"/>
    <col min="15" max="15" width="33.5703125" style="178" hidden="1" customWidth="1"/>
    <col min="16" max="16" width="13.42578125" style="178" hidden="1" customWidth="1"/>
    <col min="17" max="17" width="9.140625" style="73" hidden="1" customWidth="1"/>
    <col min="18" max="18" width="9.140625" style="178" hidden="1"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9.140625" style="178" hidden="1" customWidth="1"/>
    <col min="29" max="16384" width="9.140625" style="178"/>
  </cols>
  <sheetData>
    <row r="1" spans="1:28" ht="45" customHeight="1">
      <c r="A1" s="496"/>
      <c r="B1" s="1201" t="s">
        <v>0</v>
      </c>
      <c r="C1" s="1201"/>
      <c r="D1" s="1201"/>
      <c r="E1" s="1201"/>
      <c r="F1" s="1201"/>
      <c r="H1" s="904"/>
      <c r="I1" s="904"/>
      <c r="J1" s="496"/>
      <c r="K1" s="143" t="s">
        <v>14</v>
      </c>
      <c r="L1" s="143" t="s">
        <v>14</v>
      </c>
      <c r="M1" s="496"/>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9" t="s">
        <v>227</v>
      </c>
      <c r="C2" s="160" t="s">
        <v>228</v>
      </c>
      <c r="D2" s="192"/>
      <c r="E2" s="139" t="s">
        <v>1080</v>
      </c>
      <c r="F2" s="158" t="s">
        <v>1081</v>
      </c>
      <c r="H2" s="107" t="s">
        <v>532</v>
      </c>
      <c r="I2" s="538"/>
      <c r="J2" s="496"/>
      <c r="K2" s="496"/>
      <c r="L2" s="496"/>
      <c r="M2" s="496"/>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30" t="s">
        <v>229</v>
      </c>
      <c r="C3" s="161" t="s">
        <v>531</v>
      </c>
      <c r="D3" s="192"/>
      <c r="E3" s="192"/>
      <c r="F3" s="108"/>
      <c r="H3" s="123">
        <f>SUM(F26,F76,F85,G84,F117,F124,F137,F143)</f>
        <v>0</v>
      </c>
      <c r="I3" s="538"/>
      <c r="J3" s="496"/>
      <c r="K3" s="496"/>
      <c r="L3" s="496"/>
      <c r="M3" s="496"/>
      <c r="N3" s="496" t="s">
        <v>256</v>
      </c>
      <c r="O3" s="496"/>
      <c r="P3" s="496"/>
      <c r="Q3" s="846"/>
      <c r="R3" s="496"/>
      <c r="S3" s="538" t="s">
        <v>1083</v>
      </c>
      <c r="T3" s="933">
        <v>0.08</v>
      </c>
      <c r="U3" s="933">
        <v>0.2</v>
      </c>
      <c r="V3" s="933">
        <v>0.25</v>
      </c>
      <c r="W3" s="933">
        <v>0.1</v>
      </c>
      <c r="X3" s="933">
        <v>0.15</v>
      </c>
      <c r="Y3" s="933">
        <v>0.1</v>
      </c>
      <c r="Z3" s="933">
        <v>7.0000000000000007E-2</v>
      </c>
      <c r="AA3" s="933">
        <v>0.05</v>
      </c>
      <c r="AB3" s="934">
        <f>SUM(T3:AA3)</f>
        <v>1</v>
      </c>
    </row>
    <row r="4" spans="1:28" ht="37.5" customHeight="1">
      <c r="A4" s="496"/>
      <c r="B4" s="130" t="s">
        <v>234</v>
      </c>
      <c r="C4" s="162" t="s">
        <v>235</v>
      </c>
      <c r="D4" s="192"/>
      <c r="E4" s="192"/>
      <c r="F4" s="109"/>
      <c r="H4" s="904"/>
      <c r="I4" s="538"/>
      <c r="J4" s="496"/>
      <c r="K4" s="496"/>
      <c r="L4" s="496"/>
      <c r="M4" s="496"/>
      <c r="N4" s="496" t="s">
        <v>260</v>
      </c>
      <c r="O4" s="496"/>
      <c r="P4" s="496"/>
      <c r="Q4" s="846"/>
      <c r="R4" s="496"/>
      <c r="S4" s="538" t="s">
        <v>1084</v>
      </c>
      <c r="T4" s="933">
        <v>0.08</v>
      </c>
      <c r="U4" s="933">
        <v>0.2</v>
      </c>
      <c r="V4" s="933">
        <v>0.25</v>
      </c>
      <c r="W4" s="933">
        <v>0.1</v>
      </c>
      <c r="X4" s="933">
        <v>0.15</v>
      </c>
      <c r="Y4" s="933">
        <v>0.1</v>
      </c>
      <c r="Z4" s="933">
        <v>7.0000000000000007E-2</v>
      </c>
      <c r="AA4" s="933">
        <v>0.05</v>
      </c>
      <c r="AB4" s="934">
        <f t="shared" ref="AB4:AB10" si="0">SUM(T4:AA4)</f>
        <v>1</v>
      </c>
    </row>
    <row r="5" spans="1:28" ht="37.5" customHeight="1">
      <c r="A5" s="496"/>
      <c r="B5" s="131" t="s">
        <v>238</v>
      </c>
      <c r="C5" s="138" t="s">
        <v>1293</v>
      </c>
      <c r="D5" s="192"/>
      <c r="E5" s="192"/>
      <c r="F5" s="109"/>
      <c r="H5" s="538"/>
      <c r="I5" s="538"/>
      <c r="J5" s="496"/>
      <c r="K5" s="496"/>
      <c r="L5" s="496"/>
      <c r="M5" s="496"/>
      <c r="N5" s="496" t="s">
        <v>269</v>
      </c>
      <c r="O5" s="496"/>
      <c r="P5" s="496"/>
      <c r="Q5" s="846"/>
      <c r="R5" s="496"/>
      <c r="S5" s="538" t="s">
        <v>1085</v>
      </c>
      <c r="T5" s="933">
        <v>0.08</v>
      </c>
      <c r="U5" s="933">
        <v>0.2</v>
      </c>
      <c r="V5" s="933">
        <v>0.25</v>
      </c>
      <c r="W5" s="933">
        <v>0.1</v>
      </c>
      <c r="X5" s="933">
        <v>0.13</v>
      </c>
      <c r="Y5" s="933">
        <v>0.1</v>
      </c>
      <c r="Z5" s="933">
        <v>0.09</v>
      </c>
      <c r="AA5" s="933">
        <v>0.05</v>
      </c>
      <c r="AB5" s="934">
        <f t="shared" si="0"/>
        <v>1</v>
      </c>
    </row>
    <row r="6" spans="1:28" ht="24.95" customHeight="1">
      <c r="A6" s="496"/>
      <c r="B6" s="260"/>
      <c r="C6" s="194"/>
      <c r="D6" s="194"/>
      <c r="E6" s="195"/>
      <c r="F6" s="196"/>
      <c r="H6" s="1486" t="s">
        <v>255</v>
      </c>
      <c r="I6" s="1486"/>
      <c r="J6" s="182" t="s">
        <v>241</v>
      </c>
      <c r="K6" s="496"/>
      <c r="L6" s="496"/>
      <c r="M6" s="496"/>
      <c r="N6" s="496"/>
      <c r="O6" s="496"/>
      <c r="P6" s="496"/>
      <c r="Q6" s="846"/>
      <c r="R6" s="496"/>
      <c r="S6" s="538" t="s">
        <v>1086</v>
      </c>
      <c r="T6" s="933">
        <v>0.08</v>
      </c>
      <c r="U6" s="933">
        <v>0.2</v>
      </c>
      <c r="V6" s="933">
        <v>0.25</v>
      </c>
      <c r="W6" s="933">
        <v>0.1</v>
      </c>
      <c r="X6" s="933">
        <v>0.13</v>
      </c>
      <c r="Y6" s="933">
        <v>0.1</v>
      </c>
      <c r="Z6" s="933">
        <v>0.09</v>
      </c>
      <c r="AA6" s="933">
        <v>0.05</v>
      </c>
      <c r="AB6" s="934">
        <f t="shared" si="0"/>
        <v>1</v>
      </c>
    </row>
    <row r="7" spans="1:28" ht="42">
      <c r="A7" s="85" t="s">
        <v>242</v>
      </c>
      <c r="B7" s="261" t="s">
        <v>1087</v>
      </c>
      <c r="C7" s="198" t="s">
        <v>246</v>
      </c>
      <c r="D7" s="198"/>
      <c r="E7" s="199" t="s">
        <v>247</v>
      </c>
      <c r="F7" s="200" t="s">
        <v>248</v>
      </c>
      <c r="H7" s="248" t="s">
        <v>940</v>
      </c>
      <c r="I7" s="248" t="s">
        <v>941</v>
      </c>
      <c r="J7" s="249" t="s">
        <v>25</v>
      </c>
      <c r="K7" s="250" t="s">
        <v>252</v>
      </c>
      <c r="L7" s="249" t="s">
        <v>253</v>
      </c>
      <c r="M7" s="496"/>
      <c r="N7" s="496" t="s">
        <v>255</v>
      </c>
      <c r="O7" s="496" t="s">
        <v>241</v>
      </c>
      <c r="P7" s="496"/>
      <c r="Q7" s="846"/>
      <c r="R7" s="496"/>
      <c r="S7" s="538" t="s">
        <v>1088</v>
      </c>
      <c r="T7" s="933">
        <v>0.08</v>
      </c>
      <c r="U7" s="933">
        <v>0.2</v>
      </c>
      <c r="V7" s="933">
        <v>0.25</v>
      </c>
      <c r="W7" s="933">
        <v>0.1</v>
      </c>
      <c r="X7" s="933">
        <v>0.18</v>
      </c>
      <c r="Y7" s="933">
        <v>0.1</v>
      </c>
      <c r="Z7" s="933">
        <v>0.04</v>
      </c>
      <c r="AA7" s="933">
        <v>0.05</v>
      </c>
      <c r="AB7" s="934">
        <f t="shared" si="0"/>
        <v>1</v>
      </c>
    </row>
    <row r="8" spans="1:28" s="247" customFormat="1" ht="45" customHeight="1">
      <c r="B8" s="262" t="s">
        <v>254</v>
      </c>
      <c r="C8" s="205"/>
      <c r="D8" s="206" t="s">
        <v>1089</v>
      </c>
      <c r="E8" s="207" t="str">
        <f>IFERROR(VLOOKUP($F$2,$S$3:$AA$10,2,FALSE),"")</f>
        <v/>
      </c>
      <c r="F8" s="208"/>
      <c r="G8" s="259"/>
      <c r="H8" s="209"/>
      <c r="I8" s="209"/>
      <c r="J8" s="209"/>
      <c r="K8" s="209"/>
      <c r="L8" s="209"/>
      <c r="M8" s="496"/>
      <c r="N8" s="496" t="s">
        <v>240</v>
      </c>
      <c r="O8" s="210" t="s">
        <v>259</v>
      </c>
      <c r="P8" s="496"/>
      <c r="Q8" s="846"/>
      <c r="S8" s="538" t="s">
        <v>1090</v>
      </c>
      <c r="T8" s="933">
        <v>0.08</v>
      </c>
      <c r="U8" s="933">
        <v>0.2</v>
      </c>
      <c r="V8" s="933">
        <v>0.2</v>
      </c>
      <c r="W8" s="933">
        <v>0.1</v>
      </c>
      <c r="X8" s="933">
        <v>0.18</v>
      </c>
      <c r="Y8" s="933">
        <v>0.1</v>
      </c>
      <c r="Z8" s="933">
        <v>0.09</v>
      </c>
      <c r="AA8" s="933">
        <v>0.05</v>
      </c>
      <c r="AB8" s="934">
        <f t="shared" si="0"/>
        <v>1</v>
      </c>
    </row>
    <row r="9" spans="1:28" ht="45" customHeight="1">
      <c r="A9" s="222"/>
      <c r="B9" s="263" t="s">
        <v>1091</v>
      </c>
      <c r="C9" s="952" t="s">
        <v>257</v>
      </c>
      <c r="D9" s="952"/>
      <c r="E9" s="936">
        <v>2</v>
      </c>
      <c r="F9" s="455"/>
      <c r="H9" s="903"/>
      <c r="I9" s="903"/>
      <c r="J9" s="937"/>
      <c r="K9" s="924" t="str">
        <f t="shared" ref="K9:L20" si="1">IF(ISBLANK($F9)=FALSE,IF(H9="","No","Yes"),"")</f>
        <v/>
      </c>
      <c r="L9" s="924" t="str">
        <f t="shared" si="1"/>
        <v/>
      </c>
      <c r="M9" s="496"/>
      <c r="N9" s="496" t="s">
        <v>267</v>
      </c>
      <c r="O9" s="496" t="s">
        <v>268</v>
      </c>
      <c r="P9" s="496"/>
      <c r="Q9" s="846"/>
      <c r="R9" s="496"/>
      <c r="S9" s="538" t="s">
        <v>1092</v>
      </c>
      <c r="T9" s="933">
        <v>0.08</v>
      </c>
      <c r="U9" s="933">
        <v>0.2</v>
      </c>
      <c r="V9" s="933">
        <v>0.25</v>
      </c>
      <c r="W9" s="933">
        <v>0.1</v>
      </c>
      <c r="X9" s="933">
        <v>0.18</v>
      </c>
      <c r="Y9" s="933">
        <v>0.1</v>
      </c>
      <c r="Z9" s="933">
        <v>0.04</v>
      </c>
      <c r="AA9" s="933">
        <v>0.05</v>
      </c>
      <c r="AB9" s="934">
        <f t="shared" si="0"/>
        <v>1</v>
      </c>
    </row>
    <row r="10" spans="1:28" ht="45" customHeight="1">
      <c r="A10" s="222"/>
      <c r="B10" s="1484" t="s">
        <v>1093</v>
      </c>
      <c r="C10" s="1480" t="s">
        <v>1094</v>
      </c>
      <c r="D10" s="952" t="s">
        <v>1095</v>
      </c>
      <c r="E10" s="936">
        <v>1</v>
      </c>
      <c r="F10" s="455"/>
      <c r="H10" s="903"/>
      <c r="I10" s="903"/>
      <c r="J10" s="937"/>
      <c r="K10" s="924" t="str">
        <f>IF(ISBLANK($F10)=FALSE,IF(H10="","No","Yes"),"")</f>
        <v/>
      </c>
      <c r="L10" s="924" t="str">
        <f>IF(ISBLANK($F10)=FALSE,IF(I10="","No","Yes"),"")</f>
        <v/>
      </c>
      <c r="M10" s="496"/>
      <c r="N10" s="496"/>
      <c r="O10" s="496"/>
      <c r="P10" s="496"/>
      <c r="Q10" s="846"/>
      <c r="R10" s="496"/>
      <c r="S10" s="538" t="s">
        <v>1096</v>
      </c>
      <c r="T10" s="933">
        <v>0.08</v>
      </c>
      <c r="U10" s="933">
        <v>0.2</v>
      </c>
      <c r="V10" s="933">
        <v>0.25</v>
      </c>
      <c r="W10" s="933">
        <v>0.1</v>
      </c>
      <c r="X10" s="933">
        <v>0.15</v>
      </c>
      <c r="Y10" s="933">
        <v>0.1</v>
      </c>
      <c r="Z10" s="933">
        <v>7.0000000000000007E-2</v>
      </c>
      <c r="AA10" s="933">
        <v>0.05</v>
      </c>
      <c r="AB10" s="934">
        <f t="shared" si="0"/>
        <v>1</v>
      </c>
    </row>
    <row r="11" spans="1:28" ht="45" customHeight="1">
      <c r="A11" s="222"/>
      <c r="B11" s="1485"/>
      <c r="C11" s="1481"/>
      <c r="D11" s="952" t="s">
        <v>1097</v>
      </c>
      <c r="E11" s="936">
        <v>1</v>
      </c>
      <c r="F11" s="455"/>
      <c r="H11" s="903"/>
      <c r="I11" s="903"/>
      <c r="J11" s="937"/>
      <c r="K11" s="924" t="str">
        <f t="shared" si="1"/>
        <v/>
      </c>
      <c r="L11" s="924" t="str">
        <f t="shared" si="1"/>
        <v/>
      </c>
      <c r="M11" s="496"/>
      <c r="N11" s="496" t="s">
        <v>266</v>
      </c>
      <c r="O11" s="496"/>
      <c r="P11" s="496"/>
      <c r="Q11" s="846"/>
      <c r="R11" s="496"/>
      <c r="S11" s="496"/>
      <c r="T11" s="496"/>
      <c r="U11" s="496"/>
      <c r="V11" s="496"/>
      <c r="W11" s="496"/>
      <c r="X11" s="496"/>
      <c r="Y11" s="496"/>
      <c r="Z11" s="496"/>
      <c r="AA11" s="496"/>
      <c r="AB11" s="496"/>
    </row>
    <row r="12" spans="1:28" ht="45" customHeight="1">
      <c r="A12" s="222"/>
      <c r="B12" s="263" t="s">
        <v>1098</v>
      </c>
      <c r="C12" s="952" t="s">
        <v>1099</v>
      </c>
      <c r="D12" s="952"/>
      <c r="E12" s="936">
        <v>1</v>
      </c>
      <c r="F12" s="455"/>
      <c r="H12" s="903"/>
      <c r="I12" s="903"/>
      <c r="J12" s="937"/>
      <c r="K12" s="924" t="str">
        <f t="shared" si="1"/>
        <v/>
      </c>
      <c r="L12" s="924" t="str">
        <f t="shared" si="1"/>
        <v/>
      </c>
      <c r="M12" s="496"/>
      <c r="N12" s="496" t="s">
        <v>274</v>
      </c>
      <c r="O12" s="496"/>
      <c r="P12" s="496"/>
      <c r="Q12" s="846"/>
      <c r="R12" s="496"/>
      <c r="S12" s="496"/>
      <c r="T12" s="496"/>
      <c r="U12" s="496"/>
      <c r="V12" s="496"/>
      <c r="W12" s="496"/>
      <c r="X12" s="496"/>
      <c r="Y12" s="496"/>
      <c r="Z12" s="496"/>
      <c r="AA12" s="496"/>
      <c r="AB12" s="496"/>
    </row>
    <row r="13" spans="1:28" ht="45" customHeight="1">
      <c r="A13" s="222"/>
      <c r="B13" s="263" t="s">
        <v>1100</v>
      </c>
      <c r="C13" s="952" t="s">
        <v>281</v>
      </c>
      <c r="D13" s="952"/>
      <c r="E13" s="936">
        <v>1</v>
      </c>
      <c r="F13" s="455"/>
      <c r="H13" s="903"/>
      <c r="I13" s="903"/>
      <c r="J13" s="937"/>
      <c r="K13" s="924" t="str">
        <f t="shared" si="1"/>
        <v/>
      </c>
      <c r="L13" s="924" t="str">
        <f t="shared" si="1"/>
        <v/>
      </c>
      <c r="M13" s="496"/>
      <c r="N13" s="496"/>
      <c r="O13" s="496"/>
      <c r="P13" s="496"/>
      <c r="Q13" s="846"/>
      <c r="R13" s="496"/>
      <c r="S13" s="496"/>
      <c r="T13" s="496"/>
      <c r="U13" s="496"/>
      <c r="V13" s="496"/>
      <c r="W13" s="496"/>
      <c r="X13" s="496"/>
      <c r="Y13" s="496"/>
      <c r="Z13" s="496"/>
      <c r="AA13" s="496"/>
      <c r="AB13" s="496"/>
    </row>
    <row r="14" spans="1:28" ht="45" customHeight="1">
      <c r="A14" s="222"/>
      <c r="B14" s="263" t="s">
        <v>1101</v>
      </c>
      <c r="C14" s="952" t="s">
        <v>1272</v>
      </c>
      <c r="D14" s="952"/>
      <c r="E14" s="936">
        <v>1</v>
      </c>
      <c r="F14" s="455"/>
      <c r="H14" s="903"/>
      <c r="I14" s="903"/>
      <c r="J14" s="937"/>
      <c r="K14" s="924" t="str">
        <f t="shared" si="1"/>
        <v/>
      </c>
      <c r="L14" s="924" t="str">
        <f t="shared" si="1"/>
        <v/>
      </c>
      <c r="M14" s="496"/>
      <c r="N14" s="496"/>
      <c r="O14" s="496"/>
      <c r="P14" s="496"/>
      <c r="Q14" s="846"/>
      <c r="R14" s="496"/>
      <c r="S14" s="496"/>
      <c r="T14" s="496"/>
      <c r="U14" s="496"/>
      <c r="V14" s="496"/>
      <c r="W14" s="496"/>
      <c r="X14" s="496"/>
      <c r="Y14" s="496"/>
      <c r="Z14" s="496"/>
      <c r="AA14" s="496"/>
      <c r="AB14" s="496"/>
    </row>
    <row r="15" spans="1:28" ht="45" customHeight="1">
      <c r="A15" s="222"/>
      <c r="B15" s="1484" t="s">
        <v>1103</v>
      </c>
      <c r="C15" s="1480" t="s">
        <v>680</v>
      </c>
      <c r="D15" s="952" t="s">
        <v>298</v>
      </c>
      <c r="E15" s="936">
        <v>2</v>
      </c>
      <c r="F15" s="455"/>
      <c r="H15" s="903"/>
      <c r="I15" s="903"/>
      <c r="J15" s="937"/>
      <c r="K15" s="924" t="str">
        <f t="shared" si="1"/>
        <v/>
      </c>
      <c r="L15" s="924"/>
      <c r="M15" s="496"/>
      <c r="N15" s="496"/>
      <c r="O15" s="496"/>
      <c r="P15" s="496"/>
      <c r="Q15" s="846"/>
      <c r="R15" s="496"/>
      <c r="S15" s="496"/>
      <c r="T15" s="496"/>
      <c r="U15" s="496"/>
      <c r="V15" s="496"/>
      <c r="W15" s="496"/>
      <c r="X15" s="496"/>
      <c r="Y15" s="496"/>
      <c r="Z15" s="496"/>
      <c r="AA15" s="496"/>
      <c r="AB15" s="496"/>
    </row>
    <row r="16" spans="1:28" ht="45" customHeight="1">
      <c r="A16" s="222"/>
      <c r="B16" s="1485"/>
      <c r="C16" s="1481"/>
      <c r="D16" s="952" t="s">
        <v>682</v>
      </c>
      <c r="E16" s="936">
        <v>1</v>
      </c>
      <c r="F16" s="455"/>
      <c r="H16" s="903"/>
      <c r="I16" s="903"/>
      <c r="J16" s="937"/>
      <c r="K16" s="924" t="str">
        <f t="shared" si="1"/>
        <v/>
      </c>
      <c r="L16" s="924" t="str">
        <f t="shared" si="1"/>
        <v/>
      </c>
      <c r="M16" s="496"/>
      <c r="N16" s="496"/>
      <c r="O16" s="496"/>
      <c r="P16" s="496"/>
      <c r="Q16" s="846"/>
      <c r="R16" s="496"/>
      <c r="S16" s="496"/>
      <c r="T16" s="496"/>
      <c r="U16" s="496"/>
      <c r="V16" s="496"/>
      <c r="W16" s="496"/>
      <c r="X16" s="496"/>
      <c r="Y16" s="496"/>
      <c r="Z16" s="496"/>
      <c r="AA16" s="496"/>
      <c r="AB16" s="496"/>
    </row>
    <row r="17" spans="1:28" s="247" customFormat="1" ht="45" customHeight="1">
      <c r="B17" s="263" t="s">
        <v>1104</v>
      </c>
      <c r="C17" s="952" t="s">
        <v>785</v>
      </c>
      <c r="D17" s="952"/>
      <c r="E17" s="936">
        <v>2</v>
      </c>
      <c r="F17" s="455"/>
      <c r="G17" s="259"/>
      <c r="H17" s="903"/>
      <c r="I17" s="903"/>
      <c r="J17" s="937"/>
      <c r="K17" s="924" t="str">
        <f t="shared" si="1"/>
        <v/>
      </c>
      <c r="L17" s="924" t="str">
        <f t="shared" si="1"/>
        <v/>
      </c>
      <c r="M17" s="496"/>
      <c r="N17" s="496"/>
      <c r="O17" s="222"/>
      <c r="P17" s="496"/>
      <c r="Q17" s="846"/>
      <c r="S17" s="496"/>
      <c r="T17" s="496"/>
      <c r="U17" s="496"/>
      <c r="V17" s="496"/>
      <c r="W17" s="496"/>
      <c r="X17" s="496"/>
      <c r="Y17" s="496"/>
      <c r="Z17" s="496"/>
      <c r="AA17" s="496"/>
      <c r="AB17" s="496"/>
    </row>
    <row r="18" spans="1:28" ht="45" customHeight="1">
      <c r="A18" s="222"/>
      <c r="B18" s="1484" t="s">
        <v>1273</v>
      </c>
      <c r="C18" s="1480" t="s">
        <v>294</v>
      </c>
      <c r="D18" s="952" t="s">
        <v>1178</v>
      </c>
      <c r="E18" s="936">
        <v>2</v>
      </c>
      <c r="F18" s="455"/>
      <c r="H18" s="903"/>
      <c r="I18" s="903"/>
      <c r="J18" s="937"/>
      <c r="K18" s="924" t="str">
        <f>IF(ISBLANK($F18)=FALSE,IF(H18="","No","Yes"),"")</f>
        <v/>
      </c>
      <c r="L18" s="924" t="str">
        <f>IF(ISBLANK($F18)=FALSE,IF(I18="","No","Yes"),"")</f>
        <v/>
      </c>
      <c r="M18" s="496"/>
      <c r="N18" s="496"/>
      <c r="O18" s="496"/>
      <c r="P18" s="496"/>
      <c r="Q18" s="846"/>
      <c r="R18" s="496"/>
      <c r="S18" s="247"/>
      <c r="T18" s="247"/>
      <c r="U18" s="247"/>
      <c r="V18" s="247"/>
      <c r="W18" s="247"/>
      <c r="X18" s="247"/>
      <c r="Y18" s="247"/>
      <c r="Z18" s="247"/>
      <c r="AA18" s="247"/>
      <c r="AB18" s="496"/>
    </row>
    <row r="19" spans="1:28" ht="45" customHeight="1">
      <c r="A19" s="222"/>
      <c r="B19" s="1487"/>
      <c r="C19" s="1483"/>
      <c r="D19" s="952" t="s">
        <v>1294</v>
      </c>
      <c r="E19" s="936">
        <v>2</v>
      </c>
      <c r="F19" s="455"/>
      <c r="H19" s="903"/>
      <c r="I19" s="903"/>
      <c r="J19" s="937"/>
      <c r="K19" s="924" t="str">
        <f>IF(ISBLANK($F19)=FALSE,IF(H19="","No","Yes"),"")</f>
        <v/>
      </c>
      <c r="L19" s="924" t="str">
        <f>IF(ISBLANK($F19)=FALSE,IF(I19="","No","Yes"),"")</f>
        <v/>
      </c>
      <c r="M19" s="496"/>
      <c r="N19" s="496"/>
      <c r="O19" s="496"/>
      <c r="P19" s="496"/>
      <c r="Q19" s="846"/>
      <c r="R19" s="496"/>
      <c r="S19" s="496"/>
      <c r="T19" s="496"/>
      <c r="U19" s="496"/>
      <c r="V19" s="496"/>
      <c r="W19" s="496"/>
      <c r="X19" s="496"/>
      <c r="Y19" s="496"/>
      <c r="Z19" s="496"/>
      <c r="AA19" s="496"/>
      <c r="AB19" s="247"/>
    </row>
    <row r="20" spans="1:28" ht="45" customHeight="1">
      <c r="A20" s="222"/>
      <c r="B20" s="1485"/>
      <c r="C20" s="1481"/>
      <c r="D20" s="952" t="s">
        <v>1295</v>
      </c>
      <c r="E20" s="936">
        <v>2</v>
      </c>
      <c r="F20" s="455"/>
      <c r="H20" s="903"/>
      <c r="I20" s="903"/>
      <c r="J20" s="937"/>
      <c r="K20" s="924" t="str">
        <f t="shared" si="1"/>
        <v/>
      </c>
      <c r="L20" s="924" t="str">
        <f t="shared" si="1"/>
        <v/>
      </c>
      <c r="M20" s="496"/>
      <c r="N20" s="496"/>
      <c r="O20" s="496"/>
      <c r="P20" s="496"/>
      <c r="Q20" s="846"/>
      <c r="R20" s="496"/>
      <c r="S20" s="496"/>
      <c r="T20" s="496"/>
      <c r="U20" s="496"/>
      <c r="V20" s="496"/>
      <c r="W20" s="496"/>
      <c r="X20" s="496"/>
      <c r="Y20" s="496"/>
      <c r="Z20" s="496"/>
      <c r="AA20" s="496"/>
      <c r="AB20" s="496"/>
    </row>
    <row r="21" spans="1:28" ht="45" customHeight="1">
      <c r="A21" s="222"/>
      <c r="B21" s="176" t="s">
        <v>963</v>
      </c>
      <c r="C21" s="85" t="s">
        <v>1115</v>
      </c>
      <c r="D21" s="85"/>
      <c r="E21" s="85">
        <f>SUM(E9:E20)</f>
        <v>18</v>
      </c>
      <c r="F21" s="264" t="str">
        <f>IFERROR(SUM(F9:F20)/E21*E8*100,"")</f>
        <v/>
      </c>
      <c r="H21" s="85"/>
      <c r="I21" s="85"/>
      <c r="J21" s="176"/>
      <c r="K21" s="176"/>
      <c r="L21" s="176"/>
      <c r="M21" s="496"/>
      <c r="N21" s="496"/>
      <c r="O21" s="496"/>
      <c r="P21" s="496"/>
      <c r="Q21" s="846"/>
      <c r="R21" s="496"/>
      <c r="S21" s="496"/>
      <c r="T21" s="496"/>
      <c r="U21" s="496"/>
      <c r="V21" s="496"/>
      <c r="W21" s="496"/>
      <c r="X21" s="496"/>
      <c r="Y21" s="496"/>
      <c r="Z21" s="496"/>
      <c r="AA21" s="496"/>
      <c r="AB21" s="496"/>
    </row>
    <row r="22" spans="1:28" ht="45" customHeight="1">
      <c r="A22" s="222"/>
      <c r="B22" s="221"/>
      <c r="C22" s="196" t="s">
        <v>1115</v>
      </c>
      <c r="D22" s="196"/>
      <c r="E22" s="196"/>
      <c r="F22" s="196"/>
      <c r="H22" s="538"/>
      <c r="I22" s="538"/>
      <c r="J22" s="496"/>
      <c r="K22" s="496"/>
      <c r="L22" s="496"/>
      <c r="M22" s="496"/>
      <c r="N22" s="496"/>
      <c r="O22" s="496"/>
      <c r="P22" s="496"/>
      <c r="Q22" s="846"/>
      <c r="R22" s="496"/>
      <c r="S22" s="496"/>
      <c r="T22" s="496"/>
      <c r="U22" s="496"/>
      <c r="V22" s="496"/>
      <c r="W22" s="496"/>
      <c r="X22" s="496"/>
      <c r="Y22" s="496"/>
      <c r="Z22" s="496"/>
      <c r="AA22" s="496"/>
      <c r="AB22" s="496"/>
    </row>
    <row r="23" spans="1:28" ht="45" customHeight="1">
      <c r="A23" s="222"/>
      <c r="B23" s="262" t="s">
        <v>306</v>
      </c>
      <c r="C23" s="205"/>
      <c r="D23" s="206" t="s">
        <v>1089</v>
      </c>
      <c r="E23" s="207" t="str">
        <f>IFERROR(VLOOKUP($F$2,$S$3:$AA$10,3,FALSE),"")</f>
        <v/>
      </c>
      <c r="F23" s="208"/>
      <c r="H23" s="226"/>
      <c r="I23" s="226"/>
      <c r="J23" s="226"/>
      <c r="K23" s="226"/>
      <c r="L23" s="226"/>
      <c r="M23" s="496"/>
      <c r="N23" s="496"/>
      <c r="O23" s="496"/>
      <c r="P23" s="496"/>
      <c r="Q23" s="846"/>
      <c r="R23" s="496"/>
      <c r="S23" s="496"/>
      <c r="T23" s="496"/>
      <c r="U23" s="496"/>
      <c r="V23" s="496"/>
      <c r="W23" s="496"/>
      <c r="X23" s="496"/>
      <c r="Y23" s="496"/>
      <c r="Z23" s="496"/>
      <c r="AA23" s="496"/>
      <c r="AB23" s="496"/>
    </row>
    <row r="24" spans="1:28" ht="45" customHeight="1">
      <c r="A24" s="222"/>
      <c r="B24" s="263" t="s">
        <v>1122</v>
      </c>
      <c r="C24" s="952" t="s">
        <v>326</v>
      </c>
      <c r="D24" s="952"/>
      <c r="E24" s="936">
        <v>2</v>
      </c>
      <c r="F24" s="455"/>
      <c r="H24" s="903"/>
      <c r="I24" s="903"/>
      <c r="J24" s="937"/>
      <c r="K24" s="924" t="str">
        <f t="shared" ref="K24:K37" si="2">IF(ISBLANK($F24)=FALSE,IF(H24="","No","Yes"),"")</f>
        <v/>
      </c>
      <c r="L24" s="924" t="str">
        <f t="shared" ref="L24:L37" si="3">IF(ISBLANK($F24)=FALSE,IF(I24="","No","Yes"),"")</f>
        <v/>
      </c>
      <c r="M24" s="496"/>
      <c r="N24" s="496"/>
      <c r="O24" s="496"/>
      <c r="P24" s="496"/>
      <c r="Q24" s="846"/>
      <c r="R24" s="496"/>
      <c r="S24" s="496"/>
      <c r="T24" s="496"/>
      <c r="U24" s="496"/>
      <c r="V24" s="496"/>
      <c r="W24" s="496"/>
      <c r="X24" s="496"/>
      <c r="Y24" s="496"/>
      <c r="Z24" s="496"/>
      <c r="AA24" s="496"/>
      <c r="AB24" s="496"/>
    </row>
    <row r="25" spans="1:28" ht="45" customHeight="1">
      <c r="A25" s="222"/>
      <c r="B25" s="263" t="s">
        <v>1123</v>
      </c>
      <c r="C25" s="952" t="s">
        <v>332</v>
      </c>
      <c r="D25" s="952"/>
      <c r="E25" s="936">
        <v>2</v>
      </c>
      <c r="F25" s="455"/>
      <c r="H25" s="903"/>
      <c r="I25" s="903"/>
      <c r="J25" s="937"/>
      <c r="K25" s="924" t="str">
        <f t="shared" si="2"/>
        <v/>
      </c>
      <c r="L25" s="924" t="str">
        <f t="shared" si="3"/>
        <v/>
      </c>
      <c r="M25" s="496"/>
      <c r="N25" s="496"/>
      <c r="O25" s="496"/>
      <c r="P25" s="496"/>
      <c r="Q25" s="846"/>
      <c r="R25" s="496"/>
      <c r="S25" s="496"/>
      <c r="T25" s="496"/>
      <c r="U25" s="496"/>
      <c r="V25" s="496"/>
      <c r="W25" s="496"/>
      <c r="X25" s="496"/>
      <c r="Y25" s="496"/>
      <c r="Z25" s="496"/>
      <c r="AA25" s="496"/>
      <c r="AB25" s="496"/>
    </row>
    <row r="26" spans="1:28" ht="45" customHeight="1">
      <c r="A26" s="222"/>
      <c r="B26" s="263" t="s">
        <v>1124</v>
      </c>
      <c r="C26" s="952" t="s">
        <v>597</v>
      </c>
      <c r="D26" s="952"/>
      <c r="E26" s="936">
        <v>1</v>
      </c>
      <c r="F26" s="455"/>
      <c r="H26" s="903"/>
      <c r="I26" s="903"/>
      <c r="J26" s="937"/>
      <c r="K26" s="924" t="str">
        <f>IF(OR(ISBLANK($F26)=FALSE,$Q26=TRUE),IF(H26="","No","Yes"),"")</f>
        <v/>
      </c>
      <c r="L26" s="924" t="str">
        <f>IF(ISBLANK($F26)=FALSE,IF(I26="","No","Yes"),IF($Q26=TRUE,"NA",""))</f>
        <v/>
      </c>
      <c r="M26" s="496"/>
      <c r="N26" s="496"/>
      <c r="O26" s="496"/>
      <c r="P26" s="496" t="s">
        <v>242</v>
      </c>
      <c r="Q26" s="846" t="b">
        <v>0</v>
      </c>
      <c r="R26" s="496"/>
      <c r="S26" s="496"/>
      <c r="T26" s="496"/>
      <c r="U26" s="496"/>
      <c r="V26" s="496"/>
      <c r="W26" s="496"/>
      <c r="X26" s="496"/>
      <c r="Y26" s="496"/>
      <c r="Z26" s="496"/>
      <c r="AA26" s="496"/>
      <c r="AB26" s="496"/>
    </row>
    <row r="27" spans="1:28" ht="45" customHeight="1">
      <c r="A27" s="222"/>
      <c r="B27" s="263" t="s">
        <v>1125</v>
      </c>
      <c r="C27" s="952" t="s">
        <v>314</v>
      </c>
      <c r="D27" s="952"/>
      <c r="E27" s="936">
        <v>2</v>
      </c>
      <c r="F27" s="455"/>
      <c r="H27" s="903"/>
      <c r="I27" s="903"/>
      <c r="J27" s="937"/>
      <c r="K27" s="924" t="str">
        <f t="shared" si="2"/>
        <v/>
      </c>
      <c r="L27" s="924" t="str">
        <f t="shared" si="3"/>
        <v/>
      </c>
      <c r="M27" s="496"/>
      <c r="N27" s="496"/>
      <c r="O27" s="496"/>
      <c r="P27" s="496"/>
      <c r="Q27" s="846"/>
      <c r="R27" s="496"/>
      <c r="S27" s="496"/>
      <c r="T27" s="496"/>
      <c r="U27" s="496"/>
      <c r="V27" s="496"/>
      <c r="W27" s="496"/>
      <c r="X27" s="496"/>
      <c r="Y27" s="496"/>
      <c r="Z27" s="496"/>
      <c r="AA27" s="496"/>
      <c r="AB27" s="496"/>
    </row>
    <row r="28" spans="1:28" s="247" customFormat="1" ht="45" customHeight="1">
      <c r="B28" s="1484" t="s">
        <v>1126</v>
      </c>
      <c r="C28" s="1480" t="s">
        <v>1127</v>
      </c>
      <c r="D28" s="952" t="s">
        <v>1128</v>
      </c>
      <c r="E28" s="936">
        <v>1</v>
      </c>
      <c r="F28" s="455"/>
      <c r="G28" s="259"/>
      <c r="H28" s="903"/>
      <c r="I28" s="903"/>
      <c r="J28" s="937"/>
      <c r="K28" s="924" t="str">
        <f t="shared" si="2"/>
        <v/>
      </c>
      <c r="L28" s="924" t="str">
        <f t="shared" si="3"/>
        <v/>
      </c>
      <c r="M28" s="496"/>
      <c r="N28" s="222"/>
      <c r="O28" s="222"/>
      <c r="P28" s="496"/>
      <c r="Q28" s="846"/>
      <c r="S28" s="496"/>
      <c r="T28" s="496"/>
      <c r="U28" s="496"/>
      <c r="V28" s="496"/>
      <c r="W28" s="496"/>
      <c r="X28" s="496"/>
      <c r="Y28" s="496"/>
      <c r="Z28" s="496"/>
      <c r="AA28" s="496"/>
      <c r="AB28" s="496"/>
    </row>
    <row r="29" spans="1:28" ht="45" customHeight="1">
      <c r="A29" s="222"/>
      <c r="B29" s="1487"/>
      <c r="C29" s="1483"/>
      <c r="D29" s="952" t="s">
        <v>1129</v>
      </c>
      <c r="E29" s="936">
        <v>1</v>
      </c>
      <c r="F29" s="455"/>
      <c r="H29" s="903"/>
      <c r="I29" s="903"/>
      <c r="J29" s="937"/>
      <c r="K29" s="924" t="str">
        <f t="shared" si="2"/>
        <v/>
      </c>
      <c r="L29" s="924" t="str">
        <f t="shared" si="3"/>
        <v/>
      </c>
      <c r="M29" s="496"/>
      <c r="N29" s="496"/>
      <c r="O29" s="496"/>
      <c r="P29" s="496"/>
      <c r="Q29" s="846"/>
      <c r="R29" s="496"/>
      <c r="S29" s="247"/>
      <c r="T29" s="247"/>
      <c r="U29" s="247"/>
      <c r="V29" s="247"/>
      <c r="W29" s="247"/>
      <c r="X29" s="247"/>
      <c r="Y29" s="247"/>
      <c r="Z29" s="247"/>
      <c r="AA29" s="247"/>
      <c r="AB29" s="496"/>
    </row>
    <row r="30" spans="1:28" ht="45" customHeight="1">
      <c r="A30" s="222"/>
      <c r="B30" s="1487"/>
      <c r="C30" s="1483"/>
      <c r="D30" s="952" t="s">
        <v>1130</v>
      </c>
      <c r="E30" s="936">
        <v>1</v>
      </c>
      <c r="F30" s="455"/>
      <c r="H30" s="903"/>
      <c r="I30" s="903"/>
      <c r="J30" s="937"/>
      <c r="K30" s="924" t="str">
        <f t="shared" si="2"/>
        <v/>
      </c>
      <c r="L30" s="924" t="str">
        <f t="shared" si="3"/>
        <v/>
      </c>
      <c r="M30" s="496"/>
      <c r="N30" s="496"/>
      <c r="O30" s="496"/>
      <c r="P30" s="496"/>
      <c r="Q30" s="846"/>
      <c r="R30" s="496"/>
      <c r="S30" s="496"/>
      <c r="T30" s="496"/>
      <c r="U30" s="496"/>
      <c r="V30" s="496"/>
      <c r="W30" s="496"/>
      <c r="X30" s="496"/>
      <c r="Y30" s="496"/>
      <c r="Z30" s="496"/>
      <c r="AA30" s="496"/>
      <c r="AB30" s="247"/>
    </row>
    <row r="31" spans="1:28" ht="45" customHeight="1">
      <c r="A31" s="222"/>
      <c r="B31" s="1485"/>
      <c r="C31" s="1481"/>
      <c r="D31" s="952" t="s">
        <v>991</v>
      </c>
      <c r="E31" s="936">
        <v>1</v>
      </c>
      <c r="F31" s="455"/>
      <c r="H31" s="903"/>
      <c r="I31" s="903"/>
      <c r="J31" s="937"/>
      <c r="K31" s="924" t="str">
        <f>IF(OR(ISBLANK($F31)=FALSE,$Q31=TRUE),IF(H31="","No","Yes"),"")</f>
        <v/>
      </c>
      <c r="L31" s="924" t="str">
        <f>IF(ISBLANK($F31)=FALSE,IF(I31="","No","Yes"),IF($Q31=TRUE,"NA",""))</f>
        <v/>
      </c>
      <c r="M31" s="496"/>
      <c r="N31" s="496"/>
      <c r="O31" s="496"/>
      <c r="P31" s="496" t="s">
        <v>242</v>
      </c>
      <c r="Q31" s="846" t="b">
        <v>0</v>
      </c>
      <c r="R31" s="496"/>
      <c r="S31" s="496"/>
      <c r="T31" s="496"/>
      <c r="U31" s="496"/>
      <c r="V31" s="496"/>
      <c r="W31" s="496"/>
      <c r="X31" s="496"/>
      <c r="Y31" s="496"/>
      <c r="Z31" s="496"/>
      <c r="AA31" s="496"/>
      <c r="AB31" s="496"/>
    </row>
    <row r="32" spans="1:28" ht="45" customHeight="1">
      <c r="A32" s="222"/>
      <c r="B32" s="263" t="s">
        <v>1132</v>
      </c>
      <c r="C32" s="952" t="s">
        <v>1133</v>
      </c>
      <c r="D32" s="952"/>
      <c r="E32" s="936">
        <v>1</v>
      </c>
      <c r="F32" s="455"/>
      <c r="H32" s="903"/>
      <c r="I32" s="903"/>
      <c r="J32" s="937"/>
      <c r="K32" s="924" t="str">
        <f>IF(OR(ISBLANK($F32)=FALSE,$Q32=TRUE),IF(H32="","No","Yes"),"")</f>
        <v/>
      </c>
      <c r="L32" s="924" t="str">
        <f>IF(ISBLANK($F32)=FALSE,IF(I32="","No","Yes"),IF($Q32=TRUE,"NA",""))</f>
        <v/>
      </c>
      <c r="M32" s="496"/>
      <c r="N32" s="496"/>
      <c r="O32" s="496"/>
      <c r="P32" s="496" t="s">
        <v>242</v>
      </c>
      <c r="Q32" s="846" t="b">
        <v>0</v>
      </c>
      <c r="R32" s="496"/>
      <c r="S32" s="496"/>
      <c r="T32" s="496"/>
      <c r="U32" s="496"/>
      <c r="V32" s="496"/>
      <c r="W32" s="496"/>
      <c r="X32" s="496"/>
      <c r="Y32" s="496"/>
      <c r="Z32" s="496"/>
      <c r="AA32" s="496"/>
      <c r="AB32" s="496"/>
    </row>
    <row r="33" spans="1:28" ht="45" customHeight="1">
      <c r="A33" s="222"/>
      <c r="B33" s="263" t="s">
        <v>1140</v>
      </c>
      <c r="C33" s="952" t="s">
        <v>1141</v>
      </c>
      <c r="D33" s="952"/>
      <c r="E33" s="936">
        <v>1</v>
      </c>
      <c r="F33" s="455"/>
      <c r="H33" s="903"/>
      <c r="I33" s="903"/>
      <c r="J33" s="937"/>
      <c r="K33" s="924" t="str">
        <f t="shared" si="2"/>
        <v/>
      </c>
      <c r="L33" s="924" t="str">
        <f t="shared" si="3"/>
        <v/>
      </c>
      <c r="M33" s="496"/>
      <c r="N33" s="496"/>
      <c r="O33" s="496"/>
      <c r="P33" s="496"/>
      <c r="Q33" s="846"/>
      <c r="R33" s="496"/>
      <c r="S33" s="496"/>
      <c r="T33" s="496"/>
      <c r="U33" s="496"/>
      <c r="V33" s="496"/>
      <c r="W33" s="496"/>
      <c r="X33" s="496"/>
      <c r="Y33" s="496"/>
      <c r="Z33" s="496"/>
      <c r="AA33" s="496"/>
      <c r="AB33" s="496"/>
    </row>
    <row r="34" spans="1:28" s="247" customFormat="1" ht="45" customHeight="1">
      <c r="B34" s="263" t="s">
        <v>1296</v>
      </c>
      <c r="C34" s="952" t="s">
        <v>1297</v>
      </c>
      <c r="D34" s="952"/>
      <c r="E34" s="936">
        <v>1</v>
      </c>
      <c r="F34" s="455"/>
      <c r="G34" s="259"/>
      <c r="H34" s="903"/>
      <c r="I34" s="903"/>
      <c r="J34" s="937"/>
      <c r="K34" s="924" t="str">
        <f t="shared" si="2"/>
        <v/>
      </c>
      <c r="L34" s="924" t="str">
        <f t="shared" si="3"/>
        <v/>
      </c>
      <c r="M34" s="496"/>
      <c r="N34" s="222"/>
      <c r="O34" s="222"/>
      <c r="P34" s="496"/>
      <c r="Q34" s="846"/>
      <c r="S34" s="496"/>
      <c r="T34" s="496"/>
      <c r="U34" s="496"/>
      <c r="V34" s="496"/>
      <c r="W34" s="496"/>
      <c r="X34" s="496"/>
      <c r="Y34" s="496"/>
      <c r="Z34" s="496"/>
      <c r="AA34" s="496"/>
      <c r="AB34" s="496"/>
    </row>
    <row r="35" spans="1:28" ht="45" customHeight="1">
      <c r="A35" s="222"/>
      <c r="B35" s="1484" t="s">
        <v>1298</v>
      </c>
      <c r="C35" s="1480" t="s">
        <v>1299</v>
      </c>
      <c r="D35" s="952" t="s">
        <v>1300</v>
      </c>
      <c r="E35" s="936">
        <v>2</v>
      </c>
      <c r="F35" s="455"/>
      <c r="H35" s="903"/>
      <c r="I35" s="903"/>
      <c r="J35" s="937"/>
      <c r="K35" s="924" t="str">
        <f>IF(ISBLANK($F35)=FALSE,IF(H35="","No","Yes"),"")</f>
        <v/>
      </c>
      <c r="L35" s="924" t="str">
        <f>IF(ISBLANK($F35)=FALSE,IF(I35="","No","Yes"),"")</f>
        <v/>
      </c>
      <c r="M35" s="496"/>
      <c r="N35" s="496"/>
      <c r="O35" s="496"/>
      <c r="P35" s="496"/>
      <c r="Q35" s="846"/>
      <c r="R35" s="496"/>
      <c r="S35" s="247"/>
      <c r="T35" s="247"/>
      <c r="U35" s="247"/>
      <c r="V35" s="247"/>
      <c r="W35" s="247"/>
      <c r="X35" s="247"/>
      <c r="Y35" s="247"/>
      <c r="Z35" s="247"/>
      <c r="AA35" s="247"/>
      <c r="AB35" s="496"/>
    </row>
    <row r="36" spans="1:28" ht="45" customHeight="1">
      <c r="A36" s="222"/>
      <c r="B36" s="1485"/>
      <c r="C36" s="1481"/>
      <c r="D36" s="952" t="s">
        <v>1301</v>
      </c>
      <c r="E36" s="936">
        <v>1</v>
      </c>
      <c r="F36" s="455"/>
      <c r="H36" s="903"/>
      <c r="I36" s="903"/>
      <c r="J36" s="937"/>
      <c r="K36" s="924" t="str">
        <f t="shared" si="2"/>
        <v/>
      </c>
      <c r="L36" s="924" t="str">
        <f t="shared" si="3"/>
        <v/>
      </c>
      <c r="M36" s="496"/>
      <c r="N36" s="496"/>
      <c r="O36" s="496"/>
      <c r="P36" s="496"/>
      <c r="Q36" s="846"/>
      <c r="R36" s="496"/>
      <c r="S36" s="496"/>
      <c r="T36" s="496"/>
      <c r="U36" s="496"/>
      <c r="V36" s="496"/>
      <c r="W36" s="496"/>
      <c r="X36" s="496"/>
      <c r="Y36" s="496"/>
      <c r="Z36" s="496"/>
      <c r="AA36" s="496"/>
      <c r="AB36" s="247"/>
    </row>
    <row r="37" spans="1:28" ht="45" customHeight="1">
      <c r="A37" s="222"/>
      <c r="B37" s="1484" t="s">
        <v>1302</v>
      </c>
      <c r="C37" s="1480" t="s">
        <v>1303</v>
      </c>
      <c r="D37" s="952" t="s">
        <v>1304</v>
      </c>
      <c r="E37" s="936">
        <v>2</v>
      </c>
      <c r="F37" s="455"/>
      <c r="H37" s="903"/>
      <c r="I37" s="903"/>
      <c r="J37" s="937"/>
      <c r="K37" s="924" t="str">
        <f t="shared" si="2"/>
        <v/>
      </c>
      <c r="L37" s="924" t="str">
        <f t="shared" si="3"/>
        <v/>
      </c>
      <c r="M37" s="496"/>
      <c r="N37" s="496"/>
      <c r="O37" s="496"/>
      <c r="P37" s="496"/>
      <c r="Q37" s="846"/>
      <c r="R37" s="496"/>
      <c r="S37" s="496"/>
      <c r="T37" s="496"/>
      <c r="U37" s="496"/>
      <c r="V37" s="496"/>
      <c r="W37" s="496"/>
      <c r="X37" s="496"/>
      <c r="Y37" s="496"/>
      <c r="Z37" s="496"/>
      <c r="AA37" s="496"/>
      <c r="AB37" s="496"/>
    </row>
    <row r="38" spans="1:28" ht="45" customHeight="1">
      <c r="A38" s="222"/>
      <c r="B38" s="1485"/>
      <c r="C38" s="1481"/>
      <c r="D38" s="952" t="s">
        <v>1305</v>
      </c>
      <c r="E38" s="936">
        <v>1</v>
      </c>
      <c r="F38" s="455"/>
      <c r="H38" s="903"/>
      <c r="I38" s="903"/>
      <c r="J38" s="937"/>
      <c r="K38" s="924" t="str">
        <f>IF(OR(ISBLANK($F38)=FALSE,$Q38=TRUE),IF(H38="","No","Yes"),"")</f>
        <v/>
      </c>
      <c r="L38" s="924" t="str">
        <f>IF(ISBLANK($F38)=FALSE,IF(I38="","No","Yes"),IF($Q38=TRUE,"NA",""))</f>
        <v/>
      </c>
      <c r="M38" s="496"/>
      <c r="N38" s="496"/>
      <c r="O38" s="496"/>
      <c r="P38" s="496" t="s">
        <v>242</v>
      </c>
      <c r="Q38" s="846" t="b">
        <v>0</v>
      </c>
      <c r="R38" s="496"/>
      <c r="S38" s="496"/>
      <c r="T38" s="496"/>
      <c r="U38" s="496"/>
      <c r="V38" s="496"/>
      <c r="W38" s="496"/>
      <c r="X38" s="496"/>
      <c r="Y38" s="496"/>
      <c r="Z38" s="496"/>
      <c r="AA38" s="496"/>
      <c r="AB38" s="496"/>
    </row>
    <row r="39" spans="1:28" ht="45" customHeight="1">
      <c r="A39" s="222"/>
      <c r="B39" s="176" t="s">
        <v>963</v>
      </c>
      <c r="C39" s="85" t="s">
        <v>1115</v>
      </c>
      <c r="D39" s="85"/>
      <c r="E39" s="85">
        <f>SUM(E24:E38)</f>
        <v>20</v>
      </c>
      <c r="F39" s="216" t="str">
        <f>IFERROR(SUM(F24:F38)/E39*E23*100,"")</f>
        <v/>
      </c>
      <c r="H39" s="85"/>
      <c r="I39" s="85"/>
      <c r="J39" s="176"/>
      <c r="K39" s="176"/>
      <c r="L39" s="176"/>
      <c r="M39" s="496"/>
      <c r="N39" s="496"/>
      <c r="O39" s="496"/>
      <c r="P39" s="496"/>
      <c r="Q39" s="846"/>
      <c r="R39" s="496"/>
      <c r="S39" s="496"/>
      <c r="T39" s="496"/>
      <c r="U39" s="496"/>
      <c r="V39" s="496"/>
      <c r="W39" s="496"/>
      <c r="X39" s="496"/>
      <c r="Y39" s="496"/>
      <c r="Z39" s="496"/>
      <c r="AA39" s="496"/>
      <c r="AB39" s="496"/>
    </row>
    <row r="40" spans="1:28" s="247" customFormat="1" ht="45" customHeight="1">
      <c r="B40" s="221"/>
      <c r="C40" s="196" t="s">
        <v>1115</v>
      </c>
      <c r="D40" s="196"/>
      <c r="E40" s="196"/>
      <c r="F40" s="196"/>
      <c r="G40" s="259"/>
      <c r="H40" s="538"/>
      <c r="I40" s="538"/>
      <c r="J40" s="496"/>
      <c r="K40" s="496"/>
      <c r="L40" s="496"/>
      <c r="M40" s="496"/>
      <c r="P40" s="496"/>
      <c r="Q40" s="846"/>
      <c r="S40" s="496"/>
      <c r="T40" s="496"/>
      <c r="U40" s="496"/>
      <c r="V40" s="496"/>
      <c r="W40" s="496"/>
      <c r="X40" s="496"/>
      <c r="Y40" s="496"/>
      <c r="Z40" s="496"/>
      <c r="AA40" s="496"/>
      <c r="AB40" s="496"/>
    </row>
    <row r="41" spans="1:28" ht="45" customHeight="1">
      <c r="A41" s="222"/>
      <c r="B41" s="262" t="s">
        <v>335</v>
      </c>
      <c r="C41" s="205" t="s">
        <v>1115</v>
      </c>
      <c r="D41" s="206" t="s">
        <v>1089</v>
      </c>
      <c r="E41" s="207" t="str">
        <f>IFERROR(VLOOKUP($F$2,$S$3:$AA$10,4,FALSE),"")</f>
        <v/>
      </c>
      <c r="F41" s="208"/>
      <c r="H41" s="226"/>
      <c r="I41" s="226"/>
      <c r="J41" s="226"/>
      <c r="K41" s="226"/>
      <c r="L41" s="226"/>
      <c r="M41" s="496"/>
      <c r="N41" s="496"/>
      <c r="O41" s="496"/>
      <c r="P41" s="496"/>
      <c r="Q41" s="846"/>
      <c r="R41" s="496"/>
      <c r="S41" s="247"/>
      <c r="T41" s="247"/>
      <c r="U41" s="247"/>
      <c r="V41" s="247"/>
      <c r="W41" s="247"/>
      <c r="X41" s="247"/>
      <c r="Y41" s="247"/>
      <c r="Z41" s="247"/>
      <c r="AA41" s="247"/>
      <c r="AB41" s="496"/>
    </row>
    <row r="42" spans="1:28" ht="45" customHeight="1">
      <c r="A42" s="222"/>
      <c r="B42" s="263" t="s">
        <v>1152</v>
      </c>
      <c r="C42" s="952" t="s">
        <v>338</v>
      </c>
      <c r="D42" s="952"/>
      <c r="E42" s="936" t="s">
        <v>264</v>
      </c>
      <c r="F42" s="455"/>
      <c r="H42" s="903"/>
      <c r="I42" s="903"/>
      <c r="J42" s="937"/>
      <c r="K42" s="924" t="str">
        <f t="shared" ref="K42:L48" si="4">IF(ISBLANK($F42)=FALSE,IF(H42="","No","Yes"),"")</f>
        <v/>
      </c>
      <c r="L42" s="924" t="str">
        <f t="shared" si="4"/>
        <v/>
      </c>
      <c r="M42" s="496"/>
      <c r="N42" s="496"/>
      <c r="O42" s="496"/>
      <c r="P42" s="496"/>
      <c r="Q42" s="846"/>
      <c r="R42" s="496"/>
      <c r="S42" s="496"/>
      <c r="T42" s="496"/>
      <c r="U42" s="496"/>
      <c r="V42" s="496"/>
      <c r="W42" s="496"/>
      <c r="X42" s="496"/>
      <c r="Y42" s="496"/>
      <c r="Z42" s="496"/>
      <c r="AA42" s="496"/>
      <c r="AB42" s="247"/>
    </row>
    <row r="43" spans="1:28" ht="45" customHeight="1">
      <c r="A43" s="222"/>
      <c r="B43" s="263" t="s">
        <v>1153</v>
      </c>
      <c r="C43" s="952" t="s">
        <v>336</v>
      </c>
      <c r="D43" s="952"/>
      <c r="E43" s="936">
        <v>20</v>
      </c>
      <c r="F43" s="455"/>
      <c r="H43" s="903"/>
      <c r="I43" s="903"/>
      <c r="J43" s="937"/>
      <c r="K43" s="924" t="str">
        <f t="shared" si="4"/>
        <v/>
      </c>
      <c r="L43" s="924" t="str">
        <f t="shared" si="4"/>
        <v/>
      </c>
      <c r="M43" s="496"/>
      <c r="N43" s="496"/>
      <c r="O43" s="496"/>
      <c r="P43" s="496"/>
      <c r="Q43" s="846"/>
      <c r="R43" s="496"/>
      <c r="S43" s="496"/>
      <c r="T43" s="496"/>
      <c r="U43" s="496"/>
      <c r="V43" s="496"/>
      <c r="W43" s="496"/>
      <c r="X43" s="496"/>
      <c r="Y43" s="496"/>
      <c r="Z43" s="496"/>
      <c r="AA43" s="496"/>
      <c r="AB43" s="496"/>
    </row>
    <row r="44" spans="1:28" ht="45" customHeight="1">
      <c r="A44" s="222"/>
      <c r="B44" s="1484" t="s">
        <v>1263</v>
      </c>
      <c r="C44" s="1480" t="s">
        <v>1264</v>
      </c>
      <c r="D44" s="952" t="s">
        <v>1306</v>
      </c>
      <c r="E44" s="936">
        <v>1</v>
      </c>
      <c r="F44" s="455"/>
      <c r="H44" s="903"/>
      <c r="I44" s="903"/>
      <c r="J44" s="937"/>
      <c r="K44" s="924" t="str">
        <f>IF(ISBLANK($F44)=FALSE,IF(H44="","No","Yes"),"")</f>
        <v/>
      </c>
      <c r="L44" s="924" t="str">
        <f>IF(ISBLANK($F44)=FALSE,IF(I44="","No","Yes"),"")</f>
        <v/>
      </c>
      <c r="M44" s="496"/>
      <c r="N44" s="496"/>
      <c r="O44" s="496"/>
      <c r="P44" s="496"/>
      <c r="Q44" s="846"/>
      <c r="R44" s="496"/>
      <c r="S44" s="496"/>
      <c r="T44" s="496"/>
      <c r="U44" s="496"/>
      <c r="V44" s="496"/>
      <c r="W44" s="496"/>
      <c r="X44" s="496"/>
      <c r="Y44" s="496"/>
      <c r="Z44" s="496"/>
      <c r="AA44" s="496"/>
      <c r="AB44" s="496"/>
    </row>
    <row r="45" spans="1:28" ht="45" customHeight="1">
      <c r="A45" s="222"/>
      <c r="B45" s="1485"/>
      <c r="C45" s="1481"/>
      <c r="D45" s="952" t="s">
        <v>1307</v>
      </c>
      <c r="E45" s="936">
        <v>1</v>
      </c>
      <c r="F45" s="455"/>
      <c r="H45" s="903"/>
      <c r="I45" s="903"/>
      <c r="J45" s="937"/>
      <c r="K45" s="924" t="str">
        <f t="shared" si="4"/>
        <v/>
      </c>
      <c r="L45" s="924" t="str">
        <f t="shared" si="4"/>
        <v/>
      </c>
      <c r="M45" s="496"/>
      <c r="N45" s="496"/>
      <c r="O45" s="496"/>
      <c r="P45" s="496"/>
      <c r="Q45" s="846"/>
      <c r="R45" s="496"/>
      <c r="S45" s="496"/>
      <c r="T45" s="496"/>
      <c r="U45" s="496"/>
      <c r="V45" s="496"/>
      <c r="W45" s="496"/>
      <c r="X45" s="496"/>
      <c r="Y45" s="496"/>
      <c r="Z45" s="496"/>
      <c r="AA45" s="496"/>
      <c r="AB45" s="496"/>
    </row>
    <row r="46" spans="1:28" ht="45" customHeight="1">
      <c r="A46" s="222"/>
      <c r="B46" s="1484" t="s">
        <v>1308</v>
      </c>
      <c r="C46" s="1480" t="s">
        <v>1309</v>
      </c>
      <c r="D46" s="952" t="s">
        <v>1309</v>
      </c>
      <c r="E46" s="936">
        <v>1</v>
      </c>
      <c r="F46" s="455"/>
      <c r="H46" s="903"/>
      <c r="I46" s="903"/>
      <c r="J46" s="937"/>
      <c r="K46" s="924" t="str">
        <f>IF(OR(ISBLANK($F46)=FALSE,$Q46=TRUE),IF(H46="","No","Yes"),"")</f>
        <v/>
      </c>
      <c r="L46" s="924" t="str">
        <f>IF(ISBLANK($F46)=FALSE,IF(I46="","No","Yes"),IF($Q46=TRUE,"NA",""))</f>
        <v/>
      </c>
      <c r="M46" s="496"/>
      <c r="N46" s="496"/>
      <c r="O46" s="496"/>
      <c r="P46" s="496" t="s">
        <v>242</v>
      </c>
      <c r="Q46" s="846" t="b">
        <v>0</v>
      </c>
      <c r="R46" s="496"/>
      <c r="S46" s="496"/>
      <c r="T46" s="496"/>
      <c r="U46" s="496"/>
      <c r="V46" s="496"/>
      <c r="W46" s="496"/>
      <c r="X46" s="496"/>
      <c r="Y46" s="496"/>
      <c r="Z46" s="496"/>
      <c r="AA46" s="496"/>
      <c r="AB46" s="496"/>
    </row>
    <row r="47" spans="1:28" s="247" customFormat="1" ht="45" customHeight="1">
      <c r="B47" s="1485"/>
      <c r="C47" s="1481"/>
      <c r="D47" s="952" t="s">
        <v>1310</v>
      </c>
      <c r="E47" s="936">
        <v>1</v>
      </c>
      <c r="F47" s="455"/>
      <c r="G47" s="259"/>
      <c r="H47" s="903"/>
      <c r="I47" s="903"/>
      <c r="J47" s="937"/>
      <c r="K47" s="924" t="str">
        <f t="shared" si="4"/>
        <v/>
      </c>
      <c r="L47" s="924" t="str">
        <f t="shared" si="4"/>
        <v/>
      </c>
      <c r="M47" s="496"/>
      <c r="N47" s="496"/>
      <c r="O47" s="222"/>
      <c r="P47" s="496"/>
      <c r="Q47" s="846"/>
      <c r="S47" s="496"/>
      <c r="T47" s="496"/>
      <c r="U47" s="496"/>
      <c r="V47" s="496"/>
      <c r="W47" s="496"/>
      <c r="X47" s="496"/>
      <c r="Y47" s="496"/>
      <c r="Z47" s="496"/>
      <c r="AA47" s="496"/>
      <c r="AB47" s="496"/>
    </row>
    <row r="48" spans="1:28" ht="45" customHeight="1">
      <c r="A48" s="222"/>
      <c r="B48" s="263" t="s">
        <v>1311</v>
      </c>
      <c r="C48" s="952" t="s">
        <v>340</v>
      </c>
      <c r="D48" s="952"/>
      <c r="E48" s="936">
        <v>2</v>
      </c>
      <c r="F48" s="455"/>
      <c r="H48" s="903"/>
      <c r="I48" s="903"/>
      <c r="J48" s="937"/>
      <c r="K48" s="924" t="str">
        <f t="shared" si="4"/>
        <v/>
      </c>
      <c r="L48" s="924" t="str">
        <f t="shared" si="4"/>
        <v/>
      </c>
      <c r="M48" s="496"/>
      <c r="N48" s="496"/>
      <c r="O48" s="496"/>
      <c r="P48" s="496"/>
      <c r="Q48" s="846"/>
      <c r="R48" s="496"/>
      <c r="S48" s="247"/>
      <c r="T48" s="247"/>
      <c r="U48" s="247"/>
      <c r="V48" s="247"/>
      <c r="W48" s="247"/>
      <c r="X48" s="247"/>
      <c r="Y48" s="247"/>
      <c r="Z48" s="247"/>
      <c r="AA48" s="247"/>
      <c r="AB48" s="496"/>
    </row>
    <row r="49" spans="1:28" ht="45" customHeight="1">
      <c r="A49" s="222"/>
      <c r="B49" s="176" t="s">
        <v>963</v>
      </c>
      <c r="C49" s="85" t="s">
        <v>1115</v>
      </c>
      <c r="D49" s="85"/>
      <c r="E49" s="85">
        <f>SUM(E42:E48)</f>
        <v>26</v>
      </c>
      <c r="F49" s="216" t="str">
        <f>IFERROR(SUM(F42:F48)/E49*E41*100,"")</f>
        <v/>
      </c>
      <c r="H49" s="85"/>
      <c r="I49" s="85"/>
      <c r="J49" s="176"/>
      <c r="K49" s="176"/>
      <c r="L49" s="176"/>
      <c r="M49" s="496"/>
      <c r="N49" s="496"/>
      <c r="O49" s="496"/>
      <c r="P49" s="496"/>
      <c r="Q49" s="846"/>
      <c r="R49" s="496"/>
      <c r="S49" s="496"/>
      <c r="T49" s="496"/>
      <c r="U49" s="496"/>
      <c r="V49" s="496"/>
      <c r="W49" s="496"/>
      <c r="X49" s="496"/>
      <c r="Y49" s="496"/>
      <c r="Z49" s="496"/>
      <c r="AA49" s="496"/>
      <c r="AB49" s="247"/>
    </row>
    <row r="50" spans="1:28" ht="45" customHeight="1">
      <c r="A50" s="222"/>
      <c r="B50" s="221"/>
      <c r="C50" s="196" t="s">
        <v>1115</v>
      </c>
      <c r="D50" s="196"/>
      <c r="E50" s="196"/>
      <c r="F50" s="196"/>
      <c r="H50" s="538"/>
      <c r="I50" s="538"/>
      <c r="J50" s="496"/>
      <c r="K50" s="496"/>
      <c r="L50" s="496"/>
      <c r="M50" s="496"/>
      <c r="N50" s="496"/>
      <c r="O50" s="496"/>
      <c r="P50" s="496"/>
      <c r="Q50" s="846"/>
      <c r="R50" s="496"/>
      <c r="S50" s="496"/>
      <c r="T50" s="496"/>
      <c r="U50" s="496"/>
      <c r="V50" s="496"/>
      <c r="W50" s="496"/>
      <c r="X50" s="496"/>
      <c r="Y50" s="496"/>
      <c r="Z50" s="496"/>
      <c r="AA50" s="496"/>
      <c r="AB50" s="496"/>
    </row>
    <row r="51" spans="1:28" ht="45" customHeight="1">
      <c r="A51" s="222"/>
      <c r="B51" s="262" t="s">
        <v>345</v>
      </c>
      <c r="C51" s="205" t="s">
        <v>1115</v>
      </c>
      <c r="D51" s="206" t="s">
        <v>1089</v>
      </c>
      <c r="E51" s="207" t="str">
        <f>IFERROR(VLOOKUP($F$2,$S$3:$AA$10,5,FALSE),"")</f>
        <v/>
      </c>
      <c r="F51" s="208"/>
      <c r="H51" s="226"/>
      <c r="I51" s="226"/>
      <c r="J51" s="226"/>
      <c r="K51" s="226"/>
      <c r="L51" s="226"/>
      <c r="M51" s="496"/>
      <c r="N51" s="496"/>
      <c r="O51" s="496"/>
      <c r="P51" s="496"/>
      <c r="Q51" s="846"/>
      <c r="R51" s="496"/>
      <c r="S51" s="496"/>
      <c r="T51" s="496"/>
      <c r="U51" s="496"/>
      <c r="V51" s="496"/>
      <c r="W51" s="496"/>
      <c r="X51" s="496"/>
      <c r="Y51" s="496"/>
      <c r="Z51" s="496"/>
      <c r="AA51" s="496"/>
      <c r="AB51" s="496"/>
    </row>
    <row r="52" spans="1:28" ht="45" customHeight="1">
      <c r="A52" s="222"/>
      <c r="B52" s="263" t="s">
        <v>1164</v>
      </c>
      <c r="C52" s="952" t="s">
        <v>1165</v>
      </c>
      <c r="D52" s="952"/>
      <c r="E52" s="936">
        <v>2</v>
      </c>
      <c r="F52" s="455"/>
      <c r="H52" s="903"/>
      <c r="I52" s="903"/>
      <c r="J52" s="937"/>
      <c r="K52" s="924" t="str">
        <f>IF(OR(ISBLANK($F52)=FALSE,$Q52=TRUE),IF(H52="","No","Yes"),"")</f>
        <v/>
      </c>
      <c r="L52" s="924" t="str">
        <f>IF(ISBLANK($F52)=FALSE,IF(I52="","No","Yes"),IF($Q52=TRUE,"NA",""))</f>
        <v/>
      </c>
      <c r="M52" s="496"/>
      <c r="N52" s="496"/>
      <c r="O52" s="496"/>
      <c r="P52" s="496" t="s">
        <v>242</v>
      </c>
      <c r="Q52" s="846" t="b">
        <v>0</v>
      </c>
      <c r="R52" s="496"/>
      <c r="S52" s="496"/>
      <c r="T52" s="496"/>
      <c r="U52" s="496"/>
      <c r="V52" s="496"/>
      <c r="W52" s="496"/>
      <c r="X52" s="496"/>
      <c r="Y52" s="496"/>
      <c r="Z52" s="496"/>
      <c r="AA52" s="496"/>
      <c r="AB52" s="496"/>
    </row>
    <row r="53" spans="1:28" ht="45" customHeight="1">
      <c r="A53" s="222"/>
      <c r="B53" s="1484" t="s">
        <v>1166</v>
      </c>
      <c r="C53" s="1480" t="s">
        <v>1167</v>
      </c>
      <c r="D53" s="952" t="s">
        <v>1312</v>
      </c>
      <c r="E53" s="936">
        <v>1</v>
      </c>
      <c r="F53" s="455"/>
      <c r="H53" s="903"/>
      <c r="I53" s="903"/>
      <c r="J53" s="937"/>
      <c r="K53" s="924" t="str">
        <f>IF(OR(ISBLANK($F53)=FALSE,$Q53=TRUE),IF(H53="","No","Yes"),"")</f>
        <v/>
      </c>
      <c r="L53" s="924" t="str">
        <f>IF(ISBLANK($F53)=FALSE,IF(I53="","No","Yes"),IF($Q53=TRUE,"NA",""))</f>
        <v/>
      </c>
      <c r="M53" s="496"/>
      <c r="N53" s="496"/>
      <c r="O53" s="496"/>
      <c r="P53" s="496" t="s">
        <v>242</v>
      </c>
      <c r="Q53" s="846" t="b">
        <v>0</v>
      </c>
      <c r="R53" s="496"/>
      <c r="S53" s="496"/>
      <c r="T53" s="496"/>
      <c r="U53" s="496"/>
      <c r="V53" s="496"/>
      <c r="W53" s="496"/>
      <c r="X53" s="496"/>
      <c r="Y53" s="496"/>
      <c r="Z53" s="496"/>
      <c r="AA53" s="496"/>
      <c r="AB53" s="496"/>
    </row>
    <row r="54" spans="1:28" ht="45" customHeight="1">
      <c r="A54" s="222"/>
      <c r="B54" s="1485"/>
      <c r="C54" s="1481"/>
      <c r="D54" s="952" t="s">
        <v>1313</v>
      </c>
      <c r="E54" s="936">
        <v>1</v>
      </c>
      <c r="F54" s="455"/>
      <c r="H54" s="903"/>
      <c r="I54" s="903"/>
      <c r="J54" s="937"/>
      <c r="K54" s="924" t="str">
        <f>IF(OR(ISBLANK($F54)=FALSE,$Q54=TRUE),IF(H54="","No","Yes"),"")</f>
        <v/>
      </c>
      <c r="L54" s="924" t="str">
        <f>IF(ISBLANK($F54)=FALSE,IF(I54="","No","Yes"),IF($Q54=TRUE,"NA",""))</f>
        <v/>
      </c>
      <c r="M54" s="496"/>
      <c r="N54" s="496"/>
      <c r="O54" s="496"/>
      <c r="P54" s="496" t="s">
        <v>242</v>
      </c>
      <c r="Q54" s="846" t="b">
        <v>0</v>
      </c>
      <c r="R54" s="496"/>
      <c r="S54" s="496"/>
      <c r="T54" s="496"/>
      <c r="U54" s="496"/>
      <c r="V54" s="496"/>
      <c r="W54" s="496"/>
      <c r="X54" s="496"/>
      <c r="Y54" s="496"/>
      <c r="Z54" s="496"/>
      <c r="AA54" s="496"/>
      <c r="AB54" s="496"/>
    </row>
    <row r="55" spans="1:28" ht="45" customHeight="1">
      <c r="A55" s="222"/>
      <c r="B55" s="1484" t="s">
        <v>1168</v>
      </c>
      <c r="C55" s="1480" t="s">
        <v>1169</v>
      </c>
      <c r="D55" s="952" t="s">
        <v>1314</v>
      </c>
      <c r="E55" s="936">
        <v>2</v>
      </c>
      <c r="F55" s="455"/>
      <c r="H55" s="903"/>
      <c r="I55" s="903"/>
      <c r="J55" s="937"/>
      <c r="K55" s="924" t="str">
        <f>IF(ISBLANK($F55)=FALSE,IF(H55="","No","Yes"),"")</f>
        <v/>
      </c>
      <c r="L55" s="924" t="str">
        <f>IF(ISBLANK($F55)=FALSE,IF(I55="","No","Yes"),"")</f>
        <v/>
      </c>
      <c r="M55" s="496"/>
      <c r="N55" s="496"/>
      <c r="O55" s="496"/>
      <c r="P55" s="496"/>
      <c r="Q55" s="846"/>
      <c r="R55" s="496"/>
      <c r="S55" s="496"/>
      <c r="T55" s="496"/>
      <c r="U55" s="496"/>
      <c r="V55" s="496"/>
      <c r="W55" s="496"/>
      <c r="X55" s="496"/>
      <c r="Y55" s="496"/>
      <c r="Z55" s="496"/>
      <c r="AA55" s="496"/>
      <c r="AB55" s="496"/>
    </row>
    <row r="56" spans="1:28" ht="45" customHeight="1">
      <c r="A56" s="222"/>
      <c r="B56" s="1485"/>
      <c r="C56" s="1481"/>
      <c r="D56" s="952" t="s">
        <v>1315</v>
      </c>
      <c r="E56" s="936">
        <v>1</v>
      </c>
      <c r="F56" s="455"/>
      <c r="H56" s="903"/>
      <c r="I56" s="903"/>
      <c r="J56" s="937"/>
      <c r="K56" s="924" t="str">
        <f t="shared" ref="K56:L58" si="5">IF(ISBLANK($F56)=FALSE,IF(H56="","No","Yes"),"")</f>
        <v/>
      </c>
      <c r="L56" s="924" t="str">
        <f t="shared" si="5"/>
        <v/>
      </c>
      <c r="M56" s="496"/>
      <c r="N56" s="496"/>
      <c r="O56" s="496"/>
      <c r="P56" s="496"/>
      <c r="Q56" s="846"/>
      <c r="R56" s="496"/>
      <c r="S56" s="496"/>
      <c r="T56" s="496"/>
      <c r="U56" s="496"/>
      <c r="V56" s="496"/>
      <c r="W56" s="496"/>
      <c r="X56" s="496"/>
      <c r="Y56" s="496"/>
      <c r="Z56" s="496"/>
      <c r="AA56" s="496"/>
      <c r="AB56" s="496"/>
    </row>
    <row r="57" spans="1:28" ht="45" customHeight="1">
      <c r="A57" s="222"/>
      <c r="B57" s="263" t="s">
        <v>1172</v>
      </c>
      <c r="C57" s="952" t="s">
        <v>985</v>
      </c>
      <c r="D57" s="952"/>
      <c r="E57" s="936">
        <v>5</v>
      </c>
      <c r="F57" s="455"/>
      <c r="H57" s="903"/>
      <c r="I57" s="903"/>
      <c r="J57" s="937"/>
      <c r="K57" s="924" t="str">
        <f t="shared" si="5"/>
        <v/>
      </c>
      <c r="L57" s="924" t="str">
        <f t="shared" si="5"/>
        <v/>
      </c>
      <c r="M57" s="496"/>
      <c r="N57" s="496"/>
      <c r="O57" s="496"/>
      <c r="P57" s="496"/>
      <c r="Q57" s="846"/>
      <c r="R57" s="496"/>
      <c r="S57" s="496"/>
      <c r="T57" s="496"/>
      <c r="U57" s="496"/>
      <c r="V57" s="496"/>
      <c r="W57" s="496"/>
      <c r="X57" s="496"/>
      <c r="Y57" s="496"/>
      <c r="Z57" s="496"/>
      <c r="AA57" s="496"/>
      <c r="AB57" s="496"/>
    </row>
    <row r="58" spans="1:28" ht="45" customHeight="1">
      <c r="A58" s="222"/>
      <c r="B58" s="263" t="s">
        <v>1173</v>
      </c>
      <c r="C58" s="952" t="s">
        <v>1286</v>
      </c>
      <c r="D58" s="952"/>
      <c r="E58" s="936">
        <v>2</v>
      </c>
      <c r="F58" s="455"/>
      <c r="H58" s="903"/>
      <c r="I58" s="903"/>
      <c r="J58" s="937"/>
      <c r="K58" s="924" t="str">
        <f t="shared" si="5"/>
        <v/>
      </c>
      <c r="L58" s="924" t="str">
        <f t="shared" si="5"/>
        <v/>
      </c>
      <c r="M58" s="496"/>
      <c r="N58" s="496"/>
      <c r="O58" s="496"/>
      <c r="P58" s="496"/>
      <c r="Q58" s="846"/>
      <c r="R58" s="496"/>
      <c r="S58" s="496"/>
      <c r="T58" s="496"/>
      <c r="U58" s="496"/>
      <c r="V58" s="496"/>
      <c r="W58" s="496"/>
      <c r="X58" s="496"/>
      <c r="Y58" s="496"/>
      <c r="Z58" s="496"/>
      <c r="AA58" s="496"/>
      <c r="AB58" s="496"/>
    </row>
    <row r="59" spans="1:28" ht="45" customHeight="1">
      <c r="A59" s="222"/>
      <c r="B59" s="176" t="s">
        <v>963</v>
      </c>
      <c r="C59" s="85" t="s">
        <v>1115</v>
      </c>
      <c r="D59" s="85"/>
      <c r="E59" s="85">
        <f>SUM(E52:E58)</f>
        <v>14</v>
      </c>
      <c r="F59" s="216" t="str">
        <f>IFERROR(SUM(F52:F58)/E59*E51*100,"")</f>
        <v/>
      </c>
      <c r="H59" s="85"/>
      <c r="I59" s="85"/>
      <c r="J59" s="176"/>
      <c r="K59" s="176"/>
      <c r="L59" s="176"/>
      <c r="M59" s="496"/>
      <c r="N59" s="496"/>
      <c r="O59" s="496"/>
      <c r="P59" s="496"/>
      <c r="Q59" s="846"/>
      <c r="R59" s="496"/>
      <c r="S59" s="496"/>
      <c r="T59" s="496"/>
      <c r="U59" s="496"/>
      <c r="V59" s="496"/>
      <c r="W59" s="496"/>
      <c r="X59" s="496"/>
      <c r="Y59" s="496"/>
      <c r="Z59" s="496"/>
      <c r="AA59" s="496"/>
      <c r="AB59" s="496"/>
    </row>
    <row r="60" spans="1:28" ht="45" customHeight="1">
      <c r="A60" s="222"/>
      <c r="B60" s="221"/>
      <c r="C60" s="196" t="s">
        <v>1115</v>
      </c>
      <c r="D60" s="196"/>
      <c r="E60" s="196"/>
      <c r="F60" s="196"/>
      <c r="H60" s="538"/>
      <c r="I60" s="538"/>
      <c r="J60" s="496"/>
      <c r="K60" s="496"/>
      <c r="L60" s="496"/>
      <c r="M60" s="496"/>
      <c r="N60" s="496"/>
      <c r="O60" s="496"/>
      <c r="P60" s="496"/>
      <c r="Q60" s="846"/>
      <c r="R60" s="496"/>
      <c r="S60" s="496"/>
      <c r="T60" s="496"/>
      <c r="U60" s="496"/>
      <c r="V60" s="496"/>
      <c r="W60" s="496"/>
      <c r="X60" s="496"/>
      <c r="Y60" s="496"/>
      <c r="Z60" s="496"/>
      <c r="AA60" s="496"/>
      <c r="AB60" s="496"/>
    </row>
    <row r="61" spans="1:28" ht="45" customHeight="1">
      <c r="A61" s="496"/>
      <c r="B61" s="262" t="s">
        <v>353</v>
      </c>
      <c r="C61" s="205" t="s">
        <v>1115</v>
      </c>
      <c r="D61" s="206" t="s">
        <v>1089</v>
      </c>
      <c r="E61" s="207" t="str">
        <f>IFERROR(VLOOKUP($F$2,$S$3:$AA$10,6,FALSE),"")</f>
        <v/>
      </c>
      <c r="F61" s="208"/>
      <c r="H61" s="226"/>
      <c r="I61" s="226"/>
      <c r="J61" s="226"/>
      <c r="K61" s="226"/>
      <c r="L61" s="226"/>
      <c r="M61" s="496"/>
      <c r="N61" s="496"/>
      <c r="O61" s="496"/>
      <c r="P61" s="496"/>
      <c r="Q61" s="846"/>
      <c r="R61" s="496"/>
      <c r="S61" s="496"/>
      <c r="T61" s="496"/>
      <c r="U61" s="496"/>
      <c r="V61" s="496"/>
      <c r="W61" s="496"/>
      <c r="X61" s="496"/>
      <c r="Y61" s="496"/>
      <c r="Z61" s="496"/>
      <c r="AA61" s="496"/>
      <c r="AB61" s="496"/>
    </row>
    <row r="62" spans="1:28" ht="45" customHeight="1">
      <c r="A62" s="222"/>
      <c r="B62" s="263" t="s">
        <v>1175</v>
      </c>
      <c r="C62" s="952" t="s">
        <v>1176</v>
      </c>
      <c r="D62" s="952"/>
      <c r="E62" s="936">
        <v>5</v>
      </c>
      <c r="F62" s="455"/>
      <c r="H62" s="903"/>
      <c r="I62" s="903"/>
      <c r="J62" s="937"/>
      <c r="K62" s="924" t="str">
        <f t="shared" ref="K62:L64" si="6">IF(ISBLANK($F62)=FALSE,IF(H62="","No","Yes"),"")</f>
        <v/>
      </c>
      <c r="L62" s="924" t="str">
        <f t="shared" si="6"/>
        <v/>
      </c>
      <c r="M62" s="496"/>
      <c r="N62" s="496"/>
      <c r="O62" s="496"/>
      <c r="P62" s="496"/>
      <c r="Q62" s="846"/>
      <c r="R62" s="496"/>
      <c r="S62" s="496"/>
      <c r="T62" s="496"/>
      <c r="U62" s="496"/>
      <c r="V62" s="496"/>
      <c r="W62" s="496"/>
      <c r="X62" s="496"/>
      <c r="Y62" s="496"/>
      <c r="Z62" s="496"/>
      <c r="AA62" s="496"/>
      <c r="AB62" s="496"/>
    </row>
    <row r="63" spans="1:28" ht="45" customHeight="1">
      <c r="A63" s="222"/>
      <c r="B63" s="263" t="s">
        <v>1179</v>
      </c>
      <c r="C63" s="952" t="s">
        <v>364</v>
      </c>
      <c r="D63" s="952"/>
      <c r="E63" s="936">
        <v>1</v>
      </c>
      <c r="F63" s="455"/>
      <c r="H63" s="903"/>
      <c r="I63" s="903"/>
      <c r="J63" s="937"/>
      <c r="K63" s="924" t="str">
        <f>IF(OR(ISBLANK($F63)=FALSE,$Q63=TRUE),IF(H63="","No","Yes"),"")</f>
        <v/>
      </c>
      <c r="L63" s="924" t="str">
        <f>IF(ISBLANK($F63)=FALSE,IF(I63="","No","Yes"),IF($Q63=TRUE,"NA",""))</f>
        <v/>
      </c>
      <c r="M63" s="496"/>
      <c r="N63" s="496"/>
      <c r="O63" s="496"/>
      <c r="P63" s="496" t="s">
        <v>242</v>
      </c>
      <c r="Q63" s="846" t="b">
        <v>0</v>
      </c>
      <c r="R63" s="496"/>
      <c r="S63" s="496"/>
      <c r="T63" s="496"/>
      <c r="U63" s="496"/>
      <c r="V63" s="496"/>
      <c r="W63" s="496"/>
      <c r="X63" s="496"/>
      <c r="Y63" s="496"/>
      <c r="Z63" s="496"/>
      <c r="AA63" s="496"/>
      <c r="AB63" s="496"/>
    </row>
    <row r="64" spans="1:28" ht="45" customHeight="1">
      <c r="A64" s="222"/>
      <c r="B64" s="263" t="s">
        <v>1180</v>
      </c>
      <c r="C64" s="952" t="s">
        <v>1181</v>
      </c>
      <c r="D64" s="952"/>
      <c r="E64" s="936">
        <v>2</v>
      </c>
      <c r="F64" s="455"/>
      <c r="H64" s="903"/>
      <c r="I64" s="903"/>
      <c r="J64" s="937"/>
      <c r="K64" s="924" t="str">
        <f t="shared" si="6"/>
        <v/>
      </c>
      <c r="L64" s="924" t="str">
        <f t="shared" si="6"/>
        <v/>
      </c>
      <c r="M64" s="496"/>
      <c r="N64" s="496"/>
      <c r="O64" s="496"/>
      <c r="P64" s="496"/>
      <c r="Q64" s="846"/>
      <c r="R64" s="496"/>
      <c r="S64" s="496"/>
      <c r="T64" s="496"/>
      <c r="U64" s="496"/>
      <c r="V64" s="496"/>
      <c r="W64" s="496"/>
      <c r="X64" s="496"/>
      <c r="Y64" s="496"/>
      <c r="Z64" s="496"/>
      <c r="AA64" s="496"/>
      <c r="AB64" s="496"/>
    </row>
    <row r="65" spans="1:17" ht="45" customHeight="1">
      <c r="A65" s="222"/>
      <c r="B65" s="263" t="s">
        <v>1182</v>
      </c>
      <c r="C65" s="952" t="s">
        <v>1316</v>
      </c>
      <c r="D65" s="952"/>
      <c r="E65" s="936">
        <v>1</v>
      </c>
      <c r="F65" s="455"/>
      <c r="H65" s="903"/>
      <c r="I65" s="903"/>
      <c r="J65" s="937"/>
      <c r="K65" s="924" t="str">
        <f>IF(OR(ISBLANK($F65)=FALSE,$Q65=TRUE),IF(H65="","No","Yes"),"")</f>
        <v/>
      </c>
      <c r="L65" s="924" t="str">
        <f>IF(ISBLANK($F65)=FALSE,IF(I65="","No","Yes"),IF($Q65=TRUE,"NA",""))</f>
        <v/>
      </c>
      <c r="M65" s="496"/>
      <c r="N65" s="496"/>
      <c r="O65" s="496"/>
      <c r="P65" s="496" t="s">
        <v>242</v>
      </c>
      <c r="Q65" s="846" t="b">
        <v>0</v>
      </c>
    </row>
    <row r="66" spans="1:17" ht="45" customHeight="1">
      <c r="A66" s="222"/>
      <c r="B66" s="263" t="s">
        <v>1317</v>
      </c>
      <c r="C66" s="952" t="s">
        <v>1318</v>
      </c>
      <c r="D66" s="952"/>
      <c r="E66" s="936">
        <v>1</v>
      </c>
      <c r="F66" s="455"/>
      <c r="H66" s="903"/>
      <c r="I66" s="903"/>
      <c r="J66" s="937"/>
      <c r="K66" s="924" t="str">
        <f>IF(OR(ISBLANK($F66)=FALSE,$Q66=TRUE),IF(H66="","No","Yes"),"")</f>
        <v/>
      </c>
      <c r="L66" s="924" t="str">
        <f>IF(ISBLANK($F66)=FALSE,IF(I66="","No","Yes"),IF($Q66=TRUE,"NA",""))</f>
        <v/>
      </c>
      <c r="M66" s="496"/>
      <c r="N66" s="496"/>
      <c r="O66" s="496"/>
      <c r="P66" s="496" t="s">
        <v>242</v>
      </c>
      <c r="Q66" s="846" t="b">
        <v>0</v>
      </c>
    </row>
    <row r="67" spans="1:17" ht="45" customHeight="1">
      <c r="A67" s="222"/>
      <c r="B67" s="263" t="s">
        <v>1319</v>
      </c>
      <c r="C67" s="952" t="s">
        <v>1320</v>
      </c>
      <c r="D67" s="952"/>
      <c r="E67" s="936">
        <v>2</v>
      </c>
      <c r="F67" s="455"/>
      <c r="H67" s="903"/>
      <c r="I67" s="903"/>
      <c r="J67" s="937"/>
      <c r="K67" s="924" t="str">
        <f>IF(OR(ISBLANK($F67)=FALSE,$Q67=TRUE),IF(H67="","No","Yes"),"")</f>
        <v/>
      </c>
      <c r="L67" s="924" t="str">
        <f>IF(ISBLANK($F67)=FALSE,IF(I67="","No","Yes"),IF($Q67=TRUE,"NA",""))</f>
        <v/>
      </c>
      <c r="M67" s="496"/>
      <c r="N67" s="496"/>
      <c r="O67" s="496"/>
      <c r="P67" s="496" t="s">
        <v>242</v>
      </c>
      <c r="Q67" s="846" t="b">
        <v>0</v>
      </c>
    </row>
    <row r="68" spans="1:17" ht="45" customHeight="1">
      <c r="A68" s="496"/>
      <c r="B68" s="176" t="s">
        <v>963</v>
      </c>
      <c r="C68" s="85" t="s">
        <v>1115</v>
      </c>
      <c r="D68" s="85"/>
      <c r="E68" s="85">
        <f>SUM(E62:E67)</f>
        <v>12</v>
      </c>
      <c r="F68" s="216" t="str">
        <f>IFERROR(SUM(F62:F67)/E68*E61*100,"")</f>
        <v/>
      </c>
      <c r="H68" s="85"/>
      <c r="I68" s="85"/>
      <c r="J68" s="176"/>
      <c r="K68" s="176"/>
      <c r="L68" s="176"/>
      <c r="M68" s="496"/>
      <c r="N68" s="496"/>
      <c r="O68" s="496"/>
      <c r="P68" s="496"/>
      <c r="Q68" s="846"/>
    </row>
    <row r="69" spans="1:17" ht="45" customHeight="1">
      <c r="A69" s="222"/>
      <c r="B69" s="221"/>
      <c r="C69" s="196" t="s">
        <v>1115</v>
      </c>
      <c r="D69" s="196"/>
      <c r="E69" s="196"/>
      <c r="F69" s="196"/>
      <c r="H69" s="538"/>
      <c r="I69" s="538"/>
      <c r="J69" s="496"/>
      <c r="K69" s="496"/>
      <c r="L69" s="496"/>
      <c r="M69" s="496"/>
      <c r="N69" s="496"/>
      <c r="O69" s="496"/>
      <c r="P69" s="496"/>
      <c r="Q69" s="846"/>
    </row>
    <row r="70" spans="1:17" ht="45" customHeight="1">
      <c r="A70" s="222"/>
      <c r="B70" s="262" t="s">
        <v>367</v>
      </c>
      <c r="C70" s="205" t="s">
        <v>1115</v>
      </c>
      <c r="D70" s="206" t="s">
        <v>1089</v>
      </c>
      <c r="E70" s="207" t="str">
        <f>IFERROR(VLOOKUP($F$2,$S$3:$AA$10,7,FALSE),"")</f>
        <v/>
      </c>
      <c r="F70" s="208"/>
      <c r="H70" s="226"/>
      <c r="I70" s="226"/>
      <c r="J70" s="226"/>
      <c r="K70" s="226"/>
      <c r="L70" s="226"/>
      <c r="M70" s="496"/>
      <c r="N70" s="496"/>
      <c r="O70" s="496"/>
      <c r="P70" s="496"/>
      <c r="Q70" s="846"/>
    </row>
    <row r="71" spans="1:17" ht="45" customHeight="1">
      <c r="A71" s="222"/>
      <c r="B71" s="263" t="s">
        <v>1186</v>
      </c>
      <c r="C71" s="952" t="s">
        <v>1187</v>
      </c>
      <c r="D71" s="952"/>
      <c r="E71" s="936">
        <v>2</v>
      </c>
      <c r="F71" s="455"/>
      <c r="H71" s="903"/>
      <c r="I71" s="903"/>
      <c r="J71" s="937"/>
      <c r="K71" s="924" t="str">
        <f>IF(ISBLANK($F71)=FALSE,IF(H71="","No","Yes"),"")</f>
        <v/>
      </c>
      <c r="L71" s="924" t="str">
        <f>IF(ISBLANK($F71)=FALSE,IF(I71="","No","Yes"),"")</f>
        <v/>
      </c>
      <c r="M71" s="496"/>
      <c r="N71" s="496"/>
      <c r="O71" s="496"/>
      <c r="P71" s="496"/>
      <c r="Q71" s="846"/>
    </row>
    <row r="72" spans="1:17" ht="45" customHeight="1">
      <c r="A72" s="222"/>
      <c r="B72" s="1484" t="s">
        <v>1188</v>
      </c>
      <c r="C72" s="1480" t="s">
        <v>380</v>
      </c>
      <c r="D72" s="952" t="s">
        <v>1189</v>
      </c>
      <c r="E72" s="936">
        <v>2</v>
      </c>
      <c r="F72" s="455"/>
      <c r="H72" s="903"/>
      <c r="I72" s="903"/>
      <c r="J72" s="937"/>
      <c r="K72" s="924" t="str">
        <f>IF(OR(ISBLANK($F72)=FALSE,$Q72=TRUE),IF(H72="","No","Yes"),"")</f>
        <v/>
      </c>
      <c r="L72" s="924" t="str">
        <f>IF(ISBLANK($F72)=FALSE,IF(I72="","No","Yes"),IF($Q72=TRUE,"NA",""))</f>
        <v/>
      </c>
      <c r="M72" s="496"/>
      <c r="N72" s="496"/>
      <c r="O72" s="496"/>
      <c r="P72" s="496" t="s">
        <v>242</v>
      </c>
      <c r="Q72" s="846" t="b">
        <v>0</v>
      </c>
    </row>
    <row r="73" spans="1:17" ht="45" customHeight="1">
      <c r="A73" s="222"/>
      <c r="B73" s="1485"/>
      <c r="C73" s="1481"/>
      <c r="D73" s="952" t="s">
        <v>1190</v>
      </c>
      <c r="E73" s="936">
        <v>4</v>
      </c>
      <c r="F73" s="455"/>
      <c r="H73" s="903"/>
      <c r="I73" s="903"/>
      <c r="J73" s="937"/>
      <c r="K73" s="924" t="str">
        <f>IF(OR(ISBLANK($F73)=FALSE,$Q73=TRUE),IF(H73="","No","Yes"),"")</f>
        <v/>
      </c>
      <c r="L73" s="924" t="str">
        <f>IF(ISBLANK($F73)=FALSE,IF(I73="","No","Yes"),IF($Q73=TRUE,"NA",""))</f>
        <v/>
      </c>
      <c r="M73" s="496"/>
      <c r="N73" s="496"/>
      <c r="O73" s="496"/>
      <c r="P73" s="496" t="s">
        <v>242</v>
      </c>
      <c r="Q73" s="846" t="b">
        <v>0</v>
      </c>
    </row>
    <row r="74" spans="1:17" ht="45" customHeight="1">
      <c r="A74" s="222"/>
      <c r="B74" s="263" t="s">
        <v>1191</v>
      </c>
      <c r="C74" s="952" t="s">
        <v>1192</v>
      </c>
      <c r="D74" s="952"/>
      <c r="E74" s="936">
        <v>1</v>
      </c>
      <c r="F74" s="455"/>
      <c r="H74" s="903"/>
      <c r="I74" s="903"/>
      <c r="J74" s="937"/>
      <c r="K74" s="924" t="str">
        <f>IF(ISBLANK($F74)=FALSE,IF(H74="","No","Yes"),"")</f>
        <v/>
      </c>
      <c r="L74" s="924" t="str">
        <f>IF(ISBLANK($F74)=FALSE,IF(I74="","No","Yes"),"")</f>
        <v/>
      </c>
      <c r="M74" s="496"/>
      <c r="N74" s="496"/>
      <c r="O74" s="496"/>
      <c r="P74" s="496"/>
      <c r="Q74" s="846"/>
    </row>
    <row r="75" spans="1:17" ht="45" customHeight="1">
      <c r="A75" s="222"/>
      <c r="B75" s="1484" t="s">
        <v>1193</v>
      </c>
      <c r="C75" s="1480" t="s">
        <v>1194</v>
      </c>
      <c r="D75" s="952" t="s">
        <v>1195</v>
      </c>
      <c r="E75" s="936">
        <v>2</v>
      </c>
      <c r="F75" s="455"/>
      <c r="H75" s="903"/>
      <c r="I75" s="903"/>
      <c r="J75" s="937"/>
      <c r="K75" s="924" t="str">
        <f t="shared" ref="K75:K81" si="7">IF(OR(ISBLANK($F75)=FALSE,$Q75=TRUE),IF(H75="","No","Yes"),"")</f>
        <v/>
      </c>
      <c r="L75" s="924" t="str">
        <f t="shared" ref="L75:L81" si="8">IF(ISBLANK($F75)=FALSE,IF(I75="","No","Yes"),IF($Q75=TRUE,"NA",""))</f>
        <v/>
      </c>
      <c r="M75" s="496"/>
      <c r="N75" s="496"/>
      <c r="O75" s="496"/>
      <c r="P75" s="496" t="s">
        <v>242</v>
      </c>
      <c r="Q75" s="846" t="b">
        <v>0</v>
      </c>
    </row>
    <row r="76" spans="1:17" ht="45" customHeight="1">
      <c r="A76" s="222"/>
      <c r="B76" s="1485"/>
      <c r="C76" s="1481"/>
      <c r="D76" s="952" t="s">
        <v>1196</v>
      </c>
      <c r="E76" s="936">
        <v>1</v>
      </c>
      <c r="F76" s="455"/>
      <c r="H76" s="903"/>
      <c r="I76" s="903"/>
      <c r="J76" s="937"/>
      <c r="K76" s="924" t="str">
        <f t="shared" si="7"/>
        <v/>
      </c>
      <c r="L76" s="924" t="str">
        <f t="shared" si="8"/>
        <v/>
      </c>
      <c r="M76" s="496"/>
      <c r="N76" s="496"/>
      <c r="O76" s="496"/>
      <c r="P76" s="496" t="s">
        <v>242</v>
      </c>
      <c r="Q76" s="846" t="b">
        <v>0</v>
      </c>
    </row>
    <row r="77" spans="1:17" ht="45" customHeight="1">
      <c r="A77" s="496"/>
      <c r="B77" s="1484" t="s">
        <v>1197</v>
      </c>
      <c r="C77" s="1480" t="s">
        <v>1198</v>
      </c>
      <c r="D77" s="952" t="s">
        <v>1199</v>
      </c>
      <c r="E77" s="936">
        <v>1</v>
      </c>
      <c r="F77" s="455"/>
      <c r="H77" s="903"/>
      <c r="I77" s="903"/>
      <c r="J77" s="937"/>
      <c r="K77" s="924" t="str">
        <f t="shared" si="7"/>
        <v/>
      </c>
      <c r="L77" s="924" t="str">
        <f t="shared" si="8"/>
        <v/>
      </c>
      <c r="M77" s="496"/>
      <c r="N77" s="496"/>
      <c r="O77" s="496"/>
      <c r="P77" s="496" t="s">
        <v>242</v>
      </c>
      <c r="Q77" s="846" t="b">
        <v>0</v>
      </c>
    </row>
    <row r="78" spans="1:17" ht="45" customHeight="1">
      <c r="A78" s="496"/>
      <c r="B78" s="1485"/>
      <c r="C78" s="1481"/>
      <c r="D78" s="952" t="s">
        <v>1200</v>
      </c>
      <c r="E78" s="936">
        <v>1</v>
      </c>
      <c r="F78" s="455"/>
      <c r="H78" s="903"/>
      <c r="I78" s="903"/>
      <c r="J78" s="937"/>
      <c r="K78" s="924" t="str">
        <f t="shared" si="7"/>
        <v/>
      </c>
      <c r="L78" s="924" t="str">
        <f t="shared" si="8"/>
        <v/>
      </c>
      <c r="M78" s="496"/>
      <c r="N78" s="496"/>
      <c r="O78" s="496"/>
      <c r="P78" s="496" t="s">
        <v>242</v>
      </c>
      <c r="Q78" s="846" t="b">
        <v>0</v>
      </c>
    </row>
    <row r="79" spans="1:17" ht="45" customHeight="1">
      <c r="A79" s="496"/>
      <c r="B79" s="263" t="s">
        <v>1201</v>
      </c>
      <c r="C79" s="952" t="s">
        <v>1202</v>
      </c>
      <c r="D79" s="952"/>
      <c r="E79" s="936">
        <v>2</v>
      </c>
      <c r="F79" s="455"/>
      <c r="H79" s="903"/>
      <c r="I79" s="903"/>
      <c r="J79" s="937"/>
      <c r="K79" s="924" t="str">
        <f t="shared" si="7"/>
        <v/>
      </c>
      <c r="L79" s="924" t="str">
        <f t="shared" si="8"/>
        <v/>
      </c>
      <c r="M79" s="496"/>
      <c r="N79" s="496"/>
      <c r="O79" s="496"/>
      <c r="P79" s="496" t="s">
        <v>242</v>
      </c>
      <c r="Q79" s="846" t="b">
        <v>0</v>
      </c>
    </row>
    <row r="80" spans="1:17" ht="45" customHeight="1">
      <c r="A80" s="496"/>
      <c r="B80" s="263" t="s">
        <v>1203</v>
      </c>
      <c r="C80" s="952" t="s">
        <v>1204</v>
      </c>
      <c r="D80" s="952"/>
      <c r="E80" s="936">
        <v>1</v>
      </c>
      <c r="F80" s="455"/>
      <c r="H80" s="903"/>
      <c r="I80" s="903"/>
      <c r="J80" s="937"/>
      <c r="K80" s="924" t="str">
        <f t="shared" si="7"/>
        <v/>
      </c>
      <c r="L80" s="924" t="str">
        <f t="shared" si="8"/>
        <v/>
      </c>
      <c r="M80" s="496"/>
      <c r="N80" s="496"/>
      <c r="O80" s="496"/>
      <c r="P80" s="496" t="s">
        <v>242</v>
      </c>
      <c r="Q80" s="846" t="b">
        <v>0</v>
      </c>
    </row>
    <row r="81" spans="1:28" s="256" customFormat="1" ht="45" customHeight="1">
      <c r="B81" s="263" t="s">
        <v>1205</v>
      </c>
      <c r="C81" s="952" t="s">
        <v>1206</v>
      </c>
      <c r="D81" s="952"/>
      <c r="E81" s="936">
        <v>1</v>
      </c>
      <c r="F81" s="455"/>
      <c r="G81" s="259"/>
      <c r="H81" s="903"/>
      <c r="I81" s="903"/>
      <c r="J81" s="937"/>
      <c r="K81" s="924" t="str">
        <f t="shared" si="7"/>
        <v/>
      </c>
      <c r="L81" s="924" t="str">
        <f t="shared" si="8"/>
        <v/>
      </c>
      <c r="M81" s="496"/>
      <c r="P81" s="496" t="s">
        <v>242</v>
      </c>
      <c r="Q81" s="846" t="b">
        <v>0</v>
      </c>
      <c r="S81" s="496"/>
      <c r="T81" s="496"/>
      <c r="U81" s="496"/>
      <c r="V81" s="496"/>
      <c r="W81" s="496"/>
      <c r="X81" s="496"/>
      <c r="Y81" s="496"/>
      <c r="Z81" s="496"/>
      <c r="AA81" s="496"/>
      <c r="AB81" s="496"/>
    </row>
    <row r="82" spans="1:28" ht="45" customHeight="1">
      <c r="A82" s="496"/>
      <c r="B82" s="263" t="s">
        <v>1207</v>
      </c>
      <c r="C82" s="952" t="s">
        <v>1208</v>
      </c>
      <c r="D82" s="952"/>
      <c r="E82" s="936">
        <v>2</v>
      </c>
      <c r="F82" s="455"/>
      <c r="H82" s="903"/>
      <c r="I82" s="903"/>
      <c r="J82" s="937"/>
      <c r="K82" s="924" t="str">
        <f t="shared" ref="K82:L86" si="9">IF(ISBLANK($F82)=FALSE,IF(H82="","No","Yes"),"")</f>
        <v/>
      </c>
      <c r="L82" s="924" t="str">
        <f t="shared" si="9"/>
        <v/>
      </c>
      <c r="M82" s="496"/>
      <c r="N82" s="496"/>
      <c r="O82" s="496"/>
      <c r="P82" s="496"/>
      <c r="Q82" s="846"/>
      <c r="R82" s="496"/>
      <c r="S82" s="256"/>
      <c r="T82" s="256"/>
      <c r="U82" s="256"/>
      <c r="V82" s="256"/>
      <c r="W82" s="256"/>
      <c r="X82" s="256"/>
      <c r="Y82" s="256"/>
      <c r="Z82" s="256"/>
      <c r="AA82" s="256"/>
      <c r="AB82" s="496"/>
    </row>
    <row r="83" spans="1:28" s="256" customFormat="1" ht="45" customHeight="1">
      <c r="A83" s="496"/>
      <c r="B83" s="263" t="s">
        <v>1211</v>
      </c>
      <c r="C83" s="952" t="s">
        <v>991</v>
      </c>
      <c r="D83" s="952"/>
      <c r="E83" s="936">
        <v>1</v>
      </c>
      <c r="F83" s="455"/>
      <c r="G83" s="259"/>
      <c r="H83" s="903"/>
      <c r="I83" s="903"/>
      <c r="J83" s="937"/>
      <c r="K83" s="924" t="str">
        <f t="shared" si="9"/>
        <v/>
      </c>
      <c r="L83" s="924" t="str">
        <f t="shared" si="9"/>
        <v/>
      </c>
      <c r="M83" s="496"/>
      <c r="N83" s="496"/>
      <c r="O83" s="496"/>
      <c r="P83" s="496"/>
      <c r="Q83" s="846"/>
      <c r="S83" s="496"/>
      <c r="T83" s="496"/>
      <c r="U83" s="496"/>
      <c r="V83" s="496"/>
      <c r="W83" s="496"/>
      <c r="X83" s="496"/>
      <c r="Y83" s="496"/>
      <c r="Z83" s="496"/>
      <c r="AA83" s="496"/>
    </row>
    <row r="84" spans="1:28" s="222" customFormat="1" ht="45" customHeight="1">
      <c r="A84" s="496"/>
      <c r="B84" s="263" t="s">
        <v>1212</v>
      </c>
      <c r="C84" s="952" t="s">
        <v>1213</v>
      </c>
      <c r="D84" s="952"/>
      <c r="E84" s="936">
        <v>1</v>
      </c>
      <c r="F84" s="455"/>
      <c r="G84" s="259"/>
      <c r="H84" s="903"/>
      <c r="I84" s="903"/>
      <c r="J84" s="937"/>
      <c r="K84" s="924" t="str">
        <f t="shared" si="9"/>
        <v/>
      </c>
      <c r="L84" s="924" t="str">
        <f t="shared" si="9"/>
        <v/>
      </c>
      <c r="M84" s="496"/>
      <c r="O84" s="252"/>
      <c r="P84" s="496"/>
      <c r="Q84" s="846"/>
      <c r="S84" s="256"/>
      <c r="T84" s="256"/>
      <c r="U84" s="256"/>
      <c r="V84" s="256"/>
      <c r="W84" s="256"/>
      <c r="X84" s="256"/>
      <c r="Y84" s="256"/>
      <c r="Z84" s="256"/>
      <c r="AA84" s="256"/>
      <c r="AB84" s="496"/>
    </row>
    <row r="85" spans="1:28" s="222" customFormat="1" ht="45" customHeight="1">
      <c r="A85" s="496"/>
      <c r="B85" s="263" t="s">
        <v>1216</v>
      </c>
      <c r="C85" s="952" t="s">
        <v>1321</v>
      </c>
      <c r="D85" s="952"/>
      <c r="E85" s="936">
        <v>2</v>
      </c>
      <c r="F85" s="455"/>
      <c r="G85" s="259"/>
      <c r="H85" s="903"/>
      <c r="I85" s="903"/>
      <c r="J85" s="937"/>
      <c r="K85" s="924" t="str">
        <f t="shared" si="9"/>
        <v/>
      </c>
      <c r="L85" s="924" t="str">
        <f t="shared" si="9"/>
        <v/>
      </c>
      <c r="M85" s="496"/>
      <c r="P85" s="496"/>
      <c r="Q85" s="846"/>
      <c r="AB85" s="256"/>
    </row>
    <row r="86" spans="1:28" s="222" customFormat="1" ht="45" customHeight="1">
      <c r="A86" s="496"/>
      <c r="B86" s="263" t="s">
        <v>1322</v>
      </c>
      <c r="C86" s="952" t="s">
        <v>1323</v>
      </c>
      <c r="D86" s="952"/>
      <c r="E86" s="936">
        <v>1</v>
      </c>
      <c r="F86" s="455"/>
      <c r="G86" s="259"/>
      <c r="H86" s="903"/>
      <c r="I86" s="903"/>
      <c r="J86" s="937"/>
      <c r="K86" s="924" t="str">
        <f t="shared" si="9"/>
        <v/>
      </c>
      <c r="L86" s="924" t="str">
        <f t="shared" si="9"/>
        <v/>
      </c>
      <c r="M86" s="496"/>
      <c r="P86" s="496"/>
      <c r="Q86" s="846"/>
    </row>
    <row r="87" spans="1:28" s="222" customFormat="1" ht="45" customHeight="1">
      <c r="A87" s="496"/>
      <c r="B87" s="176" t="s">
        <v>963</v>
      </c>
      <c r="C87" s="85" t="s">
        <v>1115</v>
      </c>
      <c r="D87" s="85"/>
      <c r="E87" s="85">
        <f>SUM(E71:E86)</f>
        <v>25</v>
      </c>
      <c r="F87" s="216" t="str">
        <f>IFERROR(SUM(F71:F86)/E87*E70*100,"")</f>
        <v/>
      </c>
      <c r="G87" s="259"/>
      <c r="H87" s="85"/>
      <c r="I87" s="85"/>
      <c r="J87" s="176"/>
      <c r="K87" s="176"/>
      <c r="L87" s="176"/>
      <c r="M87" s="496"/>
      <c r="P87" s="496"/>
      <c r="Q87" s="846"/>
    </row>
    <row r="88" spans="1:28" s="256" customFormat="1" ht="45" customHeight="1">
      <c r="A88" s="496"/>
      <c r="B88" s="221"/>
      <c r="C88" s="196" t="s">
        <v>1115</v>
      </c>
      <c r="D88" s="196"/>
      <c r="E88" s="196"/>
      <c r="F88" s="196"/>
      <c r="G88" s="259"/>
      <c r="H88" s="538"/>
      <c r="I88" s="538"/>
      <c r="J88" s="496"/>
      <c r="K88" s="496"/>
      <c r="L88" s="496"/>
      <c r="M88" s="496"/>
      <c r="N88" s="496"/>
      <c r="O88" s="496"/>
      <c r="P88" s="496"/>
      <c r="Q88" s="846"/>
      <c r="S88" s="222"/>
      <c r="T88" s="222"/>
      <c r="U88" s="222"/>
      <c r="V88" s="222"/>
      <c r="W88" s="222"/>
      <c r="X88" s="222"/>
      <c r="Y88" s="222"/>
      <c r="Z88" s="222"/>
      <c r="AA88" s="222"/>
      <c r="AB88" s="222"/>
    </row>
    <row r="89" spans="1:28" ht="45" customHeight="1">
      <c r="A89" s="496"/>
      <c r="B89" s="262" t="s">
        <v>396</v>
      </c>
      <c r="C89" s="205" t="s">
        <v>1115</v>
      </c>
      <c r="D89" s="206" t="s">
        <v>1089</v>
      </c>
      <c r="E89" s="207" t="str">
        <f>IFERROR(VLOOKUP($F$2,$S$3:$AA$10,8,FALSE),"")</f>
        <v/>
      </c>
      <c r="F89" s="208"/>
      <c r="H89" s="226"/>
      <c r="I89" s="226"/>
      <c r="J89" s="226"/>
      <c r="K89" s="226"/>
      <c r="L89" s="226"/>
      <c r="M89" s="496"/>
      <c r="N89" s="496"/>
      <c r="O89" s="496"/>
      <c r="P89" s="496"/>
      <c r="Q89" s="846"/>
      <c r="R89" s="496"/>
      <c r="S89" s="256"/>
      <c r="T89" s="256"/>
      <c r="U89" s="256"/>
      <c r="V89" s="256"/>
      <c r="W89" s="256"/>
      <c r="X89" s="256"/>
      <c r="Y89" s="256"/>
      <c r="Z89" s="256"/>
      <c r="AA89" s="256"/>
      <c r="AB89" s="222"/>
    </row>
    <row r="90" spans="1:28" ht="45" customHeight="1">
      <c r="A90" s="496"/>
      <c r="B90" s="263" t="s">
        <v>1218</v>
      </c>
      <c r="C90" s="952" t="s">
        <v>1219</v>
      </c>
      <c r="D90" s="952"/>
      <c r="E90" s="936" t="s">
        <v>264</v>
      </c>
      <c r="F90" s="455"/>
      <c r="H90" s="903"/>
      <c r="I90" s="903"/>
      <c r="J90" s="937"/>
      <c r="K90" s="924" t="str">
        <f t="shared" ref="K90:L95" si="10">IF(ISBLANK($F90)=FALSE,IF(H90="","No","Yes"),"")</f>
        <v/>
      </c>
      <c r="L90" s="924" t="str">
        <f t="shared" si="10"/>
        <v/>
      </c>
      <c r="M90" s="496"/>
      <c r="N90" s="496"/>
      <c r="O90" s="496"/>
      <c r="P90" s="496"/>
      <c r="Q90" s="846"/>
      <c r="R90" s="496"/>
      <c r="S90" s="496"/>
      <c r="T90" s="496"/>
      <c r="U90" s="496"/>
      <c r="V90" s="496"/>
      <c r="W90" s="496"/>
      <c r="X90" s="496"/>
      <c r="Y90" s="496"/>
      <c r="Z90" s="496"/>
      <c r="AA90" s="496"/>
      <c r="AB90" s="256"/>
    </row>
    <row r="91" spans="1:28" ht="45" customHeight="1">
      <c r="A91" s="496"/>
      <c r="B91" s="263" t="s">
        <v>1039</v>
      </c>
      <c r="C91" s="952" t="s">
        <v>1220</v>
      </c>
      <c r="D91" s="952"/>
      <c r="E91" s="936">
        <v>1</v>
      </c>
      <c r="F91" s="455"/>
      <c r="H91" s="903"/>
      <c r="I91" s="903"/>
      <c r="J91" s="937"/>
      <c r="K91" s="924" t="str">
        <f>IF(OR(ISBLANK($F91)=FALSE,$Q91=TRUE),IF(H91="","No","Yes"),"")</f>
        <v/>
      </c>
      <c r="L91" s="924" t="str">
        <f>IF(ISBLANK($F91)=FALSE,IF(I91="","No","Yes"),IF($Q91=TRUE,"NA",""))</f>
        <v/>
      </c>
      <c r="M91" s="496"/>
      <c r="N91" s="496"/>
      <c r="O91" s="496"/>
      <c r="P91" s="496" t="s">
        <v>242</v>
      </c>
      <c r="Q91" s="846" t="b">
        <v>0</v>
      </c>
      <c r="R91" s="496"/>
      <c r="S91" s="496"/>
      <c r="T91" s="496"/>
      <c r="U91" s="496"/>
      <c r="V91" s="496"/>
      <c r="W91" s="496"/>
      <c r="X91" s="496"/>
      <c r="Y91" s="496"/>
      <c r="Z91" s="496"/>
      <c r="AA91" s="496"/>
      <c r="AB91" s="496"/>
    </row>
    <row r="92" spans="1:28" ht="45" customHeight="1">
      <c r="A92" s="496"/>
      <c r="B92" s="263" t="s">
        <v>1045</v>
      </c>
      <c r="C92" s="952" t="s">
        <v>1221</v>
      </c>
      <c r="D92" s="952"/>
      <c r="E92" s="936">
        <v>1</v>
      </c>
      <c r="F92" s="455"/>
      <c r="H92" s="903"/>
      <c r="I92" s="903"/>
      <c r="J92" s="937"/>
      <c r="K92" s="924" t="str">
        <f t="shared" si="10"/>
        <v/>
      </c>
      <c r="L92" s="924" t="str">
        <f t="shared" si="10"/>
        <v/>
      </c>
      <c r="M92" s="496"/>
      <c r="N92" s="496"/>
      <c r="O92" s="496"/>
      <c r="P92" s="496"/>
      <c r="Q92" s="846"/>
      <c r="R92" s="496"/>
      <c r="S92" s="496"/>
      <c r="T92" s="496"/>
      <c r="U92" s="496"/>
      <c r="V92" s="496"/>
      <c r="W92" s="496"/>
      <c r="X92" s="496"/>
      <c r="Y92" s="496"/>
      <c r="Z92" s="496"/>
      <c r="AA92" s="496"/>
      <c r="AB92" s="496"/>
    </row>
    <row r="93" spans="1:28" ht="45" customHeight="1">
      <c r="A93" s="496"/>
      <c r="B93" s="263" t="s">
        <v>1046</v>
      </c>
      <c r="C93" s="952" t="s">
        <v>1222</v>
      </c>
      <c r="D93" s="952"/>
      <c r="E93" s="936">
        <v>2</v>
      </c>
      <c r="F93" s="455"/>
      <c r="H93" s="903"/>
      <c r="I93" s="903"/>
      <c r="J93" s="937"/>
      <c r="K93" s="924" t="str">
        <f>IF(OR(ISBLANK($F93)=FALSE,$Q93=TRUE),IF(H93="","No","Yes"),"")</f>
        <v/>
      </c>
      <c r="L93" s="924" t="str">
        <f>IF(ISBLANK($F93)=FALSE,IF(I93="","No","Yes"),IF($Q93=TRUE,"NA",""))</f>
        <v/>
      </c>
      <c r="M93" s="496"/>
      <c r="N93" s="496"/>
      <c r="O93" s="496"/>
      <c r="P93" s="496" t="s">
        <v>242</v>
      </c>
      <c r="Q93" s="846" t="b">
        <v>0</v>
      </c>
      <c r="R93" s="496"/>
      <c r="S93" s="496"/>
      <c r="T93" s="496"/>
      <c r="U93" s="496"/>
      <c r="V93" s="496"/>
      <c r="W93" s="496"/>
      <c r="X93" s="496"/>
      <c r="Y93" s="496"/>
      <c r="Z93" s="496"/>
      <c r="AA93" s="496"/>
      <c r="AB93" s="496"/>
    </row>
    <row r="94" spans="1:28" ht="45" customHeight="1">
      <c r="A94" s="496"/>
      <c r="B94" s="263" t="s">
        <v>1047</v>
      </c>
      <c r="C94" s="952" t="s">
        <v>783</v>
      </c>
      <c r="D94" s="952"/>
      <c r="E94" s="936">
        <v>4</v>
      </c>
      <c r="F94" s="455"/>
      <c r="H94" s="903"/>
      <c r="I94" s="903"/>
      <c r="J94" s="937"/>
      <c r="K94" s="924" t="str">
        <f t="shared" si="10"/>
        <v/>
      </c>
      <c r="L94" s="924" t="str">
        <f t="shared" si="10"/>
        <v/>
      </c>
      <c r="M94" s="496"/>
      <c r="N94" s="496"/>
      <c r="O94" s="496"/>
      <c r="P94" s="496"/>
      <c r="Q94" s="846"/>
      <c r="R94" s="496"/>
      <c r="S94" s="496"/>
      <c r="T94" s="496"/>
      <c r="U94" s="496"/>
      <c r="V94" s="496"/>
      <c r="W94" s="496"/>
      <c r="X94" s="496"/>
      <c r="Y94" s="496"/>
      <c r="Z94" s="496"/>
      <c r="AA94" s="496"/>
      <c r="AB94" s="496"/>
    </row>
    <row r="95" spans="1:28" ht="45" customHeight="1">
      <c r="A95" s="496"/>
      <c r="B95" s="263" t="s">
        <v>1048</v>
      </c>
      <c r="C95" s="952" t="s">
        <v>1324</v>
      </c>
      <c r="D95" s="952"/>
      <c r="E95" s="936">
        <v>3</v>
      </c>
      <c r="F95" s="455"/>
      <c r="H95" s="903"/>
      <c r="I95" s="903"/>
      <c r="J95" s="937"/>
      <c r="K95" s="924" t="str">
        <f t="shared" si="10"/>
        <v/>
      </c>
      <c r="L95" s="924" t="str">
        <f t="shared" si="10"/>
        <v/>
      </c>
      <c r="M95" s="496"/>
      <c r="N95" s="496"/>
      <c r="O95" s="496"/>
      <c r="P95" s="496"/>
      <c r="Q95" s="846"/>
      <c r="R95" s="496"/>
      <c r="S95" s="496"/>
      <c r="T95" s="496"/>
      <c r="U95" s="496"/>
      <c r="V95" s="496"/>
      <c r="W95" s="496"/>
      <c r="X95" s="496"/>
      <c r="Y95" s="496"/>
      <c r="Z95" s="496"/>
      <c r="AA95" s="496"/>
      <c r="AB95" s="496"/>
    </row>
    <row r="96" spans="1:28" ht="45" customHeight="1">
      <c r="A96" s="496"/>
      <c r="B96" s="176" t="s">
        <v>963</v>
      </c>
      <c r="C96" s="85" t="s">
        <v>1115</v>
      </c>
      <c r="D96" s="85"/>
      <c r="E96" s="85">
        <f>SUM(E90:E95)</f>
        <v>11</v>
      </c>
      <c r="F96" s="216" t="str">
        <f>IFERROR(SUM(F90:F95)/E96*E89*100,"")</f>
        <v/>
      </c>
      <c r="H96" s="85"/>
      <c r="I96" s="85"/>
      <c r="J96" s="176"/>
      <c r="K96" s="176"/>
      <c r="L96" s="176"/>
      <c r="M96" s="496"/>
      <c r="N96" s="496"/>
      <c r="O96" s="496"/>
      <c r="P96" s="496"/>
      <c r="Q96" s="846"/>
      <c r="R96" s="496"/>
      <c r="S96" s="496"/>
      <c r="T96" s="496"/>
      <c r="U96" s="496"/>
      <c r="V96" s="496"/>
      <c r="W96" s="496"/>
      <c r="X96" s="496"/>
      <c r="Y96" s="496"/>
      <c r="Z96" s="496"/>
      <c r="AA96" s="496"/>
      <c r="AB96" s="496"/>
    </row>
    <row r="97" spans="2:17" ht="45" customHeight="1">
      <c r="B97" s="221"/>
      <c r="C97" s="196" t="s">
        <v>1115</v>
      </c>
      <c r="D97" s="196"/>
      <c r="E97" s="196"/>
      <c r="F97" s="196"/>
      <c r="H97" s="538"/>
      <c r="I97" s="538"/>
      <c r="J97" s="496"/>
      <c r="K97" s="496"/>
      <c r="L97" s="496"/>
      <c r="M97" s="496"/>
      <c r="N97" s="496"/>
      <c r="O97" s="496"/>
      <c r="P97" s="496"/>
      <c r="Q97" s="846"/>
    </row>
    <row r="98" spans="2:17" ht="45" customHeight="1">
      <c r="B98" s="262" t="s">
        <v>404</v>
      </c>
      <c r="C98" s="205" t="s">
        <v>1115</v>
      </c>
      <c r="D98" s="206" t="s">
        <v>1089</v>
      </c>
      <c r="E98" s="207" t="str">
        <f>IFERROR(VLOOKUP($F$2,$S$3:$AA$10,9,FALSE),"")</f>
        <v/>
      </c>
      <c r="F98" s="208"/>
      <c r="H98" s="226"/>
      <c r="I98" s="226"/>
      <c r="J98" s="226"/>
      <c r="K98" s="226"/>
      <c r="L98" s="226"/>
      <c r="M98" s="496"/>
      <c r="N98" s="496"/>
      <c r="O98" s="496"/>
      <c r="P98" s="496"/>
      <c r="Q98" s="846"/>
    </row>
    <row r="99" spans="2:17" ht="45" customHeight="1">
      <c r="B99" s="263" t="s">
        <v>1223</v>
      </c>
      <c r="C99" s="952" t="s">
        <v>1224</v>
      </c>
      <c r="D99" s="952"/>
      <c r="E99" s="936">
        <v>1</v>
      </c>
      <c r="F99" s="455"/>
      <c r="H99" s="903"/>
      <c r="I99" s="903"/>
      <c r="J99" s="937"/>
      <c r="K99" s="924" t="str">
        <f t="shared" ref="K99:L107" si="11">IF(ISBLANK($F99)=FALSE,IF(H99="","No","Yes"),"")</f>
        <v/>
      </c>
      <c r="L99" s="924" t="str">
        <f t="shared" si="11"/>
        <v/>
      </c>
      <c r="M99" s="496"/>
      <c r="N99" s="496"/>
      <c r="O99" s="496"/>
      <c r="P99" s="496"/>
      <c r="Q99" s="846"/>
    </row>
    <row r="100" spans="2:17" ht="45" customHeight="1">
      <c r="B100" s="263" t="s">
        <v>1225</v>
      </c>
      <c r="C100" s="952" t="s">
        <v>1226</v>
      </c>
      <c r="D100" s="952"/>
      <c r="E100" s="936">
        <v>2</v>
      </c>
      <c r="F100" s="455"/>
      <c r="H100" s="903"/>
      <c r="I100" s="903"/>
      <c r="J100" s="937"/>
      <c r="K100" s="924" t="str">
        <f t="shared" si="11"/>
        <v/>
      </c>
      <c r="L100" s="924" t="str">
        <f t="shared" si="11"/>
        <v/>
      </c>
      <c r="M100" s="496"/>
      <c r="N100" s="496"/>
      <c r="O100" s="496"/>
      <c r="P100" s="496"/>
      <c r="Q100" s="846"/>
    </row>
    <row r="101" spans="2:17" ht="45" customHeight="1">
      <c r="B101" s="263" t="s">
        <v>1227</v>
      </c>
      <c r="C101" s="952" t="s">
        <v>1228</v>
      </c>
      <c r="D101" s="952"/>
      <c r="E101" s="936">
        <v>1</v>
      </c>
      <c r="F101" s="455"/>
      <c r="H101" s="903"/>
      <c r="I101" s="903"/>
      <c r="J101" s="937"/>
      <c r="K101" s="924" t="str">
        <f>IF(OR(ISBLANK($F101)=FALSE,$Q101=TRUE),IF(H101="","No","Yes"),"")</f>
        <v/>
      </c>
      <c r="L101" s="924" t="str">
        <f>IF(ISBLANK($F101)=FALSE,IF(I101="","No","Yes"),IF($Q101=TRUE,"NA",""))</f>
        <v/>
      </c>
      <c r="M101" s="496"/>
      <c r="N101" s="496"/>
      <c r="O101" s="496"/>
      <c r="P101" s="496" t="s">
        <v>242</v>
      </c>
      <c r="Q101" s="846" t="b">
        <v>0</v>
      </c>
    </row>
    <row r="102" spans="2:17" ht="45" customHeight="1">
      <c r="B102" s="263" t="s">
        <v>1229</v>
      </c>
      <c r="C102" s="952" t="s">
        <v>1230</v>
      </c>
      <c r="D102" s="952"/>
      <c r="E102" s="936">
        <v>1</v>
      </c>
      <c r="F102" s="455"/>
      <c r="H102" s="903"/>
      <c r="I102" s="903"/>
      <c r="J102" s="937"/>
      <c r="K102" s="924" t="str">
        <f t="shared" si="11"/>
        <v/>
      </c>
      <c r="L102" s="924" t="str">
        <f t="shared" si="11"/>
        <v/>
      </c>
      <c r="M102" s="496"/>
      <c r="N102" s="496"/>
      <c r="O102" s="496"/>
      <c r="P102" s="496"/>
      <c r="Q102" s="846"/>
    </row>
    <row r="103" spans="2:17" ht="45" customHeight="1">
      <c r="B103" s="263" t="s">
        <v>1231</v>
      </c>
      <c r="C103" s="952" t="s">
        <v>1232</v>
      </c>
      <c r="D103" s="952"/>
      <c r="E103" s="936">
        <v>3</v>
      </c>
      <c r="F103" s="455"/>
      <c r="H103" s="903"/>
      <c r="I103" s="903"/>
      <c r="J103" s="937"/>
      <c r="K103" s="924" t="str">
        <f>IF(OR(ISBLANK($F103)=FALSE,$Q103=TRUE),IF(H103="","No","Yes"),"")</f>
        <v/>
      </c>
      <c r="L103" s="924" t="str">
        <f>IF(ISBLANK($F103)=FALSE,IF(I103="","No","Yes"),IF($Q103=TRUE,"NA",""))</f>
        <v/>
      </c>
      <c r="M103" s="496"/>
      <c r="N103" s="496"/>
      <c r="O103" s="496"/>
      <c r="P103" s="496" t="s">
        <v>242</v>
      </c>
      <c r="Q103" s="846" t="b">
        <v>0</v>
      </c>
    </row>
    <row r="104" spans="2:17" ht="45" customHeight="1">
      <c r="B104" s="1484" t="s">
        <v>1233</v>
      </c>
      <c r="C104" s="1480" t="s">
        <v>1234</v>
      </c>
      <c r="D104" s="952" t="s">
        <v>1235</v>
      </c>
      <c r="E104" s="936">
        <v>4</v>
      </c>
      <c r="F104" s="455"/>
      <c r="H104" s="903"/>
      <c r="I104" s="903"/>
      <c r="J104" s="937"/>
      <c r="K104" s="924" t="str">
        <f>IF(OR(ISBLANK($F104)=FALSE,$Q104=TRUE),IF(H104="","No","Yes"),"")</f>
        <v/>
      </c>
      <c r="L104" s="924" t="str">
        <f>IF(ISBLANK($F104)=FALSE,IF(I104="","No","Yes"),IF($Q104=TRUE,"NA",""))</f>
        <v/>
      </c>
      <c r="M104" s="496"/>
      <c r="N104" s="496"/>
      <c r="O104" s="496"/>
      <c r="P104" s="496" t="s">
        <v>242</v>
      </c>
      <c r="Q104" s="846" t="b">
        <v>0</v>
      </c>
    </row>
    <row r="105" spans="2:17" ht="45" customHeight="1">
      <c r="B105" s="1485"/>
      <c r="C105" s="1481"/>
      <c r="D105" s="952" t="s">
        <v>1236</v>
      </c>
      <c r="E105" s="936">
        <v>1</v>
      </c>
      <c r="F105" s="455"/>
      <c r="H105" s="903"/>
      <c r="I105" s="903"/>
      <c r="J105" s="937"/>
      <c r="K105" s="924" t="str">
        <f>IF(OR(ISBLANK($F105)=FALSE,$Q105=TRUE),IF(H105="","No","Yes"),"")</f>
        <v/>
      </c>
      <c r="L105" s="924" t="str">
        <f>IF(ISBLANK($F105)=FALSE,IF(I105="","No","Yes"),IF($Q105=TRUE,"NA",""))</f>
        <v/>
      </c>
      <c r="M105" s="496"/>
      <c r="N105" s="496"/>
      <c r="O105" s="496"/>
      <c r="P105" s="496" t="s">
        <v>242</v>
      </c>
      <c r="Q105" s="846" t="b">
        <v>0</v>
      </c>
    </row>
    <row r="106" spans="2:17" ht="45" customHeight="1">
      <c r="B106" s="263" t="s">
        <v>1237</v>
      </c>
      <c r="C106" s="952" t="s">
        <v>409</v>
      </c>
      <c r="D106" s="952"/>
      <c r="E106" s="936">
        <v>1</v>
      </c>
      <c r="F106" s="455"/>
      <c r="H106" s="903"/>
      <c r="I106" s="903"/>
      <c r="J106" s="937"/>
      <c r="K106" s="924" t="str">
        <f t="shared" si="11"/>
        <v/>
      </c>
      <c r="L106" s="924" t="str">
        <f t="shared" si="11"/>
        <v/>
      </c>
      <c r="M106" s="496"/>
      <c r="N106" s="496"/>
      <c r="O106" s="496"/>
      <c r="P106" s="496"/>
      <c r="Q106" s="846"/>
    </row>
    <row r="107" spans="2:17" ht="45" customHeight="1">
      <c r="B107" s="263" t="s">
        <v>1238</v>
      </c>
      <c r="C107" s="952" t="s">
        <v>1239</v>
      </c>
      <c r="D107" s="952"/>
      <c r="E107" s="936">
        <v>1</v>
      </c>
      <c r="F107" s="455"/>
      <c r="H107" s="903"/>
      <c r="I107" s="903"/>
      <c r="J107" s="937"/>
      <c r="K107" s="924" t="str">
        <f t="shared" si="11"/>
        <v/>
      </c>
      <c r="L107" s="924" t="str">
        <f t="shared" si="11"/>
        <v/>
      </c>
      <c r="M107" s="496"/>
      <c r="N107" s="496"/>
      <c r="O107" s="496"/>
      <c r="P107" s="496"/>
      <c r="Q107" s="846"/>
    </row>
    <row r="108" spans="2:17" ht="45" customHeight="1">
      <c r="B108" s="176" t="s">
        <v>963</v>
      </c>
      <c r="C108" s="85"/>
      <c r="D108" s="85"/>
      <c r="E108" s="85">
        <f>SUM(E99:E107)</f>
        <v>15</v>
      </c>
      <c r="F108" s="264" t="str">
        <f>IFERROR(SUM(F99:F107)/E108*E98*100,"")</f>
        <v/>
      </c>
      <c r="H108" s="85"/>
      <c r="I108" s="85"/>
      <c r="J108" s="176"/>
      <c r="K108" s="176"/>
      <c r="L108" s="176"/>
      <c r="M108" s="496"/>
      <c r="N108" s="496"/>
      <c r="O108" s="496"/>
      <c r="P108" s="496"/>
      <c r="Q108" s="846"/>
    </row>
    <row r="109" spans="2:17" ht="45" customHeight="1">
      <c r="B109" s="221"/>
      <c r="C109" s="196"/>
      <c r="D109" s="196"/>
      <c r="E109" s="196"/>
      <c r="F109" s="196"/>
      <c r="H109" s="538"/>
      <c r="I109" s="538"/>
      <c r="J109" s="496"/>
      <c r="K109" s="496"/>
      <c r="L109" s="496"/>
      <c r="M109" s="496"/>
      <c r="N109" s="496"/>
      <c r="O109" s="496"/>
      <c r="P109" s="496"/>
      <c r="Q109" s="846"/>
    </row>
    <row r="110" spans="2:17" ht="45" customHeight="1">
      <c r="B110" s="262" t="s">
        <v>419</v>
      </c>
      <c r="C110" s="205"/>
      <c r="D110" s="205"/>
      <c r="E110" s="228"/>
      <c r="F110" s="208"/>
      <c r="H110" s="226"/>
      <c r="I110" s="226"/>
      <c r="J110" s="226"/>
      <c r="K110" s="226"/>
      <c r="L110" s="226"/>
      <c r="M110" s="496"/>
      <c r="N110" s="496"/>
      <c r="O110" s="496"/>
      <c r="P110" s="496"/>
      <c r="Q110" s="846"/>
    </row>
    <row r="111" spans="2:17" ht="45" customHeight="1">
      <c r="B111" s="263" t="s">
        <v>1079</v>
      </c>
      <c r="C111" s="952" t="s">
        <v>1242</v>
      </c>
      <c r="D111" s="953"/>
      <c r="E111" s="1448">
        <v>10</v>
      </c>
      <c r="F111" s="455"/>
      <c r="H111" s="903"/>
      <c r="I111" s="903"/>
      <c r="J111" s="937"/>
      <c r="K111" s="924" t="str">
        <f t="shared" ref="K111:L113" si="12">IF(ISBLANK($F111)=FALSE,IF(H111="","No","Yes"),"")</f>
        <v/>
      </c>
      <c r="L111" s="924" t="str">
        <f t="shared" si="12"/>
        <v/>
      </c>
      <c r="M111" s="496"/>
      <c r="N111" s="496"/>
      <c r="O111" s="496"/>
      <c r="P111" s="496"/>
      <c r="Q111" s="846"/>
    </row>
    <row r="112" spans="2:17" ht="45" customHeight="1">
      <c r="B112" s="263" t="s">
        <v>1243</v>
      </c>
      <c r="C112" s="952" t="s">
        <v>1244</v>
      </c>
      <c r="D112" s="954"/>
      <c r="E112" s="1449"/>
      <c r="F112" s="455"/>
      <c r="H112" s="903"/>
      <c r="I112" s="903"/>
      <c r="J112" s="937"/>
      <c r="K112" s="924" t="str">
        <f t="shared" si="12"/>
        <v/>
      </c>
      <c r="L112" s="924" t="str">
        <f t="shared" si="12"/>
        <v/>
      </c>
      <c r="M112" s="496"/>
      <c r="N112" s="496"/>
      <c r="O112" s="496"/>
      <c r="P112" s="496"/>
      <c r="Q112" s="846"/>
    </row>
    <row r="113" spans="1:12" ht="45" customHeight="1">
      <c r="A113" s="496"/>
      <c r="B113" s="263" t="s">
        <v>1245</v>
      </c>
      <c r="C113" s="952" t="s">
        <v>1246</v>
      </c>
      <c r="D113" s="955"/>
      <c r="E113" s="1450"/>
      <c r="F113" s="455"/>
      <c r="H113" s="903"/>
      <c r="I113" s="903"/>
      <c r="J113" s="937"/>
      <c r="K113" s="924" t="str">
        <f t="shared" si="12"/>
        <v/>
      </c>
      <c r="L113" s="924" t="str">
        <f t="shared" si="12"/>
        <v/>
      </c>
    </row>
    <row r="114" spans="1:12" ht="45" customHeight="1">
      <c r="A114" s="496"/>
      <c r="B114" s="176" t="s">
        <v>963</v>
      </c>
      <c r="C114" s="85"/>
      <c r="D114" s="85"/>
      <c r="E114" s="85">
        <f>SUM(E111:E113)</f>
        <v>10</v>
      </c>
      <c r="F114" s="85">
        <f>IF(SUM(F111:F113)&gt;10,10,SUM(F111:F113))</f>
        <v>0</v>
      </c>
      <c r="H114" s="85"/>
      <c r="I114" s="85"/>
      <c r="J114" s="217"/>
      <c r="K114" s="217"/>
      <c r="L114" s="176"/>
    </row>
    <row r="115" spans="1:12" ht="30" customHeight="1">
      <c r="A115" s="496"/>
      <c r="C115" s="496"/>
      <c r="D115" s="496"/>
      <c r="E115" s="496"/>
      <c r="F115" s="538"/>
      <c r="H115" s="538"/>
      <c r="I115" s="538"/>
      <c r="J115" s="496"/>
      <c r="K115" s="496"/>
      <c r="L115" s="496"/>
    </row>
    <row r="116" spans="1:12" ht="45" customHeight="1">
      <c r="A116" s="496"/>
      <c r="C116" s="538"/>
      <c r="D116" s="230" t="s">
        <v>437</v>
      </c>
      <c r="E116" s="218"/>
      <c r="F116" s="218"/>
      <c r="G116" s="496"/>
      <c r="H116" s="201" t="s">
        <v>599</v>
      </c>
      <c r="I116" s="201" t="s">
        <v>600</v>
      </c>
      <c r="J116" s="496"/>
      <c r="K116" s="496"/>
      <c r="L116" s="496"/>
    </row>
    <row r="117" spans="1:12" ht="45" customHeight="1">
      <c r="A117" s="496"/>
      <c r="C117" s="538"/>
      <c r="D117" s="231" t="s">
        <v>440</v>
      </c>
      <c r="E117" s="232"/>
      <c r="F117" s="233"/>
      <c r="G117" s="210"/>
      <c r="H117" s="234">
        <f>SUMIF(K9:K113,"Yes",H9:H113)</f>
        <v>0</v>
      </c>
      <c r="I117" s="234">
        <f>SUMIF(L9:L113,"Yes",I9:I113)</f>
        <v>0</v>
      </c>
      <c r="J117" s="496"/>
      <c r="K117" s="496"/>
      <c r="L117" s="496"/>
    </row>
    <row r="118" spans="1:12" ht="45" customHeight="1">
      <c r="A118" s="496"/>
      <c r="C118" s="538"/>
      <c r="D118" s="231" t="s">
        <v>441</v>
      </c>
      <c r="E118" s="232"/>
      <c r="F118" s="233"/>
      <c r="G118" s="210"/>
      <c r="H118" s="225"/>
      <c r="I118" s="225"/>
      <c r="J118" s="496"/>
      <c r="K118" s="496"/>
      <c r="L118" s="496"/>
    </row>
    <row r="119" spans="1:12" ht="45" customHeight="1">
      <c r="A119" s="496"/>
      <c r="C119" s="538"/>
      <c r="D119" s="235" t="s">
        <v>442</v>
      </c>
      <c r="E119" s="236"/>
      <c r="F119" s="237">
        <f>SUM(F117:F118)</f>
        <v>0</v>
      </c>
      <c r="G119" s="210"/>
      <c r="H119" s="192"/>
      <c r="I119" s="225"/>
      <c r="J119" s="496"/>
      <c r="K119" s="496"/>
      <c r="L119" s="496"/>
    </row>
    <row r="120" spans="1:12" ht="45" customHeight="1">
      <c r="A120" s="496"/>
      <c r="C120" s="538"/>
      <c r="D120" s="231" t="s">
        <v>443</v>
      </c>
      <c r="E120" s="232"/>
      <c r="F120" s="233"/>
      <c r="G120" s="210"/>
      <c r="H120" s="192"/>
      <c r="I120" s="225"/>
      <c r="J120" s="496"/>
      <c r="K120" s="496"/>
      <c r="L120" s="496"/>
    </row>
    <row r="121" spans="1:12" ht="45" customHeight="1">
      <c r="A121" s="496"/>
      <c r="C121" s="538"/>
      <c r="D121" s="231" t="s">
        <v>107</v>
      </c>
      <c r="E121" s="232"/>
      <c r="F121" s="237">
        <f>H117</f>
        <v>0</v>
      </c>
      <c r="G121" s="210"/>
      <c r="H121" s="192"/>
      <c r="I121" s="225"/>
      <c r="J121" s="496"/>
      <c r="K121" s="496"/>
      <c r="L121" s="496"/>
    </row>
    <row r="122" spans="1:12" ht="45" customHeight="1">
      <c r="A122" s="496"/>
      <c r="C122" s="538"/>
      <c r="D122" s="231" t="s">
        <v>444</v>
      </c>
      <c r="E122" s="232"/>
      <c r="F122" s="237">
        <f>I117</f>
        <v>0</v>
      </c>
      <c r="G122" s="210"/>
      <c r="H122" s="192"/>
      <c r="I122" s="225"/>
      <c r="J122" s="496"/>
      <c r="K122" s="496"/>
      <c r="L122" s="496"/>
    </row>
    <row r="123" spans="1:12" ht="45" customHeight="1">
      <c r="A123" s="496"/>
      <c r="C123" s="538"/>
      <c r="D123" s="235" t="s">
        <v>445</v>
      </c>
      <c r="E123" s="236"/>
      <c r="F123" s="238">
        <f>SUM(F120:F122)</f>
        <v>0</v>
      </c>
      <c r="G123" s="210"/>
      <c r="H123" s="192"/>
      <c r="I123" s="225"/>
      <c r="J123" s="496"/>
      <c r="K123" s="496"/>
      <c r="L123" s="496"/>
    </row>
    <row r="124" spans="1:12" ht="45" customHeight="1">
      <c r="A124" s="496"/>
      <c r="C124" s="538"/>
      <c r="D124" s="239" t="s">
        <v>112</v>
      </c>
      <c r="E124" s="240"/>
      <c r="F124" s="241">
        <f>IFERROR(F123/F119,0)</f>
        <v>0</v>
      </c>
      <c r="G124" s="210"/>
      <c r="H124" s="192"/>
      <c r="I124" s="225"/>
      <c r="J124" s="496"/>
      <c r="K124" s="496"/>
      <c r="L124" s="496"/>
    </row>
    <row r="125" spans="1:12" ht="14.1">
      <c r="A125" s="496"/>
      <c r="C125" s="815"/>
      <c r="D125" s="815"/>
      <c r="E125" s="942"/>
      <c r="F125" s="538"/>
      <c r="G125" s="496"/>
      <c r="H125" s="904"/>
      <c r="I125" s="904"/>
      <c r="J125" s="496"/>
      <c r="K125" s="496"/>
      <c r="L125" s="496"/>
    </row>
    <row r="126" spans="1:12" ht="30" customHeight="1">
      <c r="A126" s="143"/>
      <c r="C126" s="538"/>
      <c r="D126" s="230" t="s">
        <v>101</v>
      </c>
      <c r="E126" s="243"/>
      <c r="F126" s="244" t="s">
        <v>602</v>
      </c>
      <c r="G126" s="243"/>
      <c r="H126" s="904"/>
      <c r="I126" s="904"/>
      <c r="J126" s="496"/>
      <c r="K126" s="496"/>
      <c r="L126" s="496"/>
    </row>
    <row r="127" spans="1:12" ht="35.1" customHeight="1">
      <c r="A127" s="143"/>
      <c r="C127" s="538"/>
      <c r="D127" s="127" t="s">
        <v>447</v>
      </c>
      <c r="E127" s="943" t="s">
        <v>937</v>
      </c>
      <c r="F127" s="1227" t="str">
        <f>IF(E127="Yes","No Issues", IF(E127="No","Contact project team","Check scorecard points"))</f>
        <v>Check scorecard points</v>
      </c>
      <c r="G127" s="1227"/>
      <c r="H127" s="904"/>
      <c r="I127" s="904"/>
      <c r="J127" s="496"/>
      <c r="K127" s="496"/>
      <c r="L127" s="496"/>
    </row>
    <row r="128" spans="1:12" ht="35.1" customHeight="1">
      <c r="A128" s="143"/>
      <c r="C128" s="538"/>
      <c r="D128" s="127" t="s">
        <v>604</v>
      </c>
      <c r="E128" s="943">
        <f>COUNTA(F9:F20,F24:F38,F42:F48,F52:F58,F62:F67,F71:F86,F90:F95,F99:F107,F111:F113)+COUNTIF(Q9:Q113,TRUE)</f>
        <v>0</v>
      </c>
      <c r="F128" s="1227" t="str">
        <f>IF(E128=0,"No credits entered","No Issues")</f>
        <v>No credits entered</v>
      </c>
      <c r="G128" s="1227"/>
      <c r="H128" s="904"/>
      <c r="I128" s="904"/>
      <c r="J128" s="496"/>
      <c r="K128" s="496"/>
      <c r="L128" s="496"/>
    </row>
    <row r="129" spans="1:9" ht="35.1" customHeight="1">
      <c r="A129" s="143"/>
      <c r="C129" s="538"/>
      <c r="D129" s="127" t="s">
        <v>450</v>
      </c>
      <c r="E129" s="943">
        <f>COUNTIF(Q9:Q113,TRUE)</f>
        <v>0</v>
      </c>
      <c r="F129" s="1304" t="str">
        <f>IF(E129=0,"No Issues - No NA credits claimed",CONCATENATE("No Issues - ",E129," Implementation Costs not needed"))</f>
        <v>No Issues - No NA credits claimed</v>
      </c>
      <c r="G129" s="1304"/>
      <c r="H129" s="904"/>
      <c r="I129" s="904"/>
    </row>
    <row r="130" spans="1:9" ht="60" customHeight="1">
      <c r="A130" s="143"/>
      <c r="C130" s="538"/>
      <c r="D130" s="127" t="s">
        <v>451</v>
      </c>
      <c r="E130" s="943">
        <f>COUNTIF(K3:K113,"Yes")</f>
        <v>0</v>
      </c>
      <c r="F130" s="1229" t="str">
        <f>IF(E130&lt;E128,CONCATENATE(E128-E130," documentation costs missing"),IF(E130=0,"No credits entered",IF(COUNTIF(H9:H113,0)&gt;0,CONCATENATE(COUNTIF(H9:H113,0)," $0 cost(s) provided. Enter a value or explain the $0 value in the Comments column."),"No Issues")))</f>
        <v>No credits entered</v>
      </c>
      <c r="G130" s="1229"/>
      <c r="H130" s="454"/>
      <c r="I130" s="593"/>
    </row>
    <row r="131" spans="1:9" ht="60" customHeight="1">
      <c r="A131" s="143"/>
      <c r="C131" s="538"/>
      <c r="D131" s="127" t="s">
        <v>452</v>
      </c>
      <c r="E131" s="943">
        <f>COUNTIF(L3:L113,"Yes")</f>
        <v>0</v>
      </c>
      <c r="F131" s="1229" t="str">
        <f>IF(E131&lt;(E128-E129),CONCATENATE(E128-E131-E129," implementation costs missing"),IF(E131=0,"No credits entered",IF(COUNTIF(I9:I113,0)&gt;ROUND(0.25*E128,0),CONCATENATE(COUNTIF(I9:I113,0)," $0 cost(s) provided. Enter a value or explain the $0 value in the Comments column."),"No Issues")))</f>
        <v>No credits entered</v>
      </c>
      <c r="G131" s="1229"/>
      <c r="H131" s="454"/>
      <c r="I131" s="593"/>
    </row>
    <row r="132" spans="1:9" ht="35.1" customHeight="1">
      <c r="A132" s="143"/>
      <c r="C132" s="538"/>
      <c r="D132" s="127" t="s">
        <v>453</v>
      </c>
      <c r="E132" s="943" t="str">
        <f>IF(F117&gt;0,"Yes","No")</f>
        <v>No</v>
      </c>
      <c r="F132" s="1229" t="str">
        <f>IF(E132="No","Total Design Cost missing","No Issues")</f>
        <v>Total Design Cost missing</v>
      </c>
      <c r="G132" s="1229"/>
      <c r="H132" s="904"/>
      <c r="I132" s="904"/>
    </row>
    <row r="133" spans="1:9" ht="35.1" customHeight="1">
      <c r="A133" s="143"/>
      <c r="C133" s="538"/>
      <c r="D133" s="127" t="s">
        <v>454</v>
      </c>
      <c r="E133" s="943" t="str">
        <f>IF(F118&gt;0,"Yes","No")</f>
        <v>No</v>
      </c>
      <c r="F133" s="1229" t="str">
        <f>IF(E133="No","Total Construction Cost missing","No Issues")</f>
        <v>Total Construction Cost missing</v>
      </c>
      <c r="G133" s="1229"/>
      <c r="H133" s="904"/>
      <c r="I133" s="904"/>
    </row>
    <row r="134" spans="1:9" ht="35.1" customHeight="1">
      <c r="A134" s="143"/>
      <c r="C134" s="538"/>
      <c r="D134" s="127" t="s">
        <v>455</v>
      </c>
      <c r="E134" s="943" t="str">
        <f>IF(F120&gt;0,"Yes","No")</f>
        <v>No</v>
      </c>
      <c r="F134" s="1229" t="str">
        <f>IF(E134="No","Green Star Certification Fees missing","No Issues")</f>
        <v>Green Star Certification Fees missing</v>
      </c>
      <c r="G134" s="1229"/>
      <c r="H134" s="904"/>
      <c r="I134" s="904"/>
    </row>
    <row r="135" spans="1:9" ht="35.1" hidden="1" customHeight="1">
      <c r="A135" s="143" t="s">
        <v>14</v>
      </c>
      <c r="C135" s="538"/>
      <c r="D135" s="591" t="s">
        <v>188</v>
      </c>
      <c r="E135" s="592"/>
      <c r="F135" s="1230" t="s">
        <v>652</v>
      </c>
      <c r="G135" s="1230"/>
      <c r="H135" s="904"/>
      <c r="I135" s="904"/>
    </row>
    <row r="136" spans="1:9" ht="45" hidden="1" customHeight="1">
      <c r="A136" s="143" t="s">
        <v>14</v>
      </c>
      <c r="C136" s="538"/>
      <c r="D136" s="128" t="s">
        <v>457</v>
      </c>
      <c r="E136" s="1446" t="str">
        <f>IF(OR(COUNTIF(F127:G134,"No Issues*")=8,F135="YES"),"1 POINT AWARDED","1 POINT NOT AWARDED")</f>
        <v>1 POINT NOT AWARDED</v>
      </c>
      <c r="F136" s="1446"/>
      <c r="G136" s="1446"/>
      <c r="H136" s="538"/>
      <c r="I136" s="538"/>
    </row>
  </sheetData>
  <sheetProtection algorithmName="SHA-512" hashValue="fxJOD2Hd4jyYZ8R+pvSyU7e2+9yvs1KQJJGY+yYI+9jRI8kpUUmtxYv7uLW54J1W/Vg6Iu7ve9qpTRnt49szIg==" saltValue="xOPHrLdJ9f1XAEv+5Fqvtg==" spinCount="100000" sheet="1" objects="1" scenarios="1"/>
  <sortState xmlns:xlrd2="http://schemas.microsoft.com/office/spreadsheetml/2017/richdata2" ref="S3:AA10">
    <sortCondition ref="S3"/>
  </sortState>
  <customSheetViews>
    <customSheetView guid="{CEACA748-A46A-4C8B-98CF-30E51B671B84}" scale="80" showGridLines="0" hiddenColumns="1">
      <pane ySplit="7" topLeftCell="A125" activePane="bottomLeft" state="frozen"/>
      <selection pane="bottomLeft" activeCell="E137" sqref="E137"/>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41">
    <mergeCell ref="H6:I6"/>
    <mergeCell ref="B1:F1"/>
    <mergeCell ref="F133:G133"/>
    <mergeCell ref="F134:G134"/>
    <mergeCell ref="B10:B11"/>
    <mergeCell ref="C10:C11"/>
    <mergeCell ref="B15:B16"/>
    <mergeCell ref="C15:C16"/>
    <mergeCell ref="B18:B20"/>
    <mergeCell ref="C18:C20"/>
    <mergeCell ref="B28:B31"/>
    <mergeCell ref="C28:C31"/>
    <mergeCell ref="B35:B36"/>
    <mergeCell ref="C35:C36"/>
    <mergeCell ref="B37:B38"/>
    <mergeCell ref="C37:C38"/>
    <mergeCell ref="E136:G136"/>
    <mergeCell ref="E111:E113"/>
    <mergeCell ref="F127:G127"/>
    <mergeCell ref="F128:G128"/>
    <mergeCell ref="F130:G130"/>
    <mergeCell ref="F131:G131"/>
    <mergeCell ref="F132:G132"/>
    <mergeCell ref="F129:G129"/>
    <mergeCell ref="F135:G135"/>
    <mergeCell ref="B44:B45"/>
    <mergeCell ref="C44:C45"/>
    <mergeCell ref="B46:B47"/>
    <mergeCell ref="C46:C47"/>
    <mergeCell ref="B53:B54"/>
    <mergeCell ref="C53:C54"/>
    <mergeCell ref="B55:B56"/>
    <mergeCell ref="C55:C56"/>
    <mergeCell ref="B72:B73"/>
    <mergeCell ref="C72:C73"/>
    <mergeCell ref="B104:B105"/>
    <mergeCell ref="C104:C105"/>
    <mergeCell ref="B75:B76"/>
    <mergeCell ref="C75:C76"/>
    <mergeCell ref="B77:B78"/>
    <mergeCell ref="C77:C78"/>
  </mergeCells>
  <conditionalFormatting sqref="H111:L113 H9:L20 H24:L38 H42:L48 H52:L58 H62:L67 H71:L86 H90:L95 H99:L107">
    <cfRule type="expression" dxfId="28" priority="16">
      <formula>$F9=""</formula>
    </cfRule>
  </conditionalFormatting>
  <conditionalFormatting sqref="K111:L113 K9:L20 K24:L38 K42:L48 K52:L58 K62:L67 K71:L86 K90:L95 K99:L107">
    <cfRule type="cellIs" dxfId="27" priority="9" operator="equal">
      <formula>"No"</formula>
    </cfRule>
    <cfRule type="cellIs" dxfId="26" priority="10" operator="equal">
      <formula>"Yes"</formula>
    </cfRule>
  </conditionalFormatting>
  <conditionalFormatting sqref="F127:G128 F132:G134">
    <cfRule type="containsText" dxfId="25" priority="11" operator="containsText" text="No Issues">
      <formula>NOT(ISERROR(SEARCH("No Issues",F127)))</formula>
    </cfRule>
  </conditionalFormatting>
  <conditionalFormatting sqref="H26 J26:K26 H31:H32 J31:K32 H38 J38:K38 H46 J46:K46 H52:H54 J52:K54 H63 H65:H67 H72:H73 H75:H81 H91 H93 H101 H103:H105 J63:K63 J65:K67 J72:K73 J75:K81 J91:K91 J93:K93 J101:K101 J103:K105">
    <cfRule type="expression" dxfId="24" priority="12">
      <formula>$Q26=TRUE</formula>
    </cfRule>
  </conditionalFormatting>
  <conditionalFormatting sqref="B26:F26 D31:F31 B32:F32 D38:F38 D46:F46 B52:F52 D53:F54 B63:F63 B65:F67 D72:F73 D75:F78 B79:F81 B91:F91 B93:F93 B101:F101 B103:F103 D104:F105">
    <cfRule type="expression" dxfId="23" priority="15">
      <formula>$Q26=TRUE</formula>
    </cfRule>
  </conditionalFormatting>
  <conditionalFormatting sqref="L26 L31:L32 L38 L46 L52:L54 L63 L65:L67 L72:L73 L75:L81 L91 L93 L101 L103:L105">
    <cfRule type="cellIs" dxfId="22" priority="4" operator="equal">
      <formula>"NA"</formula>
    </cfRule>
  </conditionalFormatting>
  <conditionalFormatting sqref="F127:G134">
    <cfRule type="containsText" dxfId="21" priority="3" operator="containsText" text="No Issues">
      <formula>NOT(ISERROR(SEARCH("No Issues",F127)))</formula>
    </cfRule>
  </conditionalFormatting>
  <conditionalFormatting sqref="H6:J6">
    <cfRule type="containsText" dxfId="20" priority="17" operator="containsText" text="Select">
      <formula>NOT(ISERROR(SEARCH("Select",H6)))</formula>
    </cfRule>
  </conditionalFormatting>
  <conditionalFormatting sqref="C2:C5 F2">
    <cfRule type="containsText" dxfId="19" priority="18" operator="containsText" text="Please">
      <formula>NOT(ISERROR(SEARCH("Please",C2)))</formula>
    </cfRule>
  </conditionalFormatting>
  <conditionalFormatting sqref="F135">
    <cfRule type="cellIs" dxfId="18" priority="1" operator="equal">
      <formula>"YES"</formula>
    </cfRule>
  </conditionalFormatting>
  <dataValidations count="12">
    <dataValidation allowBlank="1" showErrorMessage="1" promptTitle="Rating Tool Version" prompt="Please select the project's rating tool version" sqref="C5" xr:uid="{00000000-0002-0000-0E00-000000000000}"/>
    <dataValidation allowBlank="1" showInputMessage="1" showErrorMessage="1" promptTitle="Project number" prompt="Please enter the Green Star number" sqref="C2" xr:uid="{00000000-0002-0000-0E00-000001000000}"/>
    <dataValidation allowBlank="1" showInputMessage="1" showErrorMessage="1" promptTitle="Project Name" prompt="Please enter the project name" sqref="C3" xr:uid="{00000000-0002-0000-0E00-000002000000}"/>
    <dataValidation type="list" allowBlank="1" showInputMessage="1" showErrorMessage="1" promptTitle="Green Star Rating" prompt="Please select the project's targeted rating" sqref="C4" xr:uid="{00000000-0002-0000-0E00-000003000000}">
      <formula1>$N$2:$N$5</formula1>
    </dataValidation>
    <dataValidation type="list" allowBlank="1" showInputMessage="1" showErrorMessage="1" sqref="H6" xr:uid="{00000000-0002-0000-0E00-000004000000}">
      <formula1>$N$7:$N$9</formula1>
    </dataValidation>
    <dataValidation type="list" allowBlank="1" showInputMessage="1" showErrorMessage="1" sqref="J6" xr:uid="{00000000-0002-0000-0E00-000005000000}">
      <formula1>$O$7:$O$9</formula1>
    </dataValidation>
    <dataValidation type="whole" allowBlank="1" showInputMessage="1" showErrorMessage="1" sqref="F111:F113 F62:F67 F91:F95 F9:F20 F24:F38 F43:F48 F52:F58 F71:F86 F99:F107" xr:uid="{00000000-0002-0000-0E00-000006000000}">
      <formula1>0</formula1>
      <formula2>E9</formula2>
    </dataValidation>
    <dataValidation type="list" allowBlank="1" showInputMessage="1" showErrorMessage="1" sqref="E127" xr:uid="{00000000-0002-0000-0E00-000007000000}">
      <formula1>"Please select, Yes, No"</formula1>
    </dataValidation>
    <dataValidation type="list" allowBlank="1" showInputMessage="1" showErrorMessage="1" sqref="F42 F90" xr:uid="{00000000-0002-0000-0E00-000008000000}">
      <formula1>$N$11:$N$12</formula1>
    </dataValidation>
    <dataValidation type="list" allowBlank="1" showInputMessage="1" showErrorMessage="1" sqref="F2" xr:uid="{00000000-0002-0000-0E00-000009000000}">
      <formula1>$S$2:$S$10</formula1>
    </dataValidation>
    <dataValidation type="decimal" operator="greaterThanOrEqual" allowBlank="1" showInputMessage="1" showErrorMessage="1" sqref="H9:I113 F117:F118 F120" xr:uid="{00000000-0002-0000-0E00-00000A000000}">
      <formula1>0</formula1>
    </dataValidation>
    <dataValidation type="list" allowBlank="1" showInputMessage="1" showErrorMessage="1" sqref="F135:G135" xr:uid="{00000000-0002-0000-0E00-00000B000000}">
      <formula1>"YES/NO, YES, NO"</formula1>
    </dataValidation>
  </dataValidations>
  <pageMargins left="0.7" right="0.7" top="0.75" bottom="0.75" header="0.3" footer="0.3"/>
  <pageSetup orientation="portrait" r:id="rId2"/>
  <ignoredErrors>
    <ignoredError sqref="K10:K90 L74 K91:K101 K102:L102 L92 L94:L100"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7586" r:id="rId5" name="Check Box 2">
              <controlPr defaultSize="0" autoFill="0" autoLine="0" autoPict="0">
                <anchor moveWithCells="1">
                  <from>
                    <xdr:col>0</xdr:col>
                    <xdr:colOff>69850</xdr:colOff>
                    <xdr:row>25</xdr:row>
                    <xdr:rowOff>228600</xdr:rowOff>
                  </from>
                  <to>
                    <xdr:col>1</xdr:col>
                    <xdr:colOff>609600</xdr:colOff>
                    <xdr:row>25</xdr:row>
                    <xdr:rowOff>438150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0</xdr:col>
                    <xdr:colOff>69850</xdr:colOff>
                    <xdr:row>30</xdr:row>
                    <xdr:rowOff>228600</xdr:rowOff>
                  </from>
                  <to>
                    <xdr:col>1</xdr:col>
                    <xdr:colOff>609600</xdr:colOff>
                    <xdr:row>30</xdr:row>
                    <xdr:rowOff>438150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0</xdr:col>
                    <xdr:colOff>69850</xdr:colOff>
                    <xdr:row>37</xdr:row>
                    <xdr:rowOff>228600</xdr:rowOff>
                  </from>
                  <to>
                    <xdr:col>1</xdr:col>
                    <xdr:colOff>609600</xdr:colOff>
                    <xdr:row>37</xdr:row>
                    <xdr:rowOff>438150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0</xdr:col>
                    <xdr:colOff>69850</xdr:colOff>
                    <xdr:row>45</xdr:row>
                    <xdr:rowOff>228600</xdr:rowOff>
                  </from>
                  <to>
                    <xdr:col>1</xdr:col>
                    <xdr:colOff>609600</xdr:colOff>
                    <xdr:row>45</xdr:row>
                    <xdr:rowOff>438150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0</xdr:col>
                    <xdr:colOff>69850</xdr:colOff>
                    <xdr:row>51</xdr:row>
                    <xdr:rowOff>228600</xdr:rowOff>
                  </from>
                  <to>
                    <xdr:col>1</xdr:col>
                    <xdr:colOff>609600</xdr:colOff>
                    <xdr:row>51</xdr:row>
                    <xdr:rowOff>438150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0</xdr:col>
                    <xdr:colOff>69850</xdr:colOff>
                    <xdr:row>52</xdr:row>
                    <xdr:rowOff>228600</xdr:rowOff>
                  </from>
                  <to>
                    <xdr:col>1</xdr:col>
                    <xdr:colOff>609600</xdr:colOff>
                    <xdr:row>52</xdr:row>
                    <xdr:rowOff>438150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0</xdr:col>
                    <xdr:colOff>69850</xdr:colOff>
                    <xdr:row>62</xdr:row>
                    <xdr:rowOff>228600</xdr:rowOff>
                  </from>
                  <to>
                    <xdr:col>1</xdr:col>
                    <xdr:colOff>609600</xdr:colOff>
                    <xdr:row>62</xdr:row>
                    <xdr:rowOff>438150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7597" r:id="rId16" name="Check Box 13">
              <controlPr defaultSize="0" autoFill="0" autoLine="0" autoPict="0">
                <anchor moveWithCells="1">
                  <from>
                    <xdr:col>0</xdr:col>
                    <xdr:colOff>69850</xdr:colOff>
                    <xdr:row>66</xdr:row>
                    <xdr:rowOff>228600</xdr:rowOff>
                  </from>
                  <to>
                    <xdr:col>1</xdr:col>
                    <xdr:colOff>609600</xdr:colOff>
                    <xdr:row>66</xdr:row>
                    <xdr:rowOff>438150</xdr:rowOff>
                  </to>
                </anchor>
              </controlPr>
            </control>
          </mc:Choice>
        </mc:AlternateContent>
        <mc:AlternateContent xmlns:mc="http://schemas.openxmlformats.org/markup-compatibility/2006">
          <mc:Choice Requires="x14">
            <control shapeId="67598" r:id="rId17" name="Check Box 14">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67599" r:id="rId18" name="Check Box 15">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7600" r:id="rId19" name="Check Box 16">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67601" r:id="rId20" name="Check Box 17">
              <controlPr defaultSize="0" autoFill="0" autoLine="0" autoPict="0">
                <anchor moveWithCells="1">
                  <from>
                    <xdr:col>0</xdr:col>
                    <xdr:colOff>69850</xdr:colOff>
                    <xdr:row>75</xdr:row>
                    <xdr:rowOff>228600</xdr:rowOff>
                  </from>
                  <to>
                    <xdr:col>1</xdr:col>
                    <xdr:colOff>609600</xdr:colOff>
                    <xdr:row>75</xdr:row>
                    <xdr:rowOff>438150</xdr:rowOff>
                  </to>
                </anchor>
              </controlPr>
            </control>
          </mc:Choice>
        </mc:AlternateContent>
        <mc:AlternateContent xmlns:mc="http://schemas.openxmlformats.org/markup-compatibility/2006">
          <mc:Choice Requires="x14">
            <control shapeId="67602" r:id="rId21" name="Check Box 18">
              <controlPr defaultSize="0" autoFill="0" autoLine="0" autoPict="0">
                <anchor moveWithCells="1">
                  <from>
                    <xdr:col>0</xdr:col>
                    <xdr:colOff>69850</xdr:colOff>
                    <xdr:row>76</xdr:row>
                    <xdr:rowOff>228600</xdr:rowOff>
                  </from>
                  <to>
                    <xdr:col>1</xdr:col>
                    <xdr:colOff>609600</xdr:colOff>
                    <xdr:row>76</xdr:row>
                    <xdr:rowOff>438150</xdr:rowOff>
                  </to>
                </anchor>
              </controlPr>
            </control>
          </mc:Choice>
        </mc:AlternateContent>
        <mc:AlternateContent xmlns:mc="http://schemas.openxmlformats.org/markup-compatibility/2006">
          <mc:Choice Requires="x14">
            <control shapeId="67603" r:id="rId22" name="Check Box 19">
              <controlPr defaultSize="0" autoFill="0" autoLine="0" autoPict="0">
                <anchor moveWithCells="1">
                  <from>
                    <xdr:col>0</xdr:col>
                    <xdr:colOff>69850</xdr:colOff>
                    <xdr:row>77</xdr:row>
                    <xdr:rowOff>228600</xdr:rowOff>
                  </from>
                  <to>
                    <xdr:col>1</xdr:col>
                    <xdr:colOff>609600</xdr:colOff>
                    <xdr:row>77</xdr:row>
                    <xdr:rowOff>438150</xdr:rowOff>
                  </to>
                </anchor>
              </controlPr>
            </control>
          </mc:Choice>
        </mc:AlternateContent>
        <mc:AlternateContent xmlns:mc="http://schemas.openxmlformats.org/markup-compatibility/2006">
          <mc:Choice Requires="x14">
            <control shapeId="67604" r:id="rId23" name="Check Box 20">
              <controlPr defaultSize="0" autoFill="0" autoLine="0" autoPict="0">
                <anchor moveWithCells="1">
                  <from>
                    <xdr:col>0</xdr:col>
                    <xdr:colOff>69850</xdr:colOff>
                    <xdr:row>78</xdr:row>
                    <xdr:rowOff>228600</xdr:rowOff>
                  </from>
                  <to>
                    <xdr:col>1</xdr:col>
                    <xdr:colOff>609600</xdr:colOff>
                    <xdr:row>78</xdr:row>
                    <xdr:rowOff>438150</xdr:rowOff>
                  </to>
                </anchor>
              </controlPr>
            </control>
          </mc:Choice>
        </mc:AlternateContent>
        <mc:AlternateContent xmlns:mc="http://schemas.openxmlformats.org/markup-compatibility/2006">
          <mc:Choice Requires="x14">
            <control shapeId="67605" r:id="rId24" name="Check Box 21">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7606" r:id="rId25" name="Check Box 22">
              <controlPr defaultSize="0" autoFill="0" autoLine="0" autoPict="0">
                <anchor moveWithCells="1">
                  <from>
                    <xdr:col>0</xdr:col>
                    <xdr:colOff>69850</xdr:colOff>
                    <xdr:row>80</xdr:row>
                    <xdr:rowOff>228600</xdr:rowOff>
                  </from>
                  <to>
                    <xdr:col>1</xdr:col>
                    <xdr:colOff>609600</xdr:colOff>
                    <xdr:row>80</xdr:row>
                    <xdr:rowOff>438150</xdr:rowOff>
                  </to>
                </anchor>
              </controlPr>
            </control>
          </mc:Choice>
        </mc:AlternateContent>
        <mc:AlternateContent xmlns:mc="http://schemas.openxmlformats.org/markup-compatibility/2006">
          <mc:Choice Requires="x14">
            <control shapeId="67607" r:id="rId26" name="Check Box 23">
              <controlPr defaultSize="0" autoFill="0" autoLine="0" autoPict="0">
                <anchor moveWithCells="1">
                  <from>
                    <xdr:col>0</xdr:col>
                    <xdr:colOff>69850</xdr:colOff>
                    <xdr:row>90</xdr:row>
                    <xdr:rowOff>241300</xdr:rowOff>
                  </from>
                  <to>
                    <xdr:col>1</xdr:col>
                    <xdr:colOff>609600</xdr:colOff>
                    <xdr:row>90</xdr:row>
                    <xdr:rowOff>450850</xdr:rowOff>
                  </to>
                </anchor>
              </controlPr>
            </control>
          </mc:Choice>
        </mc:AlternateContent>
        <mc:AlternateContent xmlns:mc="http://schemas.openxmlformats.org/markup-compatibility/2006">
          <mc:Choice Requires="x14">
            <control shapeId="67610" r:id="rId27" name="Check Box 26">
              <controlPr defaultSize="0" autoFill="0" autoLine="0" autoPict="0">
                <anchor moveWithCells="1">
                  <from>
                    <xdr:col>0</xdr:col>
                    <xdr:colOff>69850</xdr:colOff>
                    <xdr:row>102</xdr:row>
                    <xdr:rowOff>228600</xdr:rowOff>
                  </from>
                  <to>
                    <xdr:col>1</xdr:col>
                    <xdr:colOff>609600</xdr:colOff>
                    <xdr:row>102</xdr:row>
                    <xdr:rowOff>438150</xdr:rowOff>
                  </to>
                </anchor>
              </controlPr>
            </control>
          </mc:Choice>
        </mc:AlternateContent>
        <mc:AlternateContent xmlns:mc="http://schemas.openxmlformats.org/markup-compatibility/2006">
          <mc:Choice Requires="x14">
            <control shapeId="67611" r:id="rId28" name="Check Box 27">
              <controlPr defaultSize="0" autoFill="0" autoLine="0" autoPict="0">
                <anchor moveWithCells="1">
                  <from>
                    <xdr:col>0</xdr:col>
                    <xdr:colOff>69850</xdr:colOff>
                    <xdr:row>104</xdr:row>
                    <xdr:rowOff>228600</xdr:rowOff>
                  </from>
                  <to>
                    <xdr:col>1</xdr:col>
                    <xdr:colOff>609600</xdr:colOff>
                    <xdr:row>104</xdr:row>
                    <xdr:rowOff>438150</xdr:rowOff>
                  </to>
                </anchor>
              </controlPr>
            </control>
          </mc:Choice>
        </mc:AlternateContent>
        <mc:AlternateContent xmlns:mc="http://schemas.openxmlformats.org/markup-compatibility/2006">
          <mc:Choice Requires="x14">
            <control shapeId="67612" r:id="rId29" name="Check Box 28">
              <controlPr defaultSize="0" autoFill="0" autoLine="0" autoPict="0">
                <anchor moveWithCells="1">
                  <from>
                    <xdr:col>0</xdr:col>
                    <xdr:colOff>69850</xdr:colOff>
                    <xdr:row>103</xdr:row>
                    <xdr:rowOff>228600</xdr:rowOff>
                  </from>
                  <to>
                    <xdr:col>1</xdr:col>
                    <xdr:colOff>609600</xdr:colOff>
                    <xdr:row>103</xdr:row>
                    <xdr:rowOff>438150</xdr:rowOff>
                  </to>
                </anchor>
              </controlPr>
            </control>
          </mc:Choice>
        </mc:AlternateContent>
        <mc:AlternateContent xmlns:mc="http://schemas.openxmlformats.org/markup-compatibility/2006">
          <mc:Choice Requires="x14">
            <control shapeId="67614" r:id="rId30" name="Check Box 30">
              <controlPr defaultSize="0" autoFill="0" autoLine="0" autoPict="0">
                <anchor moveWithCells="1">
                  <from>
                    <xdr:col>0</xdr:col>
                    <xdr:colOff>69850</xdr:colOff>
                    <xdr:row>92</xdr:row>
                    <xdr:rowOff>241300</xdr:rowOff>
                  </from>
                  <to>
                    <xdr:col>1</xdr:col>
                    <xdr:colOff>609600</xdr:colOff>
                    <xdr:row>92</xdr:row>
                    <xdr:rowOff>450850</xdr:rowOff>
                  </to>
                </anchor>
              </controlPr>
            </control>
          </mc:Choice>
        </mc:AlternateContent>
        <mc:AlternateContent xmlns:mc="http://schemas.openxmlformats.org/markup-compatibility/2006">
          <mc:Choice Requires="x14">
            <control shapeId="67615" r:id="rId31" name="Check Box 31">
              <controlPr defaultSize="0" autoFill="0" autoLine="0" autoPict="0">
                <anchor moveWithCells="1">
                  <from>
                    <xdr:col>0</xdr:col>
                    <xdr:colOff>69850</xdr:colOff>
                    <xdr:row>100</xdr:row>
                    <xdr:rowOff>241300</xdr:rowOff>
                  </from>
                  <to>
                    <xdr:col>1</xdr:col>
                    <xdr:colOff>609600</xdr:colOff>
                    <xdr:row>100</xdr:row>
                    <xdr:rowOff>450850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9" tint="0.59999389629810485"/>
  </sheetPr>
  <dimension ref="A1:AA118"/>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258" customWidth="1"/>
    <col min="3" max="3" width="55.7109375" style="5" customWidth="1"/>
    <col min="4" max="4" width="15.7109375" style="242" customWidth="1"/>
    <col min="5" max="5" width="15.7109375" style="5" customWidth="1"/>
    <col min="6" max="6" width="10.7109375" style="192" customWidth="1"/>
    <col min="7" max="8" width="26.7109375" style="178" customWidth="1"/>
    <col min="9" max="9" width="45.7109375" style="178" customWidth="1"/>
    <col min="10" max="11" width="20.7109375" style="178" hidden="1" customWidth="1"/>
    <col min="12" max="12" width="9.140625" style="178"/>
    <col min="13" max="13" width="30" style="178" hidden="1" customWidth="1"/>
    <col min="14" max="14" width="33.5703125" style="178" hidden="1" customWidth="1"/>
    <col min="15" max="15" width="13.42578125" style="5" hidden="1" customWidth="1"/>
    <col min="16" max="16" width="9.140625" style="73" hidden="1" customWidth="1"/>
    <col min="17" max="17" width="9.140625" style="178" customWidth="1"/>
    <col min="18" max="18" width="20.28515625" style="178" hidden="1" customWidth="1"/>
    <col min="19" max="19" width="14.28515625" style="178" hidden="1" customWidth="1"/>
    <col min="20" max="20" width="28.140625" style="178" hidden="1" customWidth="1"/>
    <col min="21" max="21" width="8" style="178" hidden="1" customWidth="1"/>
    <col min="22" max="22" width="10.7109375" style="178" hidden="1" customWidth="1"/>
    <col min="23" max="23" width="7" style="178" hidden="1" customWidth="1"/>
    <col min="24" max="24" width="10.140625" style="178" hidden="1" customWidth="1"/>
    <col min="25" max="25" width="23.85546875" style="178" hidden="1" customWidth="1"/>
    <col min="26" max="26" width="12" style="178" hidden="1" customWidth="1"/>
    <col min="27" max="27" width="9.140625" style="178" hidden="1" customWidth="1"/>
    <col min="28" max="16384" width="9.140625" style="178"/>
  </cols>
  <sheetData>
    <row r="1" spans="1:27" ht="45" customHeight="1">
      <c r="A1" s="496"/>
      <c r="B1" s="1201" t="s">
        <v>0</v>
      </c>
      <c r="C1" s="1201"/>
      <c r="D1" s="1201"/>
      <c r="E1" s="1201"/>
      <c r="G1" s="904"/>
      <c r="H1" s="904"/>
      <c r="I1" s="496"/>
      <c r="J1" s="143" t="s">
        <v>14</v>
      </c>
      <c r="K1" s="143" t="s">
        <v>14</v>
      </c>
      <c r="L1" s="496"/>
      <c r="M1" s="143" t="s">
        <v>14</v>
      </c>
      <c r="N1" s="143" t="s">
        <v>14</v>
      </c>
      <c r="O1" s="143" t="s">
        <v>14</v>
      </c>
      <c r="P1" s="142" t="s">
        <v>14</v>
      </c>
      <c r="Q1" s="496"/>
      <c r="R1" s="143" t="s">
        <v>14</v>
      </c>
      <c r="S1" s="143" t="s">
        <v>14</v>
      </c>
      <c r="T1" s="143" t="s">
        <v>14</v>
      </c>
      <c r="U1" s="143" t="s">
        <v>14</v>
      </c>
      <c r="V1" s="143" t="s">
        <v>14</v>
      </c>
      <c r="W1" s="143" t="s">
        <v>14</v>
      </c>
      <c r="X1" s="143" t="s">
        <v>14</v>
      </c>
      <c r="Y1" s="143" t="s">
        <v>14</v>
      </c>
      <c r="Z1" s="143" t="s">
        <v>14</v>
      </c>
      <c r="AA1" s="143" t="s">
        <v>14</v>
      </c>
    </row>
    <row r="2" spans="1:27" ht="37.5" customHeight="1">
      <c r="A2" s="496"/>
      <c r="B2" s="124" t="s">
        <v>227</v>
      </c>
      <c r="C2" s="160" t="s">
        <v>228</v>
      </c>
      <c r="D2" s="192"/>
      <c r="E2" s="191" t="s">
        <v>1325</v>
      </c>
      <c r="G2" s="107" t="s">
        <v>532</v>
      </c>
      <c r="H2" s="496"/>
      <c r="I2" s="496"/>
      <c r="J2" s="496"/>
      <c r="K2" s="496"/>
      <c r="L2" s="496"/>
      <c r="M2" s="496" t="s">
        <v>235</v>
      </c>
      <c r="N2" s="496"/>
      <c r="O2" s="496" t="s">
        <v>971</v>
      </c>
      <c r="P2" s="846" t="s">
        <v>1082</v>
      </c>
      <c r="Q2" s="496"/>
      <c r="R2" s="538" t="s">
        <v>1081</v>
      </c>
      <c r="S2" s="538" t="s">
        <v>254</v>
      </c>
      <c r="T2" s="538" t="s">
        <v>306</v>
      </c>
      <c r="U2" s="538" t="s">
        <v>335</v>
      </c>
      <c r="V2" s="538" t="s">
        <v>345</v>
      </c>
      <c r="W2" s="538" t="s">
        <v>353</v>
      </c>
      <c r="X2" s="538" t="s">
        <v>367</v>
      </c>
      <c r="Y2" s="538" t="s">
        <v>998</v>
      </c>
      <c r="Z2" s="538" t="s">
        <v>404</v>
      </c>
      <c r="AA2" s="164"/>
    </row>
    <row r="3" spans="1:27" ht="37.5" customHeight="1">
      <c r="A3" s="496"/>
      <c r="B3" s="125" t="s">
        <v>229</v>
      </c>
      <c r="C3" s="156" t="s">
        <v>531</v>
      </c>
      <c r="D3" s="942"/>
      <c r="E3" s="190" t="s">
        <v>1081</v>
      </c>
      <c r="G3" s="123">
        <f>SUM(E22,E61,E69,E82,E100,E107,E120,E126)</f>
        <v>0</v>
      </c>
      <c r="H3" s="496"/>
      <c r="I3" s="496"/>
      <c r="J3" s="496"/>
      <c r="K3" s="496"/>
      <c r="L3" s="496"/>
      <c r="M3" s="496" t="s">
        <v>256</v>
      </c>
      <c r="N3" s="496"/>
      <c r="O3" s="538"/>
      <c r="P3" s="846"/>
      <c r="Q3" s="496"/>
      <c r="R3" s="538" t="s">
        <v>1083</v>
      </c>
      <c r="S3" s="933">
        <v>0.14000000000000001</v>
      </c>
      <c r="T3" s="933">
        <v>0.18</v>
      </c>
      <c r="U3" s="933">
        <v>0.22</v>
      </c>
      <c r="V3" s="933">
        <v>0.1</v>
      </c>
      <c r="W3" s="933">
        <v>0.12</v>
      </c>
      <c r="X3" s="933">
        <v>0.13</v>
      </c>
      <c r="Y3" s="933">
        <v>0.06</v>
      </c>
      <c r="Z3" s="933">
        <v>0.05</v>
      </c>
      <c r="AA3" s="934">
        <f>SUM(S3:Z3)</f>
        <v>1</v>
      </c>
    </row>
    <row r="4" spans="1:27" s="247" customFormat="1" ht="37.5" customHeight="1">
      <c r="A4" s="496"/>
      <c r="B4" s="125" t="s">
        <v>234</v>
      </c>
      <c r="C4" s="162" t="s">
        <v>235</v>
      </c>
      <c r="D4" s="192"/>
      <c r="E4" s="109"/>
      <c r="F4" s="192"/>
      <c r="G4" s="904"/>
      <c r="H4" s="496"/>
      <c r="I4" s="496"/>
      <c r="J4" s="496"/>
      <c r="K4" s="496"/>
      <c r="L4" s="496"/>
      <c r="M4" s="496" t="s">
        <v>260</v>
      </c>
      <c r="N4" s="496"/>
      <c r="O4" s="136"/>
      <c r="P4" s="246"/>
      <c r="R4" s="538" t="s">
        <v>1084</v>
      </c>
      <c r="S4" s="933">
        <v>0.14000000000000001</v>
      </c>
      <c r="T4" s="933">
        <v>0.18</v>
      </c>
      <c r="U4" s="933">
        <v>0.22</v>
      </c>
      <c r="V4" s="933">
        <v>0.1</v>
      </c>
      <c r="W4" s="933">
        <v>0.12</v>
      </c>
      <c r="X4" s="933">
        <v>0.13</v>
      </c>
      <c r="Y4" s="933">
        <v>0.06</v>
      </c>
      <c r="Z4" s="933">
        <v>0.05</v>
      </c>
      <c r="AA4" s="934">
        <f t="shared" ref="AA4:AA10" si="0">SUM(S4:Z4)</f>
        <v>1</v>
      </c>
    </row>
    <row r="5" spans="1:27" ht="37.5" customHeight="1">
      <c r="A5" s="496"/>
      <c r="B5" s="126" t="s">
        <v>238</v>
      </c>
      <c r="C5" s="138" t="s">
        <v>177</v>
      </c>
      <c r="D5" s="192"/>
      <c r="E5" s="192"/>
      <c r="G5" s="496"/>
      <c r="H5" s="496"/>
      <c r="I5" s="496"/>
      <c r="J5" s="496"/>
      <c r="K5" s="496"/>
      <c r="L5" s="496"/>
      <c r="M5" s="496" t="s">
        <v>269</v>
      </c>
      <c r="N5" s="496"/>
      <c r="O5" s="538"/>
      <c r="P5" s="846"/>
      <c r="Q5" s="496"/>
      <c r="R5" s="538" t="s">
        <v>1085</v>
      </c>
      <c r="S5" s="933">
        <v>0.14000000000000001</v>
      </c>
      <c r="T5" s="933">
        <v>0.18</v>
      </c>
      <c r="U5" s="933">
        <v>0.22</v>
      </c>
      <c r="V5" s="933">
        <v>0.1</v>
      </c>
      <c r="W5" s="933">
        <v>0.1</v>
      </c>
      <c r="X5" s="933">
        <v>0.13</v>
      </c>
      <c r="Y5" s="933">
        <v>0.08</v>
      </c>
      <c r="Z5" s="933">
        <v>0.05</v>
      </c>
      <c r="AA5" s="934">
        <f t="shared" si="0"/>
        <v>1</v>
      </c>
    </row>
    <row r="6" spans="1:27" ht="24.95" customHeight="1">
      <c r="A6" s="496"/>
      <c r="B6" s="193"/>
      <c r="C6" s="194"/>
      <c r="D6" s="195"/>
      <c r="E6" s="196"/>
      <c r="G6" s="1486" t="s">
        <v>255</v>
      </c>
      <c r="H6" s="1486"/>
      <c r="I6" s="182" t="s">
        <v>241</v>
      </c>
      <c r="J6" s="496"/>
      <c r="K6" s="496"/>
      <c r="L6" s="496"/>
      <c r="M6" s="496"/>
      <c r="N6" s="496"/>
      <c r="O6" s="538"/>
      <c r="P6" s="846"/>
      <c r="Q6" s="496"/>
      <c r="R6" s="538" t="s">
        <v>1086</v>
      </c>
      <c r="S6" s="933">
        <v>0.14000000000000001</v>
      </c>
      <c r="T6" s="933">
        <v>0.18</v>
      </c>
      <c r="U6" s="933">
        <v>0.22</v>
      </c>
      <c r="V6" s="933">
        <v>0.1</v>
      </c>
      <c r="W6" s="933">
        <v>0.1</v>
      </c>
      <c r="X6" s="933">
        <v>0.13</v>
      </c>
      <c r="Y6" s="933">
        <v>0.08</v>
      </c>
      <c r="Z6" s="933">
        <v>0.05</v>
      </c>
      <c r="AA6" s="934">
        <f t="shared" si="0"/>
        <v>1</v>
      </c>
    </row>
    <row r="7" spans="1:27" ht="42">
      <c r="A7" s="85" t="s">
        <v>242</v>
      </c>
      <c r="B7" s="197" t="s">
        <v>1087</v>
      </c>
      <c r="C7" s="198" t="s">
        <v>246</v>
      </c>
      <c r="D7" s="199" t="s">
        <v>247</v>
      </c>
      <c r="E7" s="200" t="s">
        <v>248</v>
      </c>
      <c r="G7" s="248" t="s">
        <v>940</v>
      </c>
      <c r="H7" s="248" t="s">
        <v>941</v>
      </c>
      <c r="I7" s="249" t="s">
        <v>25</v>
      </c>
      <c r="J7" s="250" t="s">
        <v>252</v>
      </c>
      <c r="K7" s="249" t="s">
        <v>253</v>
      </c>
      <c r="L7" s="496"/>
      <c r="M7" s="496" t="s">
        <v>255</v>
      </c>
      <c r="N7" s="496" t="s">
        <v>241</v>
      </c>
      <c r="O7" s="538"/>
      <c r="P7" s="846"/>
      <c r="Q7" s="496"/>
      <c r="R7" s="538" t="s">
        <v>1088</v>
      </c>
      <c r="S7" s="933">
        <v>0.14000000000000001</v>
      </c>
      <c r="T7" s="933">
        <v>0.18</v>
      </c>
      <c r="U7" s="933">
        <v>0.22</v>
      </c>
      <c r="V7" s="933">
        <v>0.1</v>
      </c>
      <c r="W7" s="933">
        <v>0.15</v>
      </c>
      <c r="X7" s="933">
        <v>0.13</v>
      </c>
      <c r="Y7" s="933">
        <v>0.03</v>
      </c>
      <c r="Z7" s="933">
        <v>0.05</v>
      </c>
      <c r="AA7" s="934">
        <f t="shared" si="0"/>
        <v>1</v>
      </c>
    </row>
    <row r="8" spans="1:27" ht="45" customHeight="1">
      <c r="A8" s="496"/>
      <c r="B8" s="204" t="s">
        <v>254</v>
      </c>
      <c r="C8" s="206"/>
      <c r="D8" s="206" t="s">
        <v>1089</v>
      </c>
      <c r="E8" s="207" t="str">
        <f>IFERROR(VLOOKUP($E$3,$R$3:$Z$10,2,FALSE),"")</f>
        <v/>
      </c>
      <c r="G8" s="209"/>
      <c r="H8" s="209"/>
      <c r="I8" s="209"/>
      <c r="J8" s="209"/>
      <c r="K8" s="209"/>
      <c r="L8" s="496"/>
      <c r="M8" s="496" t="s">
        <v>240</v>
      </c>
      <c r="N8" s="210" t="s">
        <v>259</v>
      </c>
      <c r="O8" s="538"/>
      <c r="P8" s="846"/>
      <c r="Q8" s="496"/>
      <c r="R8" s="538" t="s">
        <v>1090</v>
      </c>
      <c r="S8" s="933">
        <v>0.14000000000000001</v>
      </c>
      <c r="T8" s="933">
        <v>0.18</v>
      </c>
      <c r="U8" s="933">
        <v>0.17</v>
      </c>
      <c r="V8" s="933">
        <v>0.1</v>
      </c>
      <c r="W8" s="933">
        <v>0.15</v>
      </c>
      <c r="X8" s="933">
        <v>0.13</v>
      </c>
      <c r="Y8" s="933">
        <v>0.08</v>
      </c>
      <c r="Z8" s="933">
        <v>0.05</v>
      </c>
      <c r="AA8" s="934">
        <f t="shared" si="0"/>
        <v>1</v>
      </c>
    </row>
    <row r="9" spans="1:27" ht="45" customHeight="1">
      <c r="A9" s="222"/>
      <c r="B9" s="251" t="s">
        <v>1091</v>
      </c>
      <c r="C9" s="952" t="s">
        <v>257</v>
      </c>
      <c r="D9" s="936">
        <v>2</v>
      </c>
      <c r="E9" s="455"/>
      <c r="G9" s="903"/>
      <c r="H9" s="903"/>
      <c r="I9" s="937"/>
      <c r="J9" s="924" t="str">
        <f t="shared" ref="J9:J18" si="1">IF(ISBLANK($E9)=FALSE,IF(G9="","No","Yes"),"")</f>
        <v/>
      </c>
      <c r="K9" s="924" t="str">
        <f t="shared" ref="K9:K18" si="2">IF(ISBLANK($E9)=FALSE,IF(H9="","No","Yes"),"")</f>
        <v/>
      </c>
      <c r="L9" s="496"/>
      <c r="M9" s="496" t="s">
        <v>267</v>
      </c>
      <c r="N9" s="496" t="s">
        <v>268</v>
      </c>
      <c r="O9" s="538"/>
      <c r="P9" s="846"/>
      <c r="Q9" s="496"/>
      <c r="R9" s="538" t="s">
        <v>1092</v>
      </c>
      <c r="S9" s="933">
        <v>0.14000000000000001</v>
      </c>
      <c r="T9" s="933">
        <v>0.18</v>
      </c>
      <c r="U9" s="933">
        <v>0.22</v>
      </c>
      <c r="V9" s="933">
        <v>0.1</v>
      </c>
      <c r="W9" s="933">
        <v>0.15</v>
      </c>
      <c r="X9" s="933">
        <v>0.13</v>
      </c>
      <c r="Y9" s="933">
        <v>0.03</v>
      </c>
      <c r="Z9" s="933">
        <v>0.05</v>
      </c>
      <c r="AA9" s="934">
        <f t="shared" si="0"/>
        <v>1</v>
      </c>
    </row>
    <row r="10" spans="1:27" ht="45" customHeight="1">
      <c r="A10" s="222"/>
      <c r="B10" s="251" t="s">
        <v>1093</v>
      </c>
      <c r="C10" s="952" t="s">
        <v>949</v>
      </c>
      <c r="D10" s="936">
        <v>2</v>
      </c>
      <c r="E10" s="455"/>
      <c r="G10" s="903"/>
      <c r="H10" s="903"/>
      <c r="I10" s="937"/>
      <c r="J10" s="924" t="str">
        <f t="shared" si="1"/>
        <v/>
      </c>
      <c r="K10" s="924" t="str">
        <f t="shared" si="2"/>
        <v/>
      </c>
      <c r="L10" s="496"/>
      <c r="M10" s="496"/>
      <c r="N10" s="496"/>
      <c r="O10" s="538"/>
      <c r="P10" s="846"/>
      <c r="Q10" s="496"/>
      <c r="R10" s="538" t="s">
        <v>1096</v>
      </c>
      <c r="S10" s="933">
        <v>0.14000000000000001</v>
      </c>
      <c r="T10" s="933">
        <v>0.18</v>
      </c>
      <c r="U10" s="933">
        <v>0.22</v>
      </c>
      <c r="V10" s="933">
        <v>0.1</v>
      </c>
      <c r="W10" s="933">
        <v>0.12</v>
      </c>
      <c r="X10" s="933">
        <v>0.13</v>
      </c>
      <c r="Y10" s="933">
        <v>0.06</v>
      </c>
      <c r="Z10" s="933">
        <v>0.05</v>
      </c>
      <c r="AA10" s="934">
        <f t="shared" si="0"/>
        <v>1</v>
      </c>
    </row>
    <row r="11" spans="1:27" ht="45" customHeight="1">
      <c r="A11" s="222"/>
      <c r="B11" s="251" t="s">
        <v>1098</v>
      </c>
      <c r="C11" s="952" t="s">
        <v>1099</v>
      </c>
      <c r="D11" s="936">
        <v>3</v>
      </c>
      <c r="E11" s="455"/>
      <c r="G11" s="903"/>
      <c r="H11" s="903"/>
      <c r="I11" s="937"/>
      <c r="J11" s="924" t="str">
        <f t="shared" si="1"/>
        <v/>
      </c>
      <c r="K11" s="924" t="str">
        <f t="shared" si="2"/>
        <v/>
      </c>
      <c r="L11" s="496"/>
      <c r="M11" s="496" t="s">
        <v>266</v>
      </c>
      <c r="N11" s="496"/>
      <c r="O11" s="538"/>
      <c r="P11" s="846"/>
      <c r="Q11" s="496"/>
      <c r="R11" s="496"/>
      <c r="S11" s="496"/>
      <c r="T11" s="496"/>
      <c r="U11" s="496"/>
      <c r="V11" s="496"/>
      <c r="W11" s="496"/>
      <c r="X11" s="496"/>
      <c r="Y11" s="496"/>
      <c r="Z11" s="496"/>
      <c r="AA11" s="496"/>
    </row>
    <row r="12" spans="1:27" ht="45" customHeight="1">
      <c r="A12" s="222"/>
      <c r="B12" s="251" t="s">
        <v>1100</v>
      </c>
      <c r="C12" s="952" t="s">
        <v>281</v>
      </c>
      <c r="D12" s="936">
        <v>1</v>
      </c>
      <c r="E12" s="455"/>
      <c r="G12" s="903"/>
      <c r="H12" s="903"/>
      <c r="I12" s="937"/>
      <c r="J12" s="924" t="str">
        <f t="shared" si="1"/>
        <v/>
      </c>
      <c r="K12" s="924" t="str">
        <f t="shared" si="2"/>
        <v/>
      </c>
      <c r="L12" s="496"/>
      <c r="M12" s="496" t="s">
        <v>274</v>
      </c>
      <c r="N12" s="496"/>
      <c r="O12" s="538"/>
      <c r="P12" s="846"/>
      <c r="Q12" s="496"/>
      <c r="R12" s="496"/>
      <c r="S12" s="496"/>
      <c r="T12" s="496"/>
      <c r="U12" s="496"/>
      <c r="V12" s="496"/>
      <c r="W12" s="496"/>
      <c r="X12" s="496"/>
      <c r="Y12" s="496"/>
      <c r="Z12" s="496"/>
      <c r="AA12" s="496"/>
    </row>
    <row r="13" spans="1:27" ht="45" customHeight="1">
      <c r="A13" s="222"/>
      <c r="B13" s="251" t="s">
        <v>1101</v>
      </c>
      <c r="C13" s="952" t="s">
        <v>1272</v>
      </c>
      <c r="D13" s="936">
        <v>2</v>
      </c>
      <c r="E13" s="455"/>
      <c r="G13" s="903"/>
      <c r="H13" s="903"/>
      <c r="I13" s="937"/>
      <c r="J13" s="924" t="str">
        <f t="shared" si="1"/>
        <v/>
      </c>
      <c r="K13" s="924" t="str">
        <f t="shared" si="2"/>
        <v/>
      </c>
      <c r="L13" s="496"/>
      <c r="M13" s="496"/>
      <c r="N13" s="496"/>
      <c r="O13" s="538"/>
      <c r="P13" s="846"/>
      <c r="Q13" s="496"/>
      <c r="R13" s="496"/>
      <c r="S13" s="496"/>
      <c r="T13" s="496"/>
      <c r="U13" s="496"/>
      <c r="V13" s="496"/>
      <c r="W13" s="496"/>
      <c r="X13" s="496"/>
      <c r="Y13" s="496"/>
      <c r="Z13" s="496"/>
      <c r="AA13" s="496"/>
    </row>
    <row r="14" spans="1:27" ht="45" customHeight="1">
      <c r="A14" s="222"/>
      <c r="B14" s="251" t="s">
        <v>1103</v>
      </c>
      <c r="C14" s="952" t="s">
        <v>680</v>
      </c>
      <c r="D14" s="936">
        <v>2</v>
      </c>
      <c r="E14" s="455"/>
      <c r="G14" s="903"/>
      <c r="H14" s="903"/>
      <c r="I14" s="937"/>
      <c r="J14" s="924" t="str">
        <f t="shared" si="1"/>
        <v/>
      </c>
      <c r="K14" s="924" t="str">
        <f t="shared" si="2"/>
        <v/>
      </c>
      <c r="L14" s="496"/>
      <c r="M14" s="496"/>
      <c r="N14" s="496"/>
      <c r="O14" s="538"/>
      <c r="P14" s="846"/>
      <c r="Q14" s="496"/>
      <c r="R14" s="496"/>
      <c r="S14" s="496"/>
      <c r="T14" s="496"/>
      <c r="U14" s="496"/>
      <c r="V14" s="496"/>
      <c r="W14" s="496"/>
      <c r="X14" s="496"/>
      <c r="Y14" s="496"/>
      <c r="Z14" s="496"/>
      <c r="AA14" s="496"/>
    </row>
    <row r="15" spans="1:27" s="247" customFormat="1" ht="45" customHeight="1">
      <c r="A15" s="222"/>
      <c r="B15" s="251" t="s">
        <v>1104</v>
      </c>
      <c r="C15" s="952" t="s">
        <v>785</v>
      </c>
      <c r="D15" s="936">
        <v>2</v>
      </c>
      <c r="E15" s="455"/>
      <c r="F15" s="192"/>
      <c r="G15" s="903"/>
      <c r="H15" s="903"/>
      <c r="I15" s="937"/>
      <c r="J15" s="924" t="str">
        <f t="shared" si="1"/>
        <v/>
      </c>
      <c r="K15" s="924" t="str">
        <f t="shared" si="2"/>
        <v/>
      </c>
      <c r="L15" s="496"/>
      <c r="M15" s="496"/>
      <c r="N15" s="222"/>
      <c r="O15" s="252"/>
      <c r="P15" s="253"/>
    </row>
    <row r="16" spans="1:27" ht="45" customHeight="1">
      <c r="A16" s="222"/>
      <c r="B16" s="251" t="s">
        <v>1254</v>
      </c>
      <c r="C16" s="952" t="s">
        <v>1255</v>
      </c>
      <c r="D16" s="936">
        <v>1</v>
      </c>
      <c r="E16" s="455"/>
      <c r="G16" s="903"/>
      <c r="H16" s="903"/>
      <c r="I16" s="937"/>
      <c r="J16" s="924" t="str">
        <f t="shared" si="1"/>
        <v/>
      </c>
      <c r="K16" s="924" t="str">
        <f t="shared" si="2"/>
        <v/>
      </c>
      <c r="L16" s="496"/>
      <c r="M16" s="496"/>
      <c r="N16" s="496"/>
      <c r="O16" s="538"/>
      <c r="P16" s="846"/>
      <c r="Q16" s="496"/>
      <c r="R16" s="496"/>
      <c r="S16" s="496"/>
      <c r="T16" s="496"/>
      <c r="U16" s="496"/>
      <c r="V16" s="496"/>
      <c r="W16" s="496"/>
      <c r="X16" s="496"/>
      <c r="Y16" s="496"/>
      <c r="Z16" s="496"/>
      <c r="AA16" s="496"/>
    </row>
    <row r="17" spans="1:16" ht="45" customHeight="1">
      <c r="A17" s="222"/>
      <c r="B17" s="251" t="s">
        <v>1107</v>
      </c>
      <c r="C17" s="952" t="s">
        <v>1108</v>
      </c>
      <c r="D17" s="936">
        <v>1</v>
      </c>
      <c r="E17" s="455"/>
      <c r="G17" s="903"/>
      <c r="H17" s="903"/>
      <c r="I17" s="937"/>
      <c r="J17" s="924" t="str">
        <f t="shared" si="1"/>
        <v/>
      </c>
      <c r="K17" s="924" t="str">
        <f t="shared" si="2"/>
        <v/>
      </c>
      <c r="L17" s="496"/>
      <c r="M17" s="496"/>
      <c r="N17" s="496"/>
      <c r="O17" s="538"/>
      <c r="P17" s="846"/>
    </row>
    <row r="18" spans="1:16" ht="45" customHeight="1">
      <c r="A18" s="222"/>
      <c r="B18" s="251" t="s">
        <v>1273</v>
      </c>
      <c r="C18" s="952" t="s">
        <v>294</v>
      </c>
      <c r="D18" s="936">
        <v>6</v>
      </c>
      <c r="E18" s="455"/>
      <c r="G18" s="903"/>
      <c r="H18" s="903"/>
      <c r="I18" s="937"/>
      <c r="J18" s="924" t="str">
        <f t="shared" si="1"/>
        <v/>
      </c>
      <c r="K18" s="924" t="str">
        <f t="shared" si="2"/>
        <v/>
      </c>
      <c r="L18" s="496"/>
      <c r="M18" s="496"/>
      <c r="N18" s="496"/>
      <c r="O18" s="538"/>
      <c r="P18" s="846"/>
    </row>
    <row r="19" spans="1:16" ht="45" customHeight="1">
      <c r="A19" s="496"/>
      <c r="B19" s="218" t="s">
        <v>963</v>
      </c>
      <c r="C19" s="85"/>
      <c r="D19" s="85">
        <f>SUM(D9:D18)</f>
        <v>22</v>
      </c>
      <c r="E19" s="216" t="str">
        <f>IFERROR(SUM(E9:E18)/D19*E8*100,"")</f>
        <v/>
      </c>
      <c r="G19" s="176"/>
      <c r="H19" s="176"/>
      <c r="I19" s="176"/>
      <c r="J19" s="176"/>
      <c r="K19" s="176"/>
      <c r="L19" s="496"/>
      <c r="M19" s="496"/>
      <c r="N19" s="496"/>
      <c r="O19" s="538"/>
      <c r="P19" s="846"/>
    </row>
    <row r="20" spans="1:16" ht="45" customHeight="1">
      <c r="A20" s="222"/>
      <c r="B20" s="254"/>
      <c r="C20" s="196"/>
      <c r="D20" s="196"/>
      <c r="E20" s="196"/>
      <c r="G20" s="496"/>
      <c r="H20" s="496"/>
      <c r="I20" s="496"/>
      <c r="J20" s="496"/>
      <c r="K20" s="496"/>
      <c r="L20" s="496"/>
      <c r="M20" s="496"/>
      <c r="N20" s="496"/>
      <c r="O20" s="538"/>
      <c r="P20" s="846"/>
    </row>
    <row r="21" spans="1:16" ht="45" customHeight="1">
      <c r="A21" s="222"/>
      <c r="B21" s="204" t="s">
        <v>306</v>
      </c>
      <c r="C21" s="205"/>
      <c r="D21" s="206" t="s">
        <v>1089</v>
      </c>
      <c r="E21" s="207" t="str">
        <f>IFERROR(VLOOKUP($E$3,$R$3:$Z$10,3,FALSE),"")</f>
        <v/>
      </c>
      <c r="G21" s="226"/>
      <c r="H21" s="226"/>
      <c r="I21" s="226"/>
      <c r="J21" s="226"/>
      <c r="K21" s="226"/>
      <c r="L21" s="496"/>
      <c r="M21" s="496"/>
      <c r="N21" s="496"/>
      <c r="O21" s="538"/>
      <c r="P21" s="846"/>
    </row>
    <row r="22" spans="1:16" ht="45" customHeight="1">
      <c r="A22" s="222"/>
      <c r="B22" s="251" t="s">
        <v>1116</v>
      </c>
      <c r="C22" s="952" t="s">
        <v>1117</v>
      </c>
      <c r="D22" s="936">
        <v>3</v>
      </c>
      <c r="E22" s="455"/>
      <c r="G22" s="903"/>
      <c r="H22" s="903"/>
      <c r="I22" s="937"/>
      <c r="J22" s="924" t="str">
        <f t="shared" ref="J22:J35" si="3">IF(ISBLANK($E22)=FALSE,IF(G22="","No","Yes"),"")</f>
        <v/>
      </c>
      <c r="K22" s="924" t="str">
        <f t="shared" ref="K22:K35" si="4">IF(ISBLANK($E22)=FALSE,IF(H22="","No","Yes"),"")</f>
        <v/>
      </c>
      <c r="L22" s="496"/>
      <c r="M22" s="496"/>
      <c r="N22" s="496"/>
      <c r="O22" s="538"/>
      <c r="P22" s="846"/>
    </row>
    <row r="23" spans="1:16" ht="45" customHeight="1">
      <c r="A23" s="222"/>
      <c r="B23" s="251" t="s">
        <v>1118</v>
      </c>
      <c r="C23" s="952" t="s">
        <v>1119</v>
      </c>
      <c r="D23" s="936">
        <v>2</v>
      </c>
      <c r="E23" s="455"/>
      <c r="G23" s="903"/>
      <c r="H23" s="903"/>
      <c r="I23" s="937"/>
      <c r="J23" s="924" t="str">
        <f t="shared" si="3"/>
        <v/>
      </c>
      <c r="K23" s="924" t="str">
        <f t="shared" si="4"/>
        <v/>
      </c>
      <c r="L23" s="496"/>
      <c r="M23" s="496"/>
      <c r="N23" s="496"/>
      <c r="O23" s="538"/>
      <c r="P23" s="846"/>
    </row>
    <row r="24" spans="1:16" ht="45" customHeight="1">
      <c r="A24" s="222"/>
      <c r="B24" s="251" t="s">
        <v>1120</v>
      </c>
      <c r="C24" s="952" t="s">
        <v>1276</v>
      </c>
      <c r="D24" s="936">
        <v>1</v>
      </c>
      <c r="E24" s="455"/>
      <c r="G24" s="903"/>
      <c r="H24" s="903"/>
      <c r="I24" s="937"/>
      <c r="J24" s="924" t="str">
        <f t="shared" si="3"/>
        <v/>
      </c>
      <c r="K24" s="924" t="str">
        <f t="shared" si="4"/>
        <v/>
      </c>
      <c r="L24" s="496"/>
      <c r="M24" s="496"/>
      <c r="N24" s="496"/>
      <c r="O24" s="538"/>
      <c r="P24" s="846"/>
    </row>
    <row r="25" spans="1:16" ht="45" customHeight="1">
      <c r="A25" s="222"/>
      <c r="B25" s="251" t="s">
        <v>1122</v>
      </c>
      <c r="C25" s="952" t="s">
        <v>326</v>
      </c>
      <c r="D25" s="936">
        <v>3</v>
      </c>
      <c r="E25" s="455"/>
      <c r="G25" s="903"/>
      <c r="H25" s="903"/>
      <c r="I25" s="937"/>
      <c r="J25" s="924" t="str">
        <f t="shared" si="3"/>
        <v/>
      </c>
      <c r="K25" s="924" t="str">
        <f t="shared" si="4"/>
        <v/>
      </c>
      <c r="L25" s="496"/>
      <c r="M25" s="496"/>
      <c r="N25" s="496"/>
      <c r="O25" s="538"/>
      <c r="P25" s="846"/>
    </row>
    <row r="26" spans="1:16" ht="45" customHeight="1">
      <c r="A26" s="222"/>
      <c r="B26" s="251" t="s">
        <v>1123</v>
      </c>
      <c r="C26" s="952" t="s">
        <v>332</v>
      </c>
      <c r="D26" s="936">
        <v>3</v>
      </c>
      <c r="E26" s="455"/>
      <c r="G26" s="903"/>
      <c r="H26" s="903"/>
      <c r="I26" s="937"/>
      <c r="J26" s="924" t="str">
        <f t="shared" si="3"/>
        <v/>
      </c>
      <c r="K26" s="924" t="str">
        <f t="shared" si="4"/>
        <v/>
      </c>
      <c r="L26" s="496"/>
      <c r="M26" s="496"/>
      <c r="N26" s="496"/>
      <c r="O26" s="538"/>
      <c r="P26" s="846"/>
    </row>
    <row r="27" spans="1:16" ht="45" customHeight="1">
      <c r="A27" s="222"/>
      <c r="B27" s="251" t="s">
        <v>1124</v>
      </c>
      <c r="C27" s="952" t="s">
        <v>597</v>
      </c>
      <c r="D27" s="936">
        <v>1</v>
      </c>
      <c r="E27" s="455"/>
      <c r="G27" s="903"/>
      <c r="H27" s="903"/>
      <c r="I27" s="937"/>
      <c r="J27" s="924" t="str">
        <f>IF(OR(ISBLANK($E27)=FALSE,$P27=TRUE),IF(G27="","No","Yes"),"")</f>
        <v/>
      </c>
      <c r="K27" s="924" t="str">
        <f>IF(ISBLANK($E27)=FALSE,IF(H27="","No","Yes"),IF($P27=TRUE,"NA",""))</f>
        <v/>
      </c>
      <c r="L27" s="496"/>
      <c r="M27" s="496"/>
      <c r="N27" s="496"/>
      <c r="O27" s="538" t="s">
        <v>242</v>
      </c>
      <c r="P27" s="846" t="b">
        <v>0</v>
      </c>
    </row>
    <row r="28" spans="1:16" ht="45" customHeight="1">
      <c r="A28" s="222"/>
      <c r="B28" s="251" t="s">
        <v>1125</v>
      </c>
      <c r="C28" s="952" t="s">
        <v>314</v>
      </c>
      <c r="D28" s="936">
        <v>3</v>
      </c>
      <c r="E28" s="455"/>
      <c r="G28" s="903"/>
      <c r="H28" s="903"/>
      <c r="I28" s="937"/>
      <c r="J28" s="924" t="str">
        <f t="shared" si="3"/>
        <v/>
      </c>
      <c r="K28" s="924" t="str">
        <f t="shared" si="4"/>
        <v/>
      </c>
      <c r="L28" s="496"/>
      <c r="M28" s="496"/>
      <c r="N28" s="496"/>
      <c r="O28" s="538"/>
      <c r="P28" s="846"/>
    </row>
    <row r="29" spans="1:16" ht="45" customHeight="1">
      <c r="A29" s="222"/>
      <c r="B29" s="251" t="s">
        <v>1126</v>
      </c>
      <c r="C29" s="952" t="s">
        <v>1127</v>
      </c>
      <c r="D29" s="936">
        <v>4</v>
      </c>
      <c r="E29" s="455"/>
      <c r="G29" s="903"/>
      <c r="H29" s="903"/>
      <c r="I29" s="937"/>
      <c r="J29" s="924" t="str">
        <f t="shared" si="3"/>
        <v/>
      </c>
      <c r="K29" s="924" t="str">
        <f t="shared" si="4"/>
        <v/>
      </c>
      <c r="L29" s="496"/>
      <c r="M29" s="496"/>
      <c r="N29" s="496"/>
      <c r="O29" s="538"/>
      <c r="P29" s="846"/>
    </row>
    <row r="30" spans="1:16" s="247" customFormat="1" ht="45" customHeight="1">
      <c r="A30" s="222"/>
      <c r="B30" s="251" t="s">
        <v>1132</v>
      </c>
      <c r="C30" s="952" t="s">
        <v>1133</v>
      </c>
      <c r="D30" s="936">
        <v>1</v>
      </c>
      <c r="E30" s="455"/>
      <c r="F30" s="192"/>
      <c r="G30" s="903"/>
      <c r="H30" s="903"/>
      <c r="I30" s="937"/>
      <c r="J30" s="924" t="str">
        <f t="shared" si="3"/>
        <v/>
      </c>
      <c r="K30" s="924" t="str">
        <f t="shared" si="4"/>
        <v/>
      </c>
      <c r="L30" s="496"/>
      <c r="M30" s="496"/>
      <c r="N30" s="222"/>
      <c r="O30" s="196"/>
      <c r="P30" s="255"/>
    </row>
    <row r="31" spans="1:16" ht="45" customHeight="1">
      <c r="A31" s="222"/>
      <c r="B31" s="251" t="s">
        <v>1136</v>
      </c>
      <c r="C31" s="952" t="s">
        <v>1137</v>
      </c>
      <c r="D31" s="936">
        <v>1</v>
      </c>
      <c r="E31" s="455"/>
      <c r="G31" s="903"/>
      <c r="H31" s="903"/>
      <c r="I31" s="937"/>
      <c r="J31" s="924" t="str">
        <f t="shared" si="3"/>
        <v/>
      </c>
      <c r="K31" s="924" t="str">
        <f t="shared" si="4"/>
        <v/>
      </c>
      <c r="L31" s="496"/>
      <c r="M31" s="496"/>
      <c r="N31" s="496"/>
      <c r="O31" s="538"/>
      <c r="P31" s="846"/>
    </row>
    <row r="32" spans="1:16" ht="45" customHeight="1">
      <c r="A32" s="222"/>
      <c r="B32" s="251" t="s">
        <v>1140</v>
      </c>
      <c r="C32" s="952" t="s">
        <v>1141</v>
      </c>
      <c r="D32" s="936">
        <v>1</v>
      </c>
      <c r="E32" s="455"/>
      <c r="G32" s="903"/>
      <c r="H32" s="903"/>
      <c r="I32" s="937"/>
      <c r="J32" s="924" t="str">
        <f>IF(OR(ISBLANK($E32)=FALSE,$P32=TRUE),IF(G32="","No","Yes"),"")</f>
        <v/>
      </c>
      <c r="K32" s="924" t="str">
        <f>IF(ISBLANK($E32)=FALSE,IF(H32="","No","Yes"),IF($P32=TRUE,"NA",""))</f>
        <v/>
      </c>
      <c r="L32" s="496"/>
      <c r="M32" s="496"/>
      <c r="N32" s="496"/>
      <c r="O32" s="538" t="s">
        <v>242</v>
      </c>
      <c r="P32" s="846" t="b">
        <v>0</v>
      </c>
    </row>
    <row r="33" spans="1:16" ht="45" customHeight="1">
      <c r="A33" s="222"/>
      <c r="B33" s="251" t="s">
        <v>1142</v>
      </c>
      <c r="C33" s="952" t="s">
        <v>1143</v>
      </c>
      <c r="D33" s="936">
        <v>1</v>
      </c>
      <c r="E33" s="455"/>
      <c r="G33" s="903"/>
      <c r="H33" s="903"/>
      <c r="I33" s="937"/>
      <c r="J33" s="924" t="str">
        <f t="shared" si="3"/>
        <v/>
      </c>
      <c r="K33" s="924" t="str">
        <f t="shared" si="4"/>
        <v/>
      </c>
      <c r="L33" s="496"/>
      <c r="M33" s="496"/>
      <c r="N33" s="496"/>
      <c r="O33" s="538"/>
      <c r="P33" s="846"/>
    </row>
    <row r="34" spans="1:16" s="247" customFormat="1" ht="45" customHeight="1">
      <c r="B34" s="251" t="s">
        <v>1146</v>
      </c>
      <c r="C34" s="952" t="s">
        <v>1147</v>
      </c>
      <c r="D34" s="936">
        <v>1</v>
      </c>
      <c r="E34" s="455"/>
      <c r="F34" s="192"/>
      <c r="G34" s="903"/>
      <c r="H34" s="903"/>
      <c r="I34" s="937"/>
      <c r="J34" s="924" t="str">
        <f>IF(OR(ISBLANK($E34)=FALSE,$P34=TRUE),IF(G34="","No","Yes"),"")</f>
        <v/>
      </c>
      <c r="K34" s="924" t="str">
        <f>IF(ISBLANK($E34)=FALSE,IF(H34="","No","Yes"),IF($P34=TRUE,"NA",""))</f>
        <v/>
      </c>
      <c r="L34" s="496"/>
      <c r="M34" s="496"/>
      <c r="N34" s="222"/>
      <c r="O34" s="196" t="s">
        <v>242</v>
      </c>
      <c r="P34" s="255" t="b">
        <v>0</v>
      </c>
    </row>
    <row r="35" spans="1:16" ht="45" customHeight="1">
      <c r="A35" s="222"/>
      <c r="B35" s="251" t="s">
        <v>1282</v>
      </c>
      <c r="C35" s="952" t="s">
        <v>1135</v>
      </c>
      <c r="D35" s="936">
        <v>1</v>
      </c>
      <c r="E35" s="455"/>
      <c r="G35" s="903"/>
      <c r="H35" s="903"/>
      <c r="I35" s="937"/>
      <c r="J35" s="924" t="str">
        <f t="shared" si="3"/>
        <v/>
      </c>
      <c r="K35" s="924" t="str">
        <f t="shared" si="4"/>
        <v/>
      </c>
      <c r="L35" s="496"/>
      <c r="M35" s="496"/>
      <c r="N35" s="496"/>
      <c r="O35" s="538"/>
      <c r="P35" s="846"/>
    </row>
    <row r="36" spans="1:16" ht="45" customHeight="1">
      <c r="A36" s="222"/>
      <c r="B36" s="218" t="s">
        <v>963</v>
      </c>
      <c r="C36" s="85"/>
      <c r="D36" s="85">
        <f>SUM(D22:D35)</f>
        <v>26</v>
      </c>
      <c r="E36" s="216" t="str">
        <f>IFERROR(SUM(E22:E35)/D36*E21*100,"")</f>
        <v/>
      </c>
      <c r="G36" s="176"/>
      <c r="H36" s="176"/>
      <c r="I36" s="176"/>
      <c r="J36" s="176"/>
      <c r="K36" s="176"/>
      <c r="L36" s="496"/>
      <c r="M36" s="496"/>
      <c r="N36" s="496"/>
      <c r="O36" s="538"/>
      <c r="P36" s="846"/>
    </row>
    <row r="37" spans="1:16" ht="45" customHeight="1">
      <c r="A37" s="222"/>
      <c r="B37" s="254"/>
      <c r="C37" s="196"/>
      <c r="D37" s="196"/>
      <c r="E37" s="196"/>
      <c r="G37" s="496"/>
      <c r="H37" s="496"/>
      <c r="I37" s="496"/>
      <c r="J37" s="496"/>
      <c r="K37" s="496"/>
      <c r="L37" s="496"/>
      <c r="M37" s="496"/>
      <c r="N37" s="496"/>
      <c r="O37" s="538"/>
      <c r="P37" s="846"/>
    </row>
    <row r="38" spans="1:16" ht="45" customHeight="1">
      <c r="A38" s="496"/>
      <c r="B38" s="204" t="s">
        <v>335</v>
      </c>
      <c r="C38" s="205"/>
      <c r="D38" s="206" t="s">
        <v>1089</v>
      </c>
      <c r="E38" s="207" t="str">
        <f>IFERROR(VLOOKUP($E$3,$R$3:$Z$10,4,FALSE),"")</f>
        <v/>
      </c>
      <c r="G38" s="226"/>
      <c r="H38" s="226"/>
      <c r="I38" s="226"/>
      <c r="J38" s="226"/>
      <c r="K38" s="226"/>
      <c r="L38" s="496"/>
      <c r="M38" s="496"/>
      <c r="N38" s="496"/>
      <c r="O38" s="538"/>
      <c r="P38" s="846"/>
    </row>
    <row r="39" spans="1:16" ht="45" customHeight="1">
      <c r="A39" s="222"/>
      <c r="B39" s="251" t="s">
        <v>1326</v>
      </c>
      <c r="C39" s="952" t="s">
        <v>338</v>
      </c>
      <c r="D39" s="936" t="s">
        <v>264</v>
      </c>
      <c r="E39" s="455"/>
      <c r="G39" s="903"/>
      <c r="H39" s="903"/>
      <c r="I39" s="937"/>
      <c r="J39" s="924" t="str">
        <f t="shared" ref="J39:K41" si="5">IF(ISBLANK($E39)=FALSE,IF(G39="","No","Yes"),"")</f>
        <v/>
      </c>
      <c r="K39" s="924" t="str">
        <f t="shared" si="5"/>
        <v/>
      </c>
      <c r="L39" s="496"/>
      <c r="M39" s="496"/>
      <c r="N39" s="496"/>
      <c r="O39" s="538"/>
      <c r="P39" s="846"/>
    </row>
    <row r="40" spans="1:16" s="247" customFormat="1" ht="45" customHeight="1">
      <c r="A40" s="222"/>
      <c r="B40" s="251" t="s">
        <v>1153</v>
      </c>
      <c r="C40" s="952" t="s">
        <v>336</v>
      </c>
      <c r="D40" s="936">
        <v>20</v>
      </c>
      <c r="E40" s="455"/>
      <c r="F40" s="192"/>
      <c r="G40" s="903"/>
      <c r="H40" s="903"/>
      <c r="I40" s="937"/>
      <c r="J40" s="924" t="str">
        <f t="shared" si="5"/>
        <v/>
      </c>
      <c r="K40" s="924" t="str">
        <f t="shared" si="5"/>
        <v/>
      </c>
      <c r="L40" s="496"/>
      <c r="M40" s="496"/>
      <c r="O40" s="136"/>
      <c r="P40" s="246"/>
    </row>
    <row r="41" spans="1:16" ht="45" customHeight="1">
      <c r="A41" s="222"/>
      <c r="B41" s="251" t="s">
        <v>1156</v>
      </c>
      <c r="C41" s="952" t="s">
        <v>1157</v>
      </c>
      <c r="D41" s="936">
        <v>2</v>
      </c>
      <c r="E41" s="455"/>
      <c r="G41" s="903"/>
      <c r="H41" s="903"/>
      <c r="I41" s="937"/>
      <c r="J41" s="924" t="str">
        <f t="shared" si="5"/>
        <v/>
      </c>
      <c r="K41" s="924" t="str">
        <f t="shared" si="5"/>
        <v/>
      </c>
      <c r="L41" s="496"/>
      <c r="M41" s="496"/>
      <c r="N41" s="496"/>
      <c r="O41" s="538"/>
      <c r="P41" s="846"/>
    </row>
    <row r="42" spans="1:16" ht="45" customHeight="1">
      <c r="A42" s="222"/>
      <c r="B42" s="218" t="s">
        <v>963</v>
      </c>
      <c r="C42" s="85"/>
      <c r="D42" s="85">
        <f>SUM(D39:D41)</f>
        <v>22</v>
      </c>
      <c r="E42" s="216" t="str">
        <f>IFERROR(SUM(E39:E41)/D42*E38*100,"")</f>
        <v/>
      </c>
      <c r="G42" s="176"/>
      <c r="H42" s="176"/>
      <c r="I42" s="176"/>
      <c r="J42" s="176"/>
      <c r="K42" s="176"/>
      <c r="L42" s="496"/>
      <c r="M42" s="496"/>
      <c r="N42" s="496"/>
      <c r="O42" s="538"/>
      <c r="P42" s="846"/>
    </row>
    <row r="43" spans="1:16" ht="45" customHeight="1">
      <c r="A43" s="222"/>
      <c r="B43" s="254"/>
      <c r="C43" s="196"/>
      <c r="D43" s="196"/>
      <c r="E43" s="196"/>
      <c r="G43" s="496"/>
      <c r="H43" s="496"/>
      <c r="I43" s="496"/>
      <c r="J43" s="496"/>
      <c r="K43" s="496"/>
      <c r="L43" s="496"/>
      <c r="M43" s="496"/>
      <c r="N43" s="496"/>
      <c r="O43" s="538"/>
      <c r="P43" s="846"/>
    </row>
    <row r="44" spans="1:16" s="247" customFormat="1" ht="45" customHeight="1">
      <c r="B44" s="204" t="s">
        <v>345</v>
      </c>
      <c r="C44" s="205"/>
      <c r="D44" s="206" t="s">
        <v>1089</v>
      </c>
      <c r="E44" s="207" t="str">
        <f>IFERROR(VLOOKUP($E$3,$R$3:$Z$10,5,FALSE),"")</f>
        <v/>
      </c>
      <c r="F44" s="192"/>
      <c r="G44" s="226"/>
      <c r="H44" s="226"/>
      <c r="I44" s="226"/>
      <c r="J44" s="226"/>
      <c r="K44" s="226"/>
      <c r="L44" s="496"/>
      <c r="M44" s="496"/>
      <c r="N44" s="222"/>
      <c r="O44" s="196"/>
      <c r="P44" s="255"/>
    </row>
    <row r="45" spans="1:16" ht="45" customHeight="1">
      <c r="A45" s="222"/>
      <c r="B45" s="251" t="s">
        <v>1164</v>
      </c>
      <c r="C45" s="952" t="s">
        <v>1165</v>
      </c>
      <c r="D45" s="936">
        <v>2</v>
      </c>
      <c r="E45" s="455"/>
      <c r="G45" s="903"/>
      <c r="H45" s="903"/>
      <c r="I45" s="937"/>
      <c r="J45" s="924" t="str">
        <f t="shared" ref="J45:K49" si="6">IF(ISBLANK($E45)=FALSE,IF(G45="","No","Yes"),"")</f>
        <v/>
      </c>
      <c r="K45" s="924" t="str">
        <f t="shared" si="6"/>
        <v/>
      </c>
      <c r="L45" s="496"/>
      <c r="M45" s="496"/>
      <c r="N45" s="496"/>
      <c r="O45" s="538"/>
      <c r="P45" s="846"/>
    </row>
    <row r="46" spans="1:16" ht="45" customHeight="1">
      <c r="A46" s="222"/>
      <c r="B46" s="251" t="s">
        <v>1166</v>
      </c>
      <c r="C46" s="952" t="s">
        <v>1327</v>
      </c>
      <c r="D46" s="936">
        <v>1</v>
      </c>
      <c r="E46" s="455"/>
      <c r="G46" s="903"/>
      <c r="H46" s="903"/>
      <c r="I46" s="937"/>
      <c r="J46" s="924" t="str">
        <f>IF(OR(ISBLANK($E46)=FALSE,$P46=TRUE),IF(G46="","No","Yes"),"")</f>
        <v/>
      </c>
      <c r="K46" s="924" t="str">
        <f>IF(ISBLANK($E46)=FALSE,IF(H46="","No","Yes"),IF($P46=TRUE,"NA",""))</f>
        <v/>
      </c>
      <c r="L46" s="496"/>
      <c r="M46" s="496"/>
      <c r="N46" s="496"/>
      <c r="O46" s="538" t="s">
        <v>242</v>
      </c>
      <c r="P46" s="846" t="b">
        <v>0</v>
      </c>
    </row>
    <row r="47" spans="1:16" ht="45" customHeight="1">
      <c r="A47" s="222"/>
      <c r="B47" s="251" t="s">
        <v>1168</v>
      </c>
      <c r="C47" s="952" t="s">
        <v>1169</v>
      </c>
      <c r="D47" s="936">
        <v>3</v>
      </c>
      <c r="E47" s="455"/>
      <c r="G47" s="903"/>
      <c r="H47" s="903"/>
      <c r="I47" s="937"/>
      <c r="J47" s="924" t="str">
        <f t="shared" si="6"/>
        <v/>
      </c>
      <c r="K47" s="924" t="str">
        <f t="shared" si="6"/>
        <v/>
      </c>
      <c r="L47" s="496"/>
      <c r="M47" s="496"/>
      <c r="N47" s="496"/>
      <c r="O47" s="538"/>
      <c r="P47" s="846"/>
    </row>
    <row r="48" spans="1:16" ht="45" customHeight="1">
      <c r="A48" s="496"/>
      <c r="B48" s="251" t="s">
        <v>1172</v>
      </c>
      <c r="C48" s="952" t="s">
        <v>985</v>
      </c>
      <c r="D48" s="936">
        <v>5</v>
      </c>
      <c r="E48" s="455"/>
      <c r="G48" s="903"/>
      <c r="H48" s="903"/>
      <c r="I48" s="937"/>
      <c r="J48" s="924" t="str">
        <f t="shared" si="6"/>
        <v/>
      </c>
      <c r="K48" s="924" t="str">
        <f t="shared" si="6"/>
        <v/>
      </c>
      <c r="L48" s="496"/>
      <c r="M48" s="496"/>
      <c r="N48" s="496"/>
      <c r="O48" s="538"/>
      <c r="P48" s="846"/>
    </row>
    <row r="49" spans="1:16" ht="45" customHeight="1">
      <c r="A49" s="222"/>
      <c r="B49" s="251" t="s">
        <v>1173</v>
      </c>
      <c r="C49" s="952" t="s">
        <v>1328</v>
      </c>
      <c r="D49" s="936">
        <v>1</v>
      </c>
      <c r="E49" s="455"/>
      <c r="G49" s="903"/>
      <c r="H49" s="903"/>
      <c r="I49" s="937"/>
      <c r="J49" s="924" t="str">
        <f t="shared" si="6"/>
        <v/>
      </c>
      <c r="K49" s="924" t="str">
        <f t="shared" si="6"/>
        <v/>
      </c>
      <c r="L49" s="496"/>
      <c r="M49" s="496"/>
      <c r="N49" s="496"/>
      <c r="O49" s="538"/>
      <c r="P49" s="846"/>
    </row>
    <row r="50" spans="1:16" ht="45" customHeight="1">
      <c r="A50" s="222"/>
      <c r="B50" s="218" t="s">
        <v>963</v>
      </c>
      <c r="C50" s="85"/>
      <c r="D50" s="85">
        <f>SUM(D45:D49)</f>
        <v>12</v>
      </c>
      <c r="E50" s="216" t="str">
        <f>IFERROR(SUM(E45:E49)/D50*E44*100,"")</f>
        <v/>
      </c>
      <c r="G50" s="176"/>
      <c r="H50" s="176"/>
      <c r="I50" s="176"/>
      <c r="J50" s="176"/>
      <c r="K50" s="176"/>
      <c r="L50" s="496"/>
      <c r="M50" s="496"/>
      <c r="N50" s="496"/>
      <c r="O50" s="538"/>
      <c r="P50" s="846"/>
    </row>
    <row r="51" spans="1:16" ht="45" customHeight="1">
      <c r="A51" s="222"/>
      <c r="B51" s="254"/>
      <c r="C51" s="196"/>
      <c r="D51" s="196"/>
      <c r="E51" s="196"/>
      <c r="G51" s="496"/>
      <c r="H51" s="496"/>
      <c r="I51" s="496"/>
      <c r="J51" s="496"/>
      <c r="K51" s="496"/>
      <c r="L51" s="496"/>
      <c r="M51" s="496"/>
      <c r="N51" s="496"/>
      <c r="O51" s="538"/>
      <c r="P51" s="846"/>
    </row>
    <row r="52" spans="1:16" ht="45" customHeight="1">
      <c r="A52" s="222"/>
      <c r="B52" s="204" t="s">
        <v>353</v>
      </c>
      <c r="C52" s="205"/>
      <c r="D52" s="206" t="s">
        <v>1089</v>
      </c>
      <c r="E52" s="207" t="str">
        <f>IFERROR(VLOOKUP($E$3,$R$3:$Z$10,6,FALSE),"")</f>
        <v/>
      </c>
      <c r="G52" s="226"/>
      <c r="H52" s="226"/>
      <c r="I52" s="226"/>
      <c r="J52" s="226"/>
      <c r="K52" s="226"/>
      <c r="L52" s="496"/>
      <c r="M52" s="496"/>
      <c r="N52" s="496"/>
      <c r="O52" s="538"/>
      <c r="P52" s="846"/>
    </row>
    <row r="53" spans="1:16" ht="45" customHeight="1">
      <c r="A53" s="222"/>
      <c r="B53" s="251" t="s">
        <v>1175</v>
      </c>
      <c r="C53" s="952" t="s">
        <v>354</v>
      </c>
      <c r="D53" s="936">
        <v>10</v>
      </c>
      <c r="E53" s="455"/>
      <c r="G53" s="903"/>
      <c r="H53" s="903"/>
      <c r="I53" s="937"/>
      <c r="J53" s="924" t="str">
        <f>IF(ISBLANK($E53)=FALSE,IF(G53="","No","Yes"),"")</f>
        <v/>
      </c>
      <c r="K53" s="924" t="str">
        <f>IF(ISBLANK($E53)=FALSE,IF(H53="","No","Yes"),"")</f>
        <v/>
      </c>
      <c r="L53" s="496"/>
      <c r="M53" s="496"/>
      <c r="N53" s="496"/>
      <c r="O53" s="538"/>
      <c r="P53" s="846"/>
    </row>
    <row r="54" spans="1:16" ht="45" customHeight="1">
      <c r="A54" s="222"/>
      <c r="B54" s="251" t="s">
        <v>1182</v>
      </c>
      <c r="C54" s="952" t="s">
        <v>1183</v>
      </c>
      <c r="D54" s="936">
        <v>1</v>
      </c>
      <c r="E54" s="455"/>
      <c r="G54" s="903"/>
      <c r="H54" s="903"/>
      <c r="I54" s="937"/>
      <c r="J54" s="924" t="str">
        <f>IF(OR(ISBLANK($E54)=FALSE,$P54=TRUE),IF(G54="","No","Yes"),"")</f>
        <v/>
      </c>
      <c r="K54" s="924" t="str">
        <f>IF(ISBLANK($E54)=FALSE,IF(H54="","No","Yes"),IF($P54=TRUE,"NA",""))</f>
        <v/>
      </c>
      <c r="L54" s="496"/>
      <c r="M54" s="496"/>
      <c r="N54" s="496"/>
      <c r="O54" s="538" t="s">
        <v>242</v>
      </c>
      <c r="P54" s="846" t="b">
        <v>0</v>
      </c>
    </row>
    <row r="55" spans="1:16" ht="45" customHeight="1">
      <c r="A55" s="222"/>
      <c r="B55" s="251" t="s">
        <v>1319</v>
      </c>
      <c r="C55" s="952" t="s">
        <v>1329</v>
      </c>
      <c r="D55" s="936">
        <v>2</v>
      </c>
      <c r="E55" s="455"/>
      <c r="G55" s="903"/>
      <c r="H55" s="903"/>
      <c r="I55" s="937"/>
      <c r="J55" s="924" t="str">
        <f>IF(OR(ISBLANK($E55)=FALSE,$P55=TRUE),IF(G55="","No","Yes"),"")</f>
        <v/>
      </c>
      <c r="K55" s="924" t="str">
        <f>IF(ISBLANK($E55)=FALSE,IF(H55="","No","Yes"),IF($P55=TRUE,"NA",""))</f>
        <v/>
      </c>
      <c r="L55" s="496"/>
      <c r="M55" s="496"/>
      <c r="N55" s="496"/>
      <c r="O55" s="538" t="s">
        <v>242</v>
      </c>
      <c r="P55" s="846" t="b">
        <v>0</v>
      </c>
    </row>
    <row r="56" spans="1:16" ht="45" customHeight="1">
      <c r="A56" s="222"/>
      <c r="B56" s="218" t="s">
        <v>963</v>
      </c>
      <c r="C56" s="85"/>
      <c r="D56" s="85">
        <f>SUM(D53:D55)</f>
        <v>13</v>
      </c>
      <c r="E56" s="216" t="str">
        <f>IFERROR(SUM(E53:E55)/D56*E52*100,"")</f>
        <v/>
      </c>
      <c r="G56" s="176"/>
      <c r="H56" s="176"/>
      <c r="I56" s="176"/>
      <c r="J56" s="176"/>
      <c r="K56" s="176"/>
      <c r="L56" s="496"/>
      <c r="M56" s="496"/>
      <c r="N56" s="496"/>
      <c r="O56" s="538"/>
      <c r="P56" s="846"/>
    </row>
    <row r="57" spans="1:16" ht="45" customHeight="1">
      <c r="A57" s="222"/>
      <c r="B57" s="254"/>
      <c r="C57" s="196"/>
      <c r="D57" s="196"/>
      <c r="E57" s="196"/>
      <c r="G57" s="496"/>
      <c r="H57" s="496"/>
      <c r="I57" s="496"/>
      <c r="J57" s="496"/>
      <c r="K57" s="496"/>
      <c r="L57" s="496"/>
      <c r="M57" s="496"/>
      <c r="N57" s="496"/>
      <c r="O57" s="538"/>
      <c r="P57" s="846"/>
    </row>
    <row r="58" spans="1:16" ht="45" customHeight="1">
      <c r="A58" s="222"/>
      <c r="B58" s="204" t="s">
        <v>367</v>
      </c>
      <c r="C58" s="205"/>
      <c r="D58" s="206" t="s">
        <v>1089</v>
      </c>
      <c r="E58" s="207" t="str">
        <f>IFERROR(VLOOKUP($E$3,$R$3:$Z$10,7,FALSE),"")</f>
        <v/>
      </c>
      <c r="G58" s="226"/>
      <c r="H58" s="226"/>
      <c r="I58" s="226"/>
      <c r="J58" s="226"/>
      <c r="K58" s="226"/>
      <c r="L58" s="496"/>
      <c r="M58" s="496"/>
      <c r="N58" s="496"/>
      <c r="O58" s="538"/>
      <c r="P58" s="846"/>
    </row>
    <row r="59" spans="1:16" ht="45" customHeight="1">
      <c r="A59" s="222"/>
      <c r="B59" s="251" t="s">
        <v>1186</v>
      </c>
      <c r="C59" s="952" t="s">
        <v>1187</v>
      </c>
      <c r="D59" s="936">
        <v>3</v>
      </c>
      <c r="E59" s="455"/>
      <c r="G59" s="903"/>
      <c r="H59" s="903"/>
      <c r="I59" s="937"/>
      <c r="J59" s="924" t="str">
        <f t="shared" ref="J59:J70" si="7">IF(ISBLANK($E59)=FALSE,IF(G59="","No","Yes"),"")</f>
        <v/>
      </c>
      <c r="K59" s="924" t="str">
        <f t="shared" ref="K59:K70" si="8">IF(ISBLANK($E59)=FALSE,IF(H59="","No","Yes"),"")</f>
        <v/>
      </c>
      <c r="L59" s="496"/>
      <c r="M59" s="496"/>
      <c r="N59" s="496"/>
      <c r="O59" s="538"/>
      <c r="P59" s="846"/>
    </row>
    <row r="60" spans="1:16" ht="45" customHeight="1">
      <c r="A60" s="222"/>
      <c r="B60" s="251" t="s">
        <v>1188</v>
      </c>
      <c r="C60" s="952" t="s">
        <v>1330</v>
      </c>
      <c r="D60" s="936">
        <v>6</v>
      </c>
      <c r="E60" s="455"/>
      <c r="G60" s="903"/>
      <c r="H60" s="903"/>
      <c r="I60" s="937"/>
      <c r="J60" s="924" t="str">
        <f>IF(OR(ISBLANK($E60)=FALSE,$P60=TRUE),IF(G60="","No","Yes"),"")</f>
        <v/>
      </c>
      <c r="K60" s="924" t="str">
        <f>IF(ISBLANK($E60)=FALSE,IF(H60="","No","Yes"),IF($P60=TRUE,"NA",""))</f>
        <v/>
      </c>
      <c r="L60" s="496"/>
      <c r="M60" s="496"/>
      <c r="N60" s="496"/>
      <c r="O60" s="538" t="s">
        <v>242</v>
      </c>
      <c r="P60" s="846" t="b">
        <v>0</v>
      </c>
    </row>
    <row r="61" spans="1:16" ht="45" customHeight="1">
      <c r="A61" s="496"/>
      <c r="B61" s="251" t="s">
        <v>1191</v>
      </c>
      <c r="C61" s="952" t="s">
        <v>1192</v>
      </c>
      <c r="D61" s="936">
        <v>2</v>
      </c>
      <c r="E61" s="455"/>
      <c r="G61" s="903"/>
      <c r="H61" s="903"/>
      <c r="I61" s="937"/>
      <c r="J61" s="924" t="str">
        <f t="shared" si="7"/>
        <v/>
      </c>
      <c r="K61" s="924" t="str">
        <f t="shared" si="8"/>
        <v/>
      </c>
      <c r="L61" s="496"/>
      <c r="M61" s="496"/>
      <c r="N61" s="496"/>
      <c r="O61" s="538"/>
      <c r="P61" s="846"/>
    </row>
    <row r="62" spans="1:16" ht="45" customHeight="1">
      <c r="A62" s="222"/>
      <c r="B62" s="251" t="s">
        <v>1193</v>
      </c>
      <c r="C62" s="952" t="s">
        <v>376</v>
      </c>
      <c r="D62" s="936">
        <v>3</v>
      </c>
      <c r="E62" s="455"/>
      <c r="G62" s="903"/>
      <c r="H62" s="903"/>
      <c r="I62" s="937"/>
      <c r="J62" s="924" t="str">
        <f>IF(OR(ISBLANK($E62)=FALSE,$P62=TRUE),IF(G62="","No","Yes"),"")</f>
        <v/>
      </c>
      <c r="K62" s="924" t="str">
        <f>IF(ISBLANK($E62)=FALSE,IF(H62="","No","Yes"),IF($P62=TRUE,"NA",""))</f>
        <v/>
      </c>
      <c r="L62" s="496"/>
      <c r="M62" s="496"/>
      <c r="N62" s="496"/>
      <c r="O62" s="538" t="s">
        <v>242</v>
      </c>
      <c r="P62" s="846" t="b">
        <v>0</v>
      </c>
    </row>
    <row r="63" spans="1:16" ht="45" customHeight="1">
      <c r="A63" s="222"/>
      <c r="B63" s="251" t="s">
        <v>1197</v>
      </c>
      <c r="C63" s="952" t="s">
        <v>378</v>
      </c>
      <c r="D63" s="936">
        <v>2</v>
      </c>
      <c r="E63" s="455"/>
      <c r="G63" s="903"/>
      <c r="H63" s="903"/>
      <c r="I63" s="937"/>
      <c r="J63" s="924" t="str">
        <f>IF(OR(ISBLANK($E63)=FALSE,$P63=TRUE),IF(G63="","No","Yes"),"")</f>
        <v/>
      </c>
      <c r="K63" s="924" t="str">
        <f>IF(ISBLANK($E63)=FALSE,IF(H63="","No","Yes"),IF($P63=TRUE,"NA",""))</f>
        <v/>
      </c>
      <c r="L63" s="496"/>
      <c r="M63" s="496"/>
      <c r="N63" s="496"/>
      <c r="O63" s="538" t="s">
        <v>242</v>
      </c>
      <c r="P63" s="846" t="b">
        <v>0</v>
      </c>
    </row>
    <row r="64" spans="1:16" ht="45" customHeight="1">
      <c r="A64" s="222"/>
      <c r="B64" s="251" t="s">
        <v>1201</v>
      </c>
      <c r="C64" s="952" t="s">
        <v>994</v>
      </c>
      <c r="D64" s="936">
        <v>2</v>
      </c>
      <c r="E64" s="455"/>
      <c r="G64" s="903"/>
      <c r="H64" s="903"/>
      <c r="I64" s="937"/>
      <c r="J64" s="924" t="str">
        <f>IF(OR(ISBLANK($E64)=FALSE,$P64=TRUE),IF(G64="","No","Yes"),"")</f>
        <v/>
      </c>
      <c r="K64" s="924" t="str">
        <f>IF(ISBLANK($E64)=FALSE,IF(H64="","No","Yes"),IF($P64=TRUE,"NA",""))</f>
        <v/>
      </c>
      <c r="L64" s="496"/>
      <c r="M64" s="496"/>
      <c r="N64" s="496"/>
      <c r="O64" s="538" t="s">
        <v>242</v>
      </c>
      <c r="P64" s="846" t="b">
        <v>0</v>
      </c>
    </row>
    <row r="65" spans="1:16" ht="45" customHeight="1">
      <c r="A65" s="222"/>
      <c r="B65" s="251" t="s">
        <v>1203</v>
      </c>
      <c r="C65" s="952" t="s">
        <v>589</v>
      </c>
      <c r="D65" s="936">
        <v>1</v>
      </c>
      <c r="E65" s="455"/>
      <c r="G65" s="903"/>
      <c r="H65" s="903"/>
      <c r="I65" s="937"/>
      <c r="J65" s="924" t="str">
        <f>IF(OR(ISBLANK($E65)=FALSE,$P65=TRUE),IF(G65="","No","Yes"),"")</f>
        <v/>
      </c>
      <c r="K65" s="924" t="str">
        <f>IF(ISBLANK($E65)=FALSE,IF(H65="","No","Yes"),IF($P65=TRUE,"NA",""))</f>
        <v/>
      </c>
      <c r="L65" s="496"/>
      <c r="M65" s="496"/>
      <c r="N65" s="496"/>
      <c r="O65" s="538" t="s">
        <v>242</v>
      </c>
      <c r="P65" s="846" t="b">
        <v>0</v>
      </c>
    </row>
    <row r="66" spans="1:16" ht="45" customHeight="1">
      <c r="A66" s="222"/>
      <c r="B66" s="251" t="s">
        <v>1205</v>
      </c>
      <c r="C66" s="952" t="s">
        <v>1206</v>
      </c>
      <c r="D66" s="936">
        <v>1</v>
      </c>
      <c r="E66" s="455"/>
      <c r="G66" s="903"/>
      <c r="H66" s="903"/>
      <c r="I66" s="937"/>
      <c r="J66" s="924" t="str">
        <f>IF(OR(ISBLANK($E66)=FALSE,$P66=TRUE),IF(G66="","No","Yes"),"")</f>
        <v/>
      </c>
      <c r="K66" s="924" t="str">
        <f>IF(ISBLANK($E66)=FALSE,IF(H66="","No","Yes"),IF($P66=TRUE,"NA",""))</f>
        <v/>
      </c>
      <c r="L66" s="496"/>
      <c r="M66" s="496"/>
      <c r="N66" s="496"/>
      <c r="O66" s="538" t="s">
        <v>242</v>
      </c>
      <c r="P66" s="846" t="b">
        <v>0</v>
      </c>
    </row>
    <row r="67" spans="1:16" ht="45" customHeight="1">
      <c r="A67" s="496"/>
      <c r="B67" s="251" t="s">
        <v>1207</v>
      </c>
      <c r="C67" s="952" t="s">
        <v>1208</v>
      </c>
      <c r="D67" s="936">
        <v>1</v>
      </c>
      <c r="E67" s="455"/>
      <c r="G67" s="903"/>
      <c r="H67" s="903"/>
      <c r="I67" s="937"/>
      <c r="J67" s="924" t="str">
        <f t="shared" si="7"/>
        <v/>
      </c>
      <c r="K67" s="924" t="str">
        <f t="shared" si="8"/>
        <v/>
      </c>
      <c r="L67" s="496"/>
      <c r="M67" s="496"/>
      <c r="N67" s="496"/>
      <c r="O67" s="538"/>
      <c r="P67" s="846"/>
    </row>
    <row r="68" spans="1:16" ht="45" customHeight="1">
      <c r="A68" s="222"/>
      <c r="B68" s="251" t="s">
        <v>1211</v>
      </c>
      <c r="C68" s="952" t="s">
        <v>991</v>
      </c>
      <c r="D68" s="936">
        <v>3</v>
      </c>
      <c r="E68" s="455"/>
      <c r="G68" s="903"/>
      <c r="H68" s="903"/>
      <c r="I68" s="937"/>
      <c r="J68" s="924" t="str">
        <f t="shared" si="7"/>
        <v/>
      </c>
      <c r="K68" s="924" t="str">
        <f t="shared" si="8"/>
        <v/>
      </c>
      <c r="L68" s="496"/>
      <c r="M68" s="496"/>
      <c r="N68" s="496"/>
      <c r="O68" s="538"/>
      <c r="P68" s="846"/>
    </row>
    <row r="69" spans="1:16" ht="45" customHeight="1">
      <c r="A69" s="222"/>
      <c r="B69" s="251" t="s">
        <v>1212</v>
      </c>
      <c r="C69" s="952" t="s">
        <v>992</v>
      </c>
      <c r="D69" s="936">
        <v>3</v>
      </c>
      <c r="E69" s="455"/>
      <c r="G69" s="903"/>
      <c r="H69" s="903"/>
      <c r="I69" s="937"/>
      <c r="J69" s="924" t="str">
        <f t="shared" si="7"/>
        <v/>
      </c>
      <c r="K69" s="924" t="str">
        <f t="shared" si="8"/>
        <v/>
      </c>
      <c r="L69" s="496"/>
      <c r="M69" s="496"/>
      <c r="N69" s="496"/>
      <c r="O69" s="538"/>
      <c r="P69" s="846"/>
    </row>
    <row r="70" spans="1:16" ht="45" customHeight="1">
      <c r="A70" s="222"/>
      <c r="B70" s="251" t="s">
        <v>1214</v>
      </c>
      <c r="C70" s="952" t="s">
        <v>993</v>
      </c>
      <c r="D70" s="936">
        <v>4</v>
      </c>
      <c r="E70" s="455"/>
      <c r="G70" s="903"/>
      <c r="H70" s="903"/>
      <c r="I70" s="937"/>
      <c r="J70" s="924" t="str">
        <f t="shared" si="7"/>
        <v/>
      </c>
      <c r="K70" s="924" t="str">
        <f t="shared" si="8"/>
        <v/>
      </c>
      <c r="L70" s="496"/>
      <c r="M70" s="496"/>
      <c r="N70" s="496"/>
      <c r="O70" s="538"/>
      <c r="P70" s="846"/>
    </row>
    <row r="71" spans="1:16" ht="45" customHeight="1">
      <c r="A71" s="222"/>
      <c r="B71" s="218" t="s">
        <v>963</v>
      </c>
      <c r="C71" s="85"/>
      <c r="D71" s="85">
        <f>SUM(D59:D70)</f>
        <v>31</v>
      </c>
      <c r="E71" s="216" t="str">
        <f>IFERROR(SUM(E59:E70)/D71*E58*100,"")</f>
        <v/>
      </c>
      <c r="G71" s="176"/>
      <c r="H71" s="176"/>
      <c r="I71" s="176"/>
      <c r="J71" s="176"/>
      <c r="K71" s="176"/>
      <c r="L71" s="496"/>
      <c r="M71" s="496"/>
      <c r="N71" s="496"/>
      <c r="O71" s="538"/>
      <c r="P71" s="846"/>
    </row>
    <row r="72" spans="1:16" ht="45" customHeight="1">
      <c r="A72" s="222"/>
      <c r="B72" s="254"/>
      <c r="C72" s="196"/>
      <c r="D72" s="196"/>
      <c r="E72" s="196"/>
      <c r="G72" s="496"/>
      <c r="H72" s="496"/>
      <c r="I72" s="496"/>
      <c r="J72" s="496"/>
      <c r="K72" s="496"/>
      <c r="L72" s="496"/>
      <c r="M72" s="496"/>
      <c r="N72" s="496"/>
      <c r="O72" s="538"/>
      <c r="P72" s="846"/>
    </row>
    <row r="73" spans="1:16" ht="45" customHeight="1">
      <c r="A73" s="222"/>
      <c r="B73" s="204" t="s">
        <v>396</v>
      </c>
      <c r="C73" s="205"/>
      <c r="D73" s="206" t="s">
        <v>1089</v>
      </c>
      <c r="E73" s="207" t="str">
        <f>IFERROR(VLOOKUP($E$3,$R$3:$Z$10,8,FALSE),"")</f>
        <v/>
      </c>
      <c r="G73" s="226"/>
      <c r="H73" s="226"/>
      <c r="I73" s="226"/>
      <c r="J73" s="226"/>
      <c r="K73" s="226"/>
      <c r="L73" s="496"/>
      <c r="M73" s="496"/>
      <c r="N73" s="496"/>
      <c r="O73" s="538"/>
      <c r="P73" s="846"/>
    </row>
    <row r="74" spans="1:16" ht="45" customHeight="1">
      <c r="A74" s="222"/>
      <c r="B74" s="251" t="s">
        <v>1331</v>
      </c>
      <c r="C74" s="952" t="s">
        <v>606</v>
      </c>
      <c r="D74" s="936" t="s">
        <v>264</v>
      </c>
      <c r="E74" s="455"/>
      <c r="G74" s="903"/>
      <c r="H74" s="903"/>
      <c r="I74" s="937"/>
      <c r="J74" s="924" t="str">
        <f>IF(ISBLANK($E74)=FALSE,IF(G74="","No","Yes"),"")</f>
        <v/>
      </c>
      <c r="K74" s="924" t="str">
        <f>IF(ISBLANK($E74)=FALSE,IF(H74="","No","Yes"),"")</f>
        <v/>
      </c>
      <c r="L74" s="496"/>
      <c r="M74" s="496"/>
      <c r="N74" s="496"/>
      <c r="O74" s="538"/>
      <c r="P74" s="846"/>
    </row>
    <row r="75" spans="1:16" ht="45" customHeight="1">
      <c r="A75" s="222"/>
      <c r="B75" s="251" t="s">
        <v>1039</v>
      </c>
      <c r="C75" s="952" t="s">
        <v>1220</v>
      </c>
      <c r="D75" s="936">
        <v>1</v>
      </c>
      <c r="E75" s="455"/>
      <c r="G75" s="903"/>
      <c r="H75" s="903"/>
      <c r="I75" s="937"/>
      <c r="J75" s="924" t="str">
        <f>IF(OR(ISBLANK($E75)=FALSE,$P75=TRUE),IF(G75="","No","Yes"),"")</f>
        <v/>
      </c>
      <c r="K75" s="924" t="str">
        <f>IF(ISBLANK($E75)=FALSE,IF(H75="","No","Yes"),IF($P75=TRUE,"NA",""))</f>
        <v/>
      </c>
      <c r="L75" s="496"/>
      <c r="M75" s="496"/>
      <c r="N75" s="496"/>
      <c r="O75" s="538" t="s">
        <v>242</v>
      </c>
      <c r="P75" s="846" t="b">
        <v>0</v>
      </c>
    </row>
    <row r="76" spans="1:16" s="256" customFormat="1" ht="45" customHeight="1">
      <c r="B76" s="251" t="s">
        <v>1045</v>
      </c>
      <c r="C76" s="952" t="s">
        <v>1221</v>
      </c>
      <c r="D76" s="936">
        <v>1</v>
      </c>
      <c r="E76" s="455"/>
      <c r="F76" s="192"/>
      <c r="G76" s="903"/>
      <c r="H76" s="903"/>
      <c r="I76" s="937"/>
      <c r="J76" s="924" t="str">
        <f>IF(OR(ISBLANK($E76)=FALSE,$P76=TRUE),IF(G76="","No","Yes"),"")</f>
        <v/>
      </c>
      <c r="K76" s="924" t="str">
        <f>IF(ISBLANK($E76)=FALSE,IF(H76="","No","Yes"),IF($P76=TRUE,"Yes",""))</f>
        <v/>
      </c>
      <c r="L76" s="496"/>
      <c r="M76" s="496"/>
      <c r="O76" s="538"/>
      <c r="P76" s="838"/>
    </row>
    <row r="77" spans="1:16" ht="45" customHeight="1">
      <c r="A77" s="496"/>
      <c r="B77" s="251" t="s">
        <v>1046</v>
      </c>
      <c r="C77" s="952" t="s">
        <v>1222</v>
      </c>
      <c r="D77" s="936">
        <v>2</v>
      </c>
      <c r="E77" s="455"/>
      <c r="G77" s="903"/>
      <c r="H77" s="903"/>
      <c r="I77" s="937"/>
      <c r="J77" s="924" t="str">
        <f>IF(OR(ISBLANK($E77)=FALSE,$P77=TRUE),IF(G77="","No","Yes"),"")</f>
        <v/>
      </c>
      <c r="K77" s="924" t="str">
        <f>IF(ISBLANK($E77)=FALSE,IF(H77="","No","Yes"),IF($P77=TRUE,"Yes",""))</f>
        <v/>
      </c>
      <c r="L77" s="496"/>
      <c r="M77" s="496"/>
      <c r="N77" s="496"/>
      <c r="O77" s="538"/>
      <c r="P77" s="846"/>
    </row>
    <row r="78" spans="1:16" s="256" customFormat="1" ht="45" customHeight="1">
      <c r="A78" s="496"/>
      <c r="B78" s="251" t="s">
        <v>1047</v>
      </c>
      <c r="C78" s="952" t="s">
        <v>1332</v>
      </c>
      <c r="D78" s="936">
        <v>4</v>
      </c>
      <c r="E78" s="455"/>
      <c r="F78" s="192"/>
      <c r="G78" s="903"/>
      <c r="H78" s="903"/>
      <c r="I78" s="937"/>
      <c r="J78" s="924" t="str">
        <f>IF(OR(ISBLANK($E78)=FALSE,$P78=TRUE),IF(G78="","No","Yes"),"")</f>
        <v/>
      </c>
      <c r="K78" s="924" t="str">
        <f>IF(ISBLANK($E78)=FALSE,IF(H78="","No","Yes"),IF($P78=TRUE,"Yes",""))</f>
        <v/>
      </c>
      <c r="L78" s="496"/>
      <c r="M78" s="496"/>
      <c r="N78" s="496"/>
      <c r="O78" s="538"/>
      <c r="P78" s="846"/>
    </row>
    <row r="79" spans="1:16" s="222" customFormat="1" ht="45" customHeight="1">
      <c r="A79" s="496"/>
      <c r="B79" s="218" t="s">
        <v>963</v>
      </c>
      <c r="C79" s="85"/>
      <c r="D79" s="85">
        <f>SUM(D74:D78)</f>
        <v>8</v>
      </c>
      <c r="E79" s="216" t="str">
        <f>IFERROR(SUM(E74:E78)/D79*E73*100,"")</f>
        <v/>
      </c>
      <c r="F79" s="192"/>
      <c r="G79" s="176"/>
      <c r="H79" s="176"/>
      <c r="I79" s="176"/>
      <c r="J79" s="176"/>
      <c r="K79" s="176"/>
      <c r="L79" s="496"/>
      <c r="M79" s="496"/>
      <c r="N79" s="252"/>
      <c r="O79" s="252"/>
      <c r="P79" s="257"/>
    </row>
    <row r="80" spans="1:16" s="222" customFormat="1" ht="45" customHeight="1">
      <c r="A80" s="496"/>
      <c r="B80" s="254"/>
      <c r="C80" s="196"/>
      <c r="D80" s="196"/>
      <c r="E80" s="196"/>
      <c r="F80" s="192"/>
      <c r="G80" s="496"/>
      <c r="H80" s="496"/>
      <c r="I80" s="496"/>
      <c r="J80" s="496"/>
      <c r="K80" s="496"/>
      <c r="L80" s="496"/>
      <c r="M80" s="496"/>
      <c r="O80" s="196"/>
      <c r="P80" s="255"/>
    </row>
    <row r="81" spans="1:16" s="222" customFormat="1" ht="45" customHeight="1">
      <c r="A81" s="496"/>
      <c r="B81" s="204" t="s">
        <v>404</v>
      </c>
      <c r="C81" s="205"/>
      <c r="D81" s="206" t="s">
        <v>1089</v>
      </c>
      <c r="E81" s="207" t="str">
        <f>IFERROR(VLOOKUP($E$3,$R$3:$Z$10,9,FALSE),"")</f>
        <v/>
      </c>
      <c r="F81" s="192"/>
      <c r="G81" s="226"/>
      <c r="H81" s="226"/>
      <c r="I81" s="226"/>
      <c r="J81" s="226"/>
      <c r="K81" s="226"/>
      <c r="L81" s="496"/>
      <c r="M81" s="496"/>
      <c r="O81" s="196"/>
      <c r="P81" s="255"/>
    </row>
    <row r="82" spans="1:16" s="222" customFormat="1" ht="45" customHeight="1">
      <c r="A82" s="496"/>
      <c r="B82" s="251" t="s">
        <v>1223</v>
      </c>
      <c r="C82" s="952" t="s">
        <v>1224</v>
      </c>
      <c r="D82" s="936">
        <v>1</v>
      </c>
      <c r="E82" s="455"/>
      <c r="F82" s="192"/>
      <c r="G82" s="903"/>
      <c r="H82" s="903"/>
      <c r="I82" s="937"/>
      <c r="J82" s="924" t="str">
        <f t="shared" ref="J82:K89" si="9">IF(ISBLANK($E82)=FALSE,IF(G82="","No","Yes"),"")</f>
        <v/>
      </c>
      <c r="K82" s="924" t="str">
        <f t="shared" si="9"/>
        <v/>
      </c>
      <c r="L82" s="496"/>
      <c r="M82" s="496"/>
      <c r="O82" s="196"/>
      <c r="P82" s="255"/>
    </row>
    <row r="83" spans="1:16" s="256" customFormat="1" ht="45" customHeight="1">
      <c r="A83" s="496"/>
      <c r="B83" s="251" t="s">
        <v>1225</v>
      </c>
      <c r="C83" s="952" t="s">
        <v>1226</v>
      </c>
      <c r="D83" s="936">
        <v>2</v>
      </c>
      <c r="E83" s="455"/>
      <c r="F83" s="192"/>
      <c r="G83" s="903"/>
      <c r="H83" s="903"/>
      <c r="I83" s="937"/>
      <c r="J83" s="924" t="str">
        <f t="shared" si="9"/>
        <v/>
      </c>
      <c r="K83" s="924" t="str">
        <f t="shared" si="9"/>
        <v/>
      </c>
      <c r="L83" s="496"/>
      <c r="M83" s="496"/>
      <c r="N83" s="496"/>
      <c r="O83" s="538"/>
      <c r="P83" s="846"/>
    </row>
    <row r="84" spans="1:16" ht="45" customHeight="1">
      <c r="A84" s="496"/>
      <c r="B84" s="251" t="s">
        <v>1227</v>
      </c>
      <c r="C84" s="952" t="s">
        <v>1228</v>
      </c>
      <c r="D84" s="936">
        <v>2</v>
      </c>
      <c r="E84" s="455"/>
      <c r="G84" s="903"/>
      <c r="H84" s="903"/>
      <c r="I84" s="937"/>
      <c r="J84" s="924" t="str">
        <f>IF(OR(ISBLANK($E84)=FALSE,$P84=TRUE),IF(G84="","No","Yes"),"")</f>
        <v/>
      </c>
      <c r="K84" s="924" t="str">
        <f>IF(ISBLANK($E84)=FALSE,IF(H84="","No","Yes"),IF($P84=TRUE,"NA",""))</f>
        <v/>
      </c>
      <c r="L84" s="496"/>
      <c r="M84" s="496"/>
      <c r="N84" s="496"/>
      <c r="O84" s="538" t="s">
        <v>242</v>
      </c>
      <c r="P84" s="846" t="b">
        <v>0</v>
      </c>
    </row>
    <row r="85" spans="1:16" ht="45" customHeight="1">
      <c r="A85" s="496"/>
      <c r="B85" s="251" t="s">
        <v>1229</v>
      </c>
      <c r="C85" s="952" t="s">
        <v>1230</v>
      </c>
      <c r="D85" s="936">
        <v>1</v>
      </c>
      <c r="E85" s="455"/>
      <c r="G85" s="903"/>
      <c r="H85" s="903"/>
      <c r="I85" s="937"/>
      <c r="J85" s="924" t="str">
        <f t="shared" si="9"/>
        <v/>
      </c>
      <c r="K85" s="924" t="str">
        <f t="shared" si="9"/>
        <v/>
      </c>
      <c r="L85" s="496"/>
      <c r="M85" s="496"/>
      <c r="N85" s="496"/>
      <c r="O85" s="538"/>
      <c r="P85" s="846"/>
    </row>
    <row r="86" spans="1:16" ht="45" customHeight="1">
      <c r="A86" s="496"/>
      <c r="B86" s="251" t="s">
        <v>1231</v>
      </c>
      <c r="C86" s="952" t="s">
        <v>405</v>
      </c>
      <c r="D86" s="936">
        <v>3</v>
      </c>
      <c r="E86" s="455"/>
      <c r="G86" s="903"/>
      <c r="H86" s="903"/>
      <c r="I86" s="937"/>
      <c r="J86" s="924" t="str">
        <f t="shared" si="9"/>
        <v/>
      </c>
      <c r="K86" s="924" t="str">
        <f t="shared" si="9"/>
        <v/>
      </c>
      <c r="L86" s="496"/>
      <c r="M86" s="496"/>
      <c r="N86" s="496"/>
      <c r="O86" s="538"/>
      <c r="P86" s="846"/>
    </row>
    <row r="87" spans="1:16" ht="45" customHeight="1">
      <c r="A87" s="496"/>
      <c r="B87" s="251" t="s">
        <v>1233</v>
      </c>
      <c r="C87" s="952" t="s">
        <v>1234</v>
      </c>
      <c r="D87" s="936">
        <v>4</v>
      </c>
      <c r="E87" s="455"/>
      <c r="G87" s="903"/>
      <c r="H87" s="903"/>
      <c r="I87" s="937"/>
      <c r="J87" s="924" t="str">
        <f t="shared" si="9"/>
        <v/>
      </c>
      <c r="K87" s="924" t="str">
        <f t="shared" si="9"/>
        <v/>
      </c>
      <c r="L87" s="496"/>
      <c r="M87" s="496"/>
      <c r="N87" s="496"/>
      <c r="O87" s="538"/>
      <c r="P87" s="846"/>
    </row>
    <row r="88" spans="1:16" ht="45" customHeight="1">
      <c r="A88" s="496"/>
      <c r="B88" s="251" t="s">
        <v>1237</v>
      </c>
      <c r="C88" s="952" t="s">
        <v>409</v>
      </c>
      <c r="D88" s="936">
        <v>2</v>
      </c>
      <c r="E88" s="455"/>
      <c r="G88" s="903"/>
      <c r="H88" s="903"/>
      <c r="I88" s="937"/>
      <c r="J88" s="924" t="str">
        <f t="shared" si="9"/>
        <v/>
      </c>
      <c r="K88" s="924" t="str">
        <f t="shared" si="9"/>
        <v/>
      </c>
      <c r="L88" s="496"/>
      <c r="M88" s="496"/>
      <c r="N88" s="496"/>
      <c r="O88" s="538"/>
      <c r="P88" s="846"/>
    </row>
    <row r="89" spans="1:16" ht="45" customHeight="1">
      <c r="A89" s="496"/>
      <c r="B89" s="251" t="s">
        <v>1238</v>
      </c>
      <c r="C89" s="952" t="s">
        <v>1289</v>
      </c>
      <c r="D89" s="936">
        <v>1</v>
      </c>
      <c r="E89" s="455"/>
      <c r="G89" s="903"/>
      <c r="H89" s="903"/>
      <c r="I89" s="937"/>
      <c r="J89" s="924" t="str">
        <f t="shared" si="9"/>
        <v/>
      </c>
      <c r="K89" s="924" t="str">
        <f t="shared" si="9"/>
        <v/>
      </c>
      <c r="L89" s="496"/>
      <c r="M89" s="496"/>
      <c r="N89" s="496"/>
      <c r="O89" s="538"/>
      <c r="P89" s="846"/>
    </row>
    <row r="90" spans="1:16" ht="45" customHeight="1">
      <c r="A90" s="496"/>
      <c r="B90" s="218" t="s">
        <v>963</v>
      </c>
      <c r="C90" s="85"/>
      <c r="D90" s="85">
        <f>SUM(D82:D89)</f>
        <v>16</v>
      </c>
      <c r="E90" s="216" t="str">
        <f>IFERROR(SUM(E82:E89)/D90*E81*100,"")</f>
        <v/>
      </c>
      <c r="G90" s="176"/>
      <c r="H90" s="176"/>
      <c r="I90" s="176"/>
      <c r="J90" s="176"/>
      <c r="K90" s="176"/>
      <c r="L90" s="496"/>
      <c r="M90" s="496"/>
      <c r="N90" s="496"/>
      <c r="O90" s="538"/>
      <c r="P90" s="846"/>
    </row>
    <row r="91" spans="1:16" ht="45" customHeight="1">
      <c r="A91" s="496"/>
      <c r="B91" s="254"/>
      <c r="C91" s="196"/>
      <c r="D91" s="196"/>
      <c r="E91" s="196"/>
      <c r="G91" s="496"/>
      <c r="H91" s="496"/>
      <c r="I91" s="496"/>
      <c r="J91" s="496"/>
      <c r="K91" s="496"/>
      <c r="L91" s="496"/>
      <c r="M91" s="496"/>
      <c r="N91" s="496"/>
      <c r="O91" s="538"/>
      <c r="P91" s="846"/>
    </row>
    <row r="92" spans="1:16" ht="45" customHeight="1">
      <c r="A92" s="496"/>
      <c r="B92" s="204" t="s">
        <v>419</v>
      </c>
      <c r="C92" s="205"/>
      <c r="D92" s="228"/>
      <c r="E92" s="208"/>
      <c r="G92" s="226"/>
      <c r="H92" s="226"/>
      <c r="I92" s="226"/>
      <c r="J92" s="226"/>
      <c r="K92" s="226"/>
      <c r="L92" s="496"/>
      <c r="M92" s="496"/>
      <c r="N92" s="496"/>
      <c r="O92" s="538"/>
      <c r="P92" s="846"/>
    </row>
    <row r="93" spans="1:16" ht="45" customHeight="1">
      <c r="A93" s="496"/>
      <c r="B93" s="251" t="s">
        <v>1079</v>
      </c>
      <c r="C93" s="952" t="s">
        <v>1242</v>
      </c>
      <c r="D93" s="1448">
        <v>10</v>
      </c>
      <c r="E93" s="455"/>
      <c r="G93" s="903"/>
      <c r="H93" s="903"/>
      <c r="I93" s="937"/>
      <c r="J93" s="924" t="str">
        <f t="shared" ref="J93:K95" si="10">IF(ISBLANK($E93)=FALSE,IF(G93="","No","Yes"),"")</f>
        <v/>
      </c>
      <c r="K93" s="924" t="str">
        <f t="shared" si="10"/>
        <v/>
      </c>
      <c r="L93" s="496"/>
      <c r="M93" s="496"/>
      <c r="N93" s="496"/>
      <c r="O93" s="538"/>
      <c r="P93" s="846"/>
    </row>
    <row r="94" spans="1:16" ht="45" customHeight="1">
      <c r="A94" s="496"/>
      <c r="B94" s="251" t="s">
        <v>1243</v>
      </c>
      <c r="C94" s="952" t="s">
        <v>1244</v>
      </c>
      <c r="D94" s="1449"/>
      <c r="E94" s="455"/>
      <c r="G94" s="903"/>
      <c r="H94" s="903"/>
      <c r="I94" s="937"/>
      <c r="J94" s="924" t="str">
        <f t="shared" si="10"/>
        <v/>
      </c>
      <c r="K94" s="924" t="str">
        <f t="shared" si="10"/>
        <v/>
      </c>
      <c r="L94" s="496"/>
      <c r="M94" s="496"/>
      <c r="N94" s="496"/>
      <c r="O94" s="538"/>
      <c r="P94" s="846"/>
    </row>
    <row r="95" spans="1:16" ht="45" customHeight="1">
      <c r="A95" s="496"/>
      <c r="B95" s="251" t="s">
        <v>1245</v>
      </c>
      <c r="C95" s="952" t="s">
        <v>1246</v>
      </c>
      <c r="D95" s="1450"/>
      <c r="E95" s="455"/>
      <c r="G95" s="903"/>
      <c r="H95" s="903"/>
      <c r="I95" s="937"/>
      <c r="J95" s="924" t="str">
        <f t="shared" si="10"/>
        <v/>
      </c>
      <c r="K95" s="924" t="str">
        <f t="shared" si="10"/>
        <v/>
      </c>
      <c r="L95" s="496"/>
      <c r="M95" s="496"/>
      <c r="N95" s="496"/>
      <c r="O95" s="538"/>
      <c r="P95" s="846"/>
    </row>
    <row r="96" spans="1:16" ht="45" customHeight="1">
      <c r="A96" s="496"/>
      <c r="B96" s="218" t="s">
        <v>963</v>
      </c>
      <c r="C96" s="85"/>
      <c r="D96" s="85">
        <f>SUM(D93:D95)</f>
        <v>10</v>
      </c>
      <c r="E96" s="85">
        <f>IF(SUM(E93:E95)&gt;10,10,SUM(E93:E95))</f>
        <v>0</v>
      </c>
      <c r="G96" s="176"/>
      <c r="H96" s="176"/>
      <c r="I96" s="176"/>
      <c r="J96" s="176"/>
      <c r="K96" s="176"/>
      <c r="L96" s="496"/>
      <c r="M96" s="496"/>
      <c r="N96" s="496"/>
      <c r="O96" s="538"/>
      <c r="P96" s="846"/>
    </row>
    <row r="97" spans="1:8" ht="45" customHeight="1">
      <c r="A97" s="496"/>
      <c r="C97" s="496"/>
      <c r="D97" s="496"/>
      <c r="E97" s="538"/>
      <c r="G97" s="496"/>
      <c r="H97" s="496"/>
    </row>
    <row r="98" spans="1:8" ht="45" customHeight="1">
      <c r="A98" s="496"/>
      <c r="C98" s="230" t="s">
        <v>437</v>
      </c>
      <c r="D98" s="218"/>
      <c r="E98" s="218"/>
      <c r="F98" s="496"/>
      <c r="G98" s="201" t="s">
        <v>599</v>
      </c>
      <c r="H98" s="201" t="s">
        <v>600</v>
      </c>
    </row>
    <row r="99" spans="1:8" ht="45" customHeight="1">
      <c r="A99" s="496"/>
      <c r="C99" s="231" t="s">
        <v>440</v>
      </c>
      <c r="D99" s="232"/>
      <c r="E99" s="233"/>
      <c r="F99" s="210"/>
      <c r="G99" s="234">
        <f>SUMIF(J9:J95,"Yes",G9:G95)</f>
        <v>0</v>
      </c>
      <c r="H99" s="234">
        <f>SUMIF(K9:K95,"Yes",H9:H95)</f>
        <v>0</v>
      </c>
    </row>
    <row r="100" spans="1:8" ht="45" customHeight="1">
      <c r="A100" s="496"/>
      <c r="C100" s="231" t="s">
        <v>441</v>
      </c>
      <c r="D100" s="232"/>
      <c r="E100" s="233"/>
      <c r="F100" s="210"/>
      <c r="G100" s="225"/>
      <c r="H100" s="225"/>
    </row>
    <row r="101" spans="1:8" ht="45" customHeight="1">
      <c r="A101" s="496"/>
      <c r="C101" s="235" t="s">
        <v>442</v>
      </c>
      <c r="D101" s="236"/>
      <c r="E101" s="237">
        <f>SUM(E99:E100)</f>
        <v>0</v>
      </c>
      <c r="F101" s="210"/>
      <c r="G101" s="192"/>
      <c r="H101" s="225"/>
    </row>
    <row r="102" spans="1:8" ht="45" customHeight="1">
      <c r="A102" s="496"/>
      <c r="C102" s="231" t="s">
        <v>443</v>
      </c>
      <c r="D102" s="232"/>
      <c r="E102" s="233"/>
      <c r="F102" s="210"/>
      <c r="G102" s="192"/>
      <c r="H102" s="225"/>
    </row>
    <row r="103" spans="1:8" ht="45" customHeight="1">
      <c r="A103" s="496"/>
      <c r="C103" s="231" t="s">
        <v>107</v>
      </c>
      <c r="D103" s="232"/>
      <c r="E103" s="237">
        <f>G99</f>
        <v>0</v>
      </c>
      <c r="F103" s="210"/>
      <c r="G103" s="192"/>
      <c r="H103" s="225"/>
    </row>
    <row r="104" spans="1:8" ht="45" customHeight="1">
      <c r="A104" s="496"/>
      <c r="C104" s="231" t="s">
        <v>444</v>
      </c>
      <c r="D104" s="232"/>
      <c r="E104" s="237">
        <f>H99</f>
        <v>0</v>
      </c>
      <c r="F104" s="210"/>
      <c r="G104" s="192"/>
      <c r="H104" s="225"/>
    </row>
    <row r="105" spans="1:8" ht="45" customHeight="1">
      <c r="A105" s="496"/>
      <c r="C105" s="235" t="s">
        <v>445</v>
      </c>
      <c r="D105" s="236"/>
      <c r="E105" s="238">
        <f>SUM(E102:E104)</f>
        <v>0</v>
      </c>
      <c r="F105" s="210"/>
      <c r="G105" s="192"/>
      <c r="H105" s="225"/>
    </row>
    <row r="106" spans="1:8" ht="45" customHeight="1">
      <c r="A106" s="496"/>
      <c r="C106" s="239" t="s">
        <v>112</v>
      </c>
      <c r="D106" s="240"/>
      <c r="E106" s="241">
        <f>IFERROR(E105/E101,0)</f>
        <v>0</v>
      </c>
      <c r="F106" s="210"/>
      <c r="G106" s="192"/>
      <c r="H106" s="225"/>
    </row>
    <row r="107" spans="1:8" ht="45" customHeight="1">
      <c r="A107" s="496"/>
      <c r="C107" s="815"/>
      <c r="D107" s="942"/>
      <c r="E107" s="538"/>
      <c r="F107" s="496"/>
      <c r="G107" s="904"/>
      <c r="H107" s="904"/>
    </row>
    <row r="108" spans="1:8" ht="35.1" customHeight="1">
      <c r="A108" s="143"/>
      <c r="C108" s="230" t="s">
        <v>101</v>
      </c>
      <c r="D108" s="243"/>
      <c r="E108" s="244" t="s">
        <v>602</v>
      </c>
      <c r="F108" s="243"/>
      <c r="G108" s="904"/>
      <c r="H108" s="904"/>
    </row>
    <row r="109" spans="1:8" ht="35.1" customHeight="1">
      <c r="A109" s="143"/>
      <c r="C109" s="127" t="s">
        <v>447</v>
      </c>
      <c r="D109" s="943" t="s">
        <v>937</v>
      </c>
      <c r="E109" s="1227" t="str">
        <f>IF(D109="Yes","No Issues", IF(D109="No","Contact project team","Check scorecard points"))</f>
        <v>Check scorecard points</v>
      </c>
      <c r="F109" s="1227"/>
      <c r="G109" s="904"/>
      <c r="H109" s="904"/>
    </row>
    <row r="110" spans="1:8" ht="35.1" customHeight="1">
      <c r="A110" s="143"/>
      <c r="C110" s="127" t="s">
        <v>604</v>
      </c>
      <c r="D110" s="943">
        <f>COUNTA(E9:E18,E22:E35,E39:E41,E45:E49,E53:E55,E59:E70,E74:E78,E82:E89,E93:E95)+COUNTIF(P9:P95,TRUE)</f>
        <v>0</v>
      </c>
      <c r="E110" s="1227" t="str">
        <f>IF(D110=0,"No credits entered","No Issues")</f>
        <v>No credits entered</v>
      </c>
      <c r="F110" s="1227"/>
      <c r="G110" s="904"/>
      <c r="H110" s="904"/>
    </row>
    <row r="111" spans="1:8" ht="35.1" customHeight="1">
      <c r="A111" s="143"/>
      <c r="C111" s="127" t="s">
        <v>450</v>
      </c>
      <c r="D111" s="943">
        <f>COUNTIF(P9:P95,TRUE)</f>
        <v>0</v>
      </c>
      <c r="E111" s="1304" t="str">
        <f>IF(D111=0,"No Issues - No NA credits claimed",CONCATENATE("No Issues - ",D111," Implementation Costs not needed"))</f>
        <v>No Issues - No NA credits claimed</v>
      </c>
      <c r="F111" s="1304"/>
      <c r="G111" s="904"/>
      <c r="H111" s="904"/>
    </row>
    <row r="112" spans="1:8" ht="60" customHeight="1">
      <c r="A112" s="143"/>
      <c r="C112" s="127" t="s">
        <v>451</v>
      </c>
      <c r="D112" s="943">
        <f>COUNTIF(J2:J95,"Yes")</f>
        <v>0</v>
      </c>
      <c r="E112" s="1229" t="str">
        <f>IF(D112&lt;D110,CONCATENATE(D110-D112," documentation costs missing"),IF(D112=0,"No credits entered",IF(COUNTIF(G9:G95,0)&gt;0,CONCATENATE(COUNTIF(G9:G95,0)," $0 cost(s) provided. Enter a value or explain the $0 value in the Comments column."),"No Issues")))</f>
        <v>No credits entered</v>
      </c>
      <c r="F112" s="1229"/>
      <c r="G112" s="454"/>
      <c r="H112" s="593"/>
    </row>
    <row r="113" spans="1:15" ht="60" customHeight="1">
      <c r="A113" s="143"/>
      <c r="C113" s="127" t="s">
        <v>452</v>
      </c>
      <c r="D113" s="943">
        <f>COUNTIF(K2:K95,"Yes")</f>
        <v>0</v>
      </c>
      <c r="E113" s="1229" t="str">
        <f>IF(D113&lt;(D110-D111),CONCATENATE(D110-D113-D111," implementation costs missing"),IF(D113=0,"No credits entered",IF(COUNTIF(H9:H95,0)&gt;ROUND(0.25*D110,0),CONCATENATE(COUNTIF(H9:H95,0)," $0 cost(s) provided. Enter a value or explain the $0 value in the Comments column."),"No Issues")))</f>
        <v>No credits entered</v>
      </c>
      <c r="F113" s="1229"/>
      <c r="G113" s="454"/>
      <c r="H113" s="593"/>
      <c r="I113" s="496"/>
      <c r="J113" s="496"/>
      <c r="K113" s="496"/>
      <c r="L113" s="496"/>
      <c r="M113" s="496"/>
      <c r="N113" s="496"/>
      <c r="O113" s="538"/>
    </row>
    <row r="114" spans="1:15" ht="35.1" customHeight="1">
      <c r="A114" s="143"/>
      <c r="C114" s="127" t="s">
        <v>453</v>
      </c>
      <c r="D114" s="943" t="str">
        <f>IF(E99&gt;0,"Yes","No")</f>
        <v>No</v>
      </c>
      <c r="E114" s="1229" t="str">
        <f>IF(D114="No","Total Design Cost missing","No Issues")</f>
        <v>Total Design Cost missing</v>
      </c>
      <c r="F114" s="1229"/>
      <c r="G114" s="904"/>
      <c r="H114" s="904"/>
      <c r="I114" s="496"/>
      <c r="J114" s="496"/>
      <c r="K114" s="496"/>
      <c r="L114" s="496"/>
      <c r="M114" s="496"/>
      <c r="N114" s="496"/>
      <c r="O114" s="538"/>
    </row>
    <row r="115" spans="1:15" ht="35.1" customHeight="1">
      <c r="A115" s="143"/>
      <c r="C115" s="127" t="s">
        <v>454</v>
      </c>
      <c r="D115" s="943" t="str">
        <f>IF(E100&gt;0,"Yes","No")</f>
        <v>No</v>
      </c>
      <c r="E115" s="1229" t="str">
        <f>IF(D115="No","Total Construction Cost missing","No Issues")</f>
        <v>Total Construction Cost missing</v>
      </c>
      <c r="F115" s="1229"/>
      <c r="G115" s="904"/>
      <c r="H115" s="904"/>
      <c r="I115" s="496"/>
      <c r="J115" s="496"/>
      <c r="K115" s="496"/>
      <c r="L115" s="496"/>
      <c r="M115" s="496"/>
      <c r="N115" s="496"/>
      <c r="O115" s="538"/>
    </row>
    <row r="116" spans="1:15" ht="35.1" customHeight="1">
      <c r="A116" s="143"/>
      <c r="C116" s="127" t="s">
        <v>455</v>
      </c>
      <c r="D116" s="943" t="str">
        <f>IF(E102&gt;0,"Yes","No")</f>
        <v>No</v>
      </c>
      <c r="E116" s="1229" t="str">
        <f>IF(D116="No","Green Star Certification Fees missing","No Issues")</f>
        <v>Green Star Certification Fees missing</v>
      </c>
      <c r="F116" s="1229"/>
      <c r="G116" s="904"/>
      <c r="H116" s="904"/>
      <c r="I116" s="496"/>
      <c r="J116" s="496"/>
      <c r="K116" s="496"/>
      <c r="L116" s="496"/>
      <c r="M116" s="496"/>
      <c r="N116" s="496"/>
      <c r="O116" s="538"/>
    </row>
    <row r="117" spans="1:15" ht="35.1" hidden="1" customHeight="1">
      <c r="A117" s="143" t="s">
        <v>14</v>
      </c>
      <c r="C117" s="591" t="s">
        <v>188</v>
      </c>
      <c r="D117" s="592"/>
      <c r="E117" s="1230" t="s">
        <v>652</v>
      </c>
      <c r="F117" s="1230"/>
      <c r="G117" s="904"/>
      <c r="H117" s="904"/>
      <c r="I117" s="496"/>
      <c r="J117" s="496"/>
      <c r="K117" s="496"/>
      <c r="L117" s="496"/>
      <c r="M117" s="496"/>
      <c r="N117" s="496"/>
      <c r="O117" s="538"/>
    </row>
    <row r="118" spans="1:15" ht="45" hidden="1" customHeight="1">
      <c r="A118" s="143" t="s">
        <v>14</v>
      </c>
      <c r="C118" s="128" t="s">
        <v>457</v>
      </c>
      <c r="D118" s="1446" t="str">
        <f>IF(OR(COUNTIF(E109:F116,"No Issues*")=8,E117="YES"),"1 POINT AWARDED","1 POINT NOT AWARDED")</f>
        <v>1 POINT NOT AWARDED</v>
      </c>
      <c r="E118" s="1446"/>
      <c r="F118" s="1446"/>
      <c r="G118" s="496"/>
      <c r="H118" s="496"/>
      <c r="I118" s="496"/>
      <c r="J118" s="496"/>
      <c r="K118" s="496"/>
      <c r="L118" s="496"/>
      <c r="M118" s="496"/>
      <c r="N118" s="496"/>
      <c r="O118" s="538"/>
    </row>
  </sheetData>
  <sheetProtection algorithmName="SHA-512" hashValue="t+rKswTfLjEgGiFgEESkSGvXCn737KRqF1DEwVlLIMl/iuw3nWm/cmLSL9TCJoF7VfFQO5lK4iqxGbcVZ9AkiQ==" saltValue="oJj/4IO2JusSABYo4ChArQ==" spinCount="100000" sheet="1" objects="1" scenarios="1"/>
  <customSheetViews>
    <customSheetView guid="{CEACA748-A46A-4C8B-98CF-30E51B671B84}" scale="80" showGridLines="0" hiddenColumns="1">
      <pane ySplit="7" topLeftCell="A107" activePane="bottomLeft" state="frozen"/>
      <selection pane="bottomLeft" activeCell="D119" sqref="D119"/>
      <pageMargins left="0" right="0" top="0" bottom="0" header="0" footer="0"/>
      <pageSetup orientation="portrait" r:id="rId1"/>
    </customSheetView>
    <customSheetView guid="{2ED91B50-D126-4494-B9B8-889B5F8EA715}">
      <selection activeCell="E5" sqref="E5"/>
      <pageMargins left="0" right="0" top="0" bottom="0" header="0" footer="0"/>
    </customSheetView>
  </customSheetViews>
  <mergeCells count="13">
    <mergeCell ref="D118:F118"/>
    <mergeCell ref="B1:E1"/>
    <mergeCell ref="G6:H6"/>
    <mergeCell ref="D93:D95"/>
    <mergeCell ref="E109:F109"/>
    <mergeCell ref="E111:F111"/>
    <mergeCell ref="E116:F116"/>
    <mergeCell ref="E110:F110"/>
    <mergeCell ref="E112:F112"/>
    <mergeCell ref="E113:F113"/>
    <mergeCell ref="E114:F114"/>
    <mergeCell ref="E115:F115"/>
    <mergeCell ref="E117:F117"/>
  </mergeCells>
  <conditionalFormatting sqref="G9:K18 G39:K41 G93:K95 G22:K35 G45:K49 G53:K55 G59:K70 G74:K78 G82:K89">
    <cfRule type="expression" dxfId="17" priority="676">
      <formula>$E9=""</formula>
    </cfRule>
  </conditionalFormatting>
  <conditionalFormatting sqref="J9:K18 J39:K41 J93:K95 J22:K35 J45:K49 J53:K55 J59:K70 J74:K78 J82:K89">
    <cfRule type="cellIs" dxfId="16" priority="24" operator="equal">
      <formula>"Yes"</formula>
    </cfRule>
    <cfRule type="cellIs" dxfId="15" priority="26" operator="equal">
      <formula>"No"</formula>
    </cfRule>
  </conditionalFormatting>
  <conditionalFormatting sqref="G27 I27:J27 G32 I32:J32 G34 I34:J34 G46 I46:J46 G54:G55 I54:J55 G60 I60:J60 G62:G66 I62:J66 G75:G78 I75:J78 G84 I84:J84">
    <cfRule type="expression" dxfId="14" priority="33">
      <formula>$P27=TRUE</formula>
    </cfRule>
  </conditionalFormatting>
  <conditionalFormatting sqref="B27:E27 B32:E32 B34:E34 B46:E46 B54:E55 B60:E60 B62:E66 B75:E75 B84:E84">
    <cfRule type="expression" dxfId="13" priority="34">
      <formula>$P27=TRUE</formula>
    </cfRule>
  </conditionalFormatting>
  <conditionalFormatting sqref="K27 K32 K34 K46 K54:K55 K60 K62:K66 K75 K84">
    <cfRule type="cellIs" dxfId="12" priority="4" operator="equal">
      <formula>"NA"</formula>
    </cfRule>
  </conditionalFormatting>
  <conditionalFormatting sqref="E109:F116">
    <cfRule type="containsText" dxfId="11" priority="30" operator="containsText" text="No Issues">
      <formula>NOT(ISERROR(SEARCH("No Issues",E109)))</formula>
    </cfRule>
  </conditionalFormatting>
  <conditionalFormatting sqref="G6:I6">
    <cfRule type="containsText" dxfId="10" priority="31" operator="containsText" text="Select">
      <formula>NOT(ISERROR(SEARCH("Select",G6)))</formula>
    </cfRule>
  </conditionalFormatting>
  <conditionalFormatting sqref="C2:C5 E3">
    <cfRule type="containsText" dxfId="9" priority="2" operator="containsText" text="Please">
      <formula>NOT(ISERROR(SEARCH("Please",C2)))</formula>
    </cfRule>
  </conditionalFormatting>
  <conditionalFormatting sqref="E117">
    <cfRule type="cellIs" dxfId="8" priority="1" operator="equal">
      <formula>"YES"</formula>
    </cfRule>
  </conditionalFormatting>
  <dataValidations count="12">
    <dataValidation allowBlank="1" showErrorMessage="1" promptTitle="Rating Tool Version" prompt="Please select the project's rating tool version" sqref="C5" xr:uid="{00000000-0002-0000-0F00-000000000000}"/>
    <dataValidation allowBlank="1" showInputMessage="1" showErrorMessage="1" promptTitle="Project number" prompt="Please enter the Green Star number" sqref="C2" xr:uid="{00000000-0002-0000-0F00-000001000000}"/>
    <dataValidation allowBlank="1" showInputMessage="1" showErrorMessage="1" promptTitle="Project Name" prompt="Please enter the project name" sqref="C3" xr:uid="{00000000-0002-0000-0F00-000002000000}"/>
    <dataValidation type="list" allowBlank="1" showInputMessage="1" showErrorMessage="1" promptTitle="Green Star Rating" prompt="Please select the project's targeted rating" sqref="C4" xr:uid="{00000000-0002-0000-0F00-000003000000}">
      <formula1>$M$2:$M$5</formula1>
    </dataValidation>
    <dataValidation type="list" allowBlank="1" showInputMessage="1" showErrorMessage="1" sqref="G6" xr:uid="{00000000-0002-0000-0F00-000004000000}">
      <formula1>$M$7:$M$9</formula1>
    </dataValidation>
    <dataValidation type="list" allowBlank="1" showInputMessage="1" showErrorMessage="1" sqref="I6" xr:uid="{00000000-0002-0000-0F00-000005000000}">
      <formula1>$N$7:$N$9</formula1>
    </dataValidation>
    <dataValidation type="whole" allowBlank="1" showInputMessage="1" showErrorMessage="1" sqref="E22:E35 E93:E95 E82:E89 E40:E41 E59:E70 E53:E55 E45:E49 E9:E18 E75:E78" xr:uid="{00000000-0002-0000-0F00-000006000000}">
      <formula1>0</formula1>
      <formula2>D9</formula2>
    </dataValidation>
    <dataValidation type="list" allowBlank="1" showInputMessage="1" showErrorMessage="1" sqref="D109" xr:uid="{00000000-0002-0000-0F00-000007000000}">
      <formula1>"Please select, Yes, No"</formula1>
    </dataValidation>
    <dataValidation type="list" allowBlank="1" showInputMessage="1" showErrorMessage="1" sqref="E39 E74" xr:uid="{00000000-0002-0000-0F00-000008000000}">
      <formula1>$M$11:$M$12</formula1>
    </dataValidation>
    <dataValidation type="list" allowBlank="1" showInputMessage="1" showErrorMessage="1" sqref="E3" xr:uid="{00000000-0002-0000-0F00-000009000000}">
      <formula1>$R$2:$R$10</formula1>
    </dataValidation>
    <dataValidation type="decimal" operator="greaterThanOrEqual" allowBlank="1" showInputMessage="1" showErrorMessage="1" sqref="G9:H95 E99:E100 E102" xr:uid="{00000000-0002-0000-0F00-00000A000000}">
      <formula1>0</formula1>
    </dataValidation>
    <dataValidation type="list" allowBlank="1" showInputMessage="1" showErrorMessage="1" sqref="E117:F117" xr:uid="{00000000-0002-0000-0F00-00000B000000}">
      <formula1>"YES/NO, YES, NO"</formula1>
    </dataValidation>
  </dataValidations>
  <pageMargins left="0.7" right="0.7" top="0.75" bottom="0.75" header="0.3" footer="0.3"/>
  <pageSetup orientation="portrait" r:id="rId2"/>
  <ignoredErrors>
    <ignoredError sqref="J17:K26 J28:K31 J27 J33:K33 J32 J35:K45 J34 J47:K53 J46 J56:K59 J54:J55 J61:K61 J60 J67:K74 J62:J66 J76:K83 J75 J8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8609" r:id="rId5" name="Check Box 1">
              <controlPr defaultSize="0" autoFill="0" autoLine="0" autoPict="0">
                <anchor moveWithCells="1">
                  <from>
                    <xdr:col>0</xdr:col>
                    <xdr:colOff>69850</xdr:colOff>
                    <xdr:row>26</xdr:row>
                    <xdr:rowOff>228600</xdr:rowOff>
                  </from>
                  <to>
                    <xdr:col>1</xdr:col>
                    <xdr:colOff>609600</xdr:colOff>
                    <xdr:row>26</xdr:row>
                    <xdr:rowOff>438150</xdr:rowOff>
                  </to>
                </anchor>
              </controlPr>
            </control>
          </mc:Choice>
        </mc:AlternateContent>
        <mc:AlternateContent xmlns:mc="http://schemas.openxmlformats.org/markup-compatibility/2006">
          <mc:Choice Requires="x14">
            <control shapeId="68610" r:id="rId6" name="Check Box 2">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8611" r:id="rId7" name="Check Box 3">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8612" r:id="rId8" name="Check Box 4">
              <controlPr defaultSize="0" autoFill="0" autoLine="0" autoPict="0">
                <anchor moveWithCells="1">
                  <from>
                    <xdr:col>0</xdr:col>
                    <xdr:colOff>69850</xdr:colOff>
                    <xdr:row>45</xdr:row>
                    <xdr:rowOff>228600</xdr:rowOff>
                  </from>
                  <to>
                    <xdr:col>1</xdr:col>
                    <xdr:colOff>609600</xdr:colOff>
                    <xdr:row>45</xdr:row>
                    <xdr:rowOff>438150</xdr:rowOff>
                  </to>
                </anchor>
              </controlPr>
            </control>
          </mc:Choice>
        </mc:AlternateContent>
        <mc:AlternateContent xmlns:mc="http://schemas.openxmlformats.org/markup-compatibility/2006">
          <mc:Choice Requires="x14">
            <control shapeId="68613" r:id="rId9" name="Check Box 5">
              <controlPr defaultSize="0" autoFill="0" autoLine="0" autoPict="0">
                <anchor moveWithCells="1">
                  <from>
                    <xdr:col>0</xdr:col>
                    <xdr:colOff>69850</xdr:colOff>
                    <xdr:row>53</xdr:row>
                    <xdr:rowOff>228600</xdr:rowOff>
                  </from>
                  <to>
                    <xdr:col>1</xdr:col>
                    <xdr:colOff>609600</xdr:colOff>
                    <xdr:row>53</xdr:row>
                    <xdr:rowOff>438150</xdr:rowOff>
                  </to>
                </anchor>
              </controlPr>
            </control>
          </mc:Choice>
        </mc:AlternateContent>
        <mc:AlternateContent xmlns:mc="http://schemas.openxmlformats.org/markup-compatibility/2006">
          <mc:Choice Requires="x14">
            <control shapeId="68615" r:id="rId10" name="Check Box 7">
              <controlPr defaultSize="0" autoFill="0" autoLine="0" autoPict="0">
                <anchor moveWithCells="1">
                  <from>
                    <xdr:col>0</xdr:col>
                    <xdr:colOff>69850</xdr:colOff>
                    <xdr:row>54</xdr:row>
                    <xdr:rowOff>228600</xdr:rowOff>
                  </from>
                  <to>
                    <xdr:col>1</xdr:col>
                    <xdr:colOff>609600</xdr:colOff>
                    <xdr:row>54</xdr:row>
                    <xdr:rowOff>438150</xdr:rowOff>
                  </to>
                </anchor>
              </controlPr>
            </control>
          </mc:Choice>
        </mc:AlternateContent>
        <mc:AlternateContent xmlns:mc="http://schemas.openxmlformats.org/markup-compatibility/2006">
          <mc:Choice Requires="x14">
            <control shapeId="68616" r:id="rId11" name="Check Box 8">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8617" r:id="rId12" name="Check Box 9">
              <controlPr defaultSize="0" autoFill="0" autoLine="0" autoPict="0">
                <anchor moveWithCells="1">
                  <from>
                    <xdr:col>0</xdr:col>
                    <xdr:colOff>69850</xdr:colOff>
                    <xdr:row>61</xdr:row>
                    <xdr:rowOff>228600</xdr:rowOff>
                  </from>
                  <to>
                    <xdr:col>1</xdr:col>
                    <xdr:colOff>609600</xdr:colOff>
                    <xdr:row>61</xdr:row>
                    <xdr:rowOff>438150</xdr:rowOff>
                  </to>
                </anchor>
              </controlPr>
            </control>
          </mc:Choice>
        </mc:AlternateContent>
        <mc:AlternateContent xmlns:mc="http://schemas.openxmlformats.org/markup-compatibility/2006">
          <mc:Choice Requires="x14">
            <control shapeId="68618" r:id="rId13" name="Check Box 10">
              <controlPr defaultSize="0" autoFill="0" autoLine="0" autoPict="0">
                <anchor moveWithCells="1">
                  <from>
                    <xdr:col>0</xdr:col>
                    <xdr:colOff>69850</xdr:colOff>
                    <xdr:row>62</xdr:row>
                    <xdr:rowOff>228600</xdr:rowOff>
                  </from>
                  <to>
                    <xdr:col>1</xdr:col>
                    <xdr:colOff>609600</xdr:colOff>
                    <xdr:row>62</xdr:row>
                    <xdr:rowOff>438150</xdr:rowOff>
                  </to>
                </anchor>
              </controlPr>
            </control>
          </mc:Choice>
        </mc:AlternateContent>
        <mc:AlternateContent xmlns:mc="http://schemas.openxmlformats.org/markup-compatibility/2006">
          <mc:Choice Requires="x14">
            <control shapeId="68619" r:id="rId14" name="Check Box 11">
              <controlPr defaultSize="0" autoFill="0" autoLine="0" autoPict="0">
                <anchor moveWithCells="1">
                  <from>
                    <xdr:col>0</xdr:col>
                    <xdr:colOff>69850</xdr:colOff>
                    <xdr:row>63</xdr:row>
                    <xdr:rowOff>228600</xdr:rowOff>
                  </from>
                  <to>
                    <xdr:col>1</xdr:col>
                    <xdr:colOff>609600</xdr:colOff>
                    <xdr:row>63</xdr:row>
                    <xdr:rowOff>438150</xdr:rowOff>
                  </to>
                </anchor>
              </controlPr>
            </control>
          </mc:Choice>
        </mc:AlternateContent>
        <mc:AlternateContent xmlns:mc="http://schemas.openxmlformats.org/markup-compatibility/2006">
          <mc:Choice Requires="x14">
            <control shapeId="68620" r:id="rId15" name="Check Box 12">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8622" r:id="rId16" name="Check Box 14">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8623" r:id="rId17" name="Check Box 15">
              <controlPr defaultSize="0" autoFill="0" autoLine="0" autoPict="0">
                <anchor moveWithCells="1">
                  <from>
                    <xdr:col>0</xdr:col>
                    <xdr:colOff>69850</xdr:colOff>
                    <xdr:row>74</xdr:row>
                    <xdr:rowOff>228600</xdr:rowOff>
                  </from>
                  <to>
                    <xdr:col>1</xdr:col>
                    <xdr:colOff>609600</xdr:colOff>
                    <xdr:row>74</xdr:row>
                    <xdr:rowOff>438150</xdr:rowOff>
                  </to>
                </anchor>
              </controlPr>
            </control>
          </mc:Choice>
        </mc:AlternateContent>
        <mc:AlternateContent xmlns:mc="http://schemas.openxmlformats.org/markup-compatibility/2006">
          <mc:Choice Requires="x14">
            <control shapeId="68624" r:id="rId18" name="Check Box 16">
              <controlPr defaultSize="0" autoFill="0" autoLine="0" autoPict="0">
                <anchor moveWithCells="1">
                  <from>
                    <xdr:col>0</xdr:col>
                    <xdr:colOff>69850</xdr:colOff>
                    <xdr:row>83</xdr:row>
                    <xdr:rowOff>228600</xdr:rowOff>
                  </from>
                  <to>
                    <xdr:col>1</xdr:col>
                    <xdr:colOff>609600</xdr:colOff>
                    <xdr:row>83</xdr:row>
                    <xdr:rowOff>438150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79998168889431442"/>
    <pageSetUpPr fitToPage="1"/>
  </sheetPr>
  <dimension ref="A1:AB127"/>
  <sheetViews>
    <sheetView showGridLines="0" showRowColHeaders="0" zoomScale="80" zoomScaleNormal="80" workbookViewId="0">
      <pane ySplit="7" topLeftCell="A8" activePane="bottomLeft" state="frozen"/>
      <selection pane="bottomLeft" activeCell="D37" sqref="D37"/>
      <selection activeCell="D37" sqref="D37"/>
    </sheetView>
  </sheetViews>
  <sheetFormatPr defaultColWidth="9.140625" defaultRowHeight="14.45"/>
  <cols>
    <col min="1" max="1" width="4.7109375" style="178" customWidth="1"/>
    <col min="2" max="2" width="30.7109375" style="100" customWidth="1"/>
    <col min="3" max="4" width="55.7109375" style="178" customWidth="1"/>
    <col min="5" max="6" width="15.7109375" style="5" customWidth="1"/>
    <col min="7" max="7" width="10.7109375" style="192" customWidth="1"/>
    <col min="8" max="9" width="26.7109375" style="242" customWidth="1"/>
    <col min="10" max="10" width="45.7109375" style="245" customWidth="1"/>
    <col min="11" max="11" width="20.7109375" style="245" hidden="1" customWidth="1"/>
    <col min="12" max="12" width="20.7109375" style="5" hidden="1" customWidth="1"/>
    <col min="13" max="13" width="9.140625" style="3" customWidth="1"/>
    <col min="14" max="14" width="30" style="178" hidden="1" customWidth="1"/>
    <col min="15" max="15" width="33.5703125" style="178" hidden="1" customWidth="1"/>
    <col min="16" max="16" width="13.42578125" style="178" hidden="1" customWidth="1"/>
    <col min="17" max="17" width="10.85546875" style="73" hidden="1" customWidth="1"/>
    <col min="18" max="18" width="14.28515625" style="178" bestFit="1" customWidth="1"/>
    <col min="19" max="19" width="20.28515625" style="178" hidden="1" customWidth="1"/>
    <col min="20" max="20" width="14.28515625" style="178" hidden="1" customWidth="1"/>
    <col min="21" max="21" width="28.140625" style="178" hidden="1" customWidth="1"/>
    <col min="22" max="22" width="8" style="178" hidden="1" customWidth="1"/>
    <col min="23" max="23" width="10.7109375" style="178" hidden="1" customWidth="1"/>
    <col min="24" max="24" width="7" style="178" hidden="1" customWidth="1"/>
    <col min="25" max="25" width="10.140625" style="178" hidden="1" customWidth="1"/>
    <col min="26" max="26" width="23.85546875" style="178" hidden="1" customWidth="1"/>
    <col min="27" max="27" width="12" style="178" hidden="1" customWidth="1"/>
    <col min="28" max="28" width="7" style="178" hidden="1" customWidth="1"/>
    <col min="29" max="16384" width="9.140625" style="178"/>
  </cols>
  <sheetData>
    <row r="1" spans="1:28" ht="45" customHeight="1">
      <c r="A1" s="496"/>
      <c r="B1" s="1201" t="s">
        <v>0</v>
      </c>
      <c r="C1" s="1201"/>
      <c r="D1" s="1201"/>
      <c r="E1" s="1201"/>
      <c r="F1" s="1201"/>
      <c r="H1" s="904"/>
      <c r="I1" s="904"/>
      <c r="J1" s="496"/>
      <c r="K1" s="143" t="s">
        <v>14</v>
      </c>
      <c r="L1" s="143" t="s">
        <v>14</v>
      </c>
      <c r="M1" s="164"/>
      <c r="N1" s="143" t="s">
        <v>14</v>
      </c>
      <c r="O1" s="143" t="s">
        <v>14</v>
      </c>
      <c r="P1" s="143" t="s">
        <v>14</v>
      </c>
      <c r="Q1" s="142" t="s">
        <v>14</v>
      </c>
      <c r="R1" s="496"/>
      <c r="S1" s="143" t="s">
        <v>14</v>
      </c>
      <c r="T1" s="143" t="s">
        <v>14</v>
      </c>
      <c r="U1" s="143" t="s">
        <v>14</v>
      </c>
      <c r="V1" s="143" t="s">
        <v>14</v>
      </c>
      <c r="W1" s="143" t="s">
        <v>14</v>
      </c>
      <c r="X1" s="143" t="s">
        <v>14</v>
      </c>
      <c r="Y1" s="143" t="s">
        <v>14</v>
      </c>
      <c r="Z1" s="143" t="s">
        <v>14</v>
      </c>
      <c r="AA1" s="143" t="s">
        <v>14</v>
      </c>
      <c r="AB1" s="143" t="s">
        <v>14</v>
      </c>
    </row>
    <row r="2" spans="1:28" ht="37.5" customHeight="1">
      <c r="A2" s="496"/>
      <c r="B2" s="124" t="s">
        <v>227</v>
      </c>
      <c r="C2" s="160" t="s">
        <v>228</v>
      </c>
      <c r="D2" s="192"/>
      <c r="E2" s="139" t="s">
        <v>1080</v>
      </c>
      <c r="F2" s="158" t="s">
        <v>1081</v>
      </c>
      <c r="H2" s="107" t="s">
        <v>532</v>
      </c>
      <c r="I2" s="496"/>
      <c r="J2" s="496"/>
      <c r="K2" s="496"/>
      <c r="L2" s="496"/>
      <c r="M2" s="164"/>
      <c r="N2" s="496" t="s">
        <v>235</v>
      </c>
      <c r="O2" s="496"/>
      <c r="P2" s="496" t="s">
        <v>971</v>
      </c>
      <c r="Q2" s="846" t="s">
        <v>1082</v>
      </c>
      <c r="R2" s="496"/>
      <c r="S2" s="538" t="s">
        <v>1081</v>
      </c>
      <c r="T2" s="538" t="s">
        <v>254</v>
      </c>
      <c r="U2" s="538" t="s">
        <v>306</v>
      </c>
      <c r="V2" s="538" t="s">
        <v>335</v>
      </c>
      <c r="W2" s="538" t="s">
        <v>345</v>
      </c>
      <c r="X2" s="538" t="s">
        <v>353</v>
      </c>
      <c r="Y2" s="538" t="s">
        <v>367</v>
      </c>
      <c r="Z2" s="538" t="s">
        <v>998</v>
      </c>
      <c r="AA2" s="538" t="s">
        <v>404</v>
      </c>
      <c r="AB2" s="164"/>
    </row>
    <row r="3" spans="1:28" ht="37.5" customHeight="1">
      <c r="A3" s="496"/>
      <c r="B3" s="125" t="s">
        <v>229</v>
      </c>
      <c r="C3" s="161" t="s">
        <v>531</v>
      </c>
      <c r="D3" s="192"/>
      <c r="E3" s="192"/>
      <c r="F3" s="108"/>
      <c r="H3" s="140">
        <f>SUM(F36,F44,F53,,F61,F76,F84,F96,F102)</f>
        <v>0</v>
      </c>
      <c r="I3" s="496"/>
      <c r="J3" s="496"/>
      <c r="K3" s="496"/>
      <c r="L3" s="496"/>
      <c r="M3" s="164"/>
      <c r="N3" s="496" t="s">
        <v>256</v>
      </c>
      <c r="O3" s="496"/>
      <c r="P3" s="496"/>
      <c r="Q3" s="846"/>
      <c r="R3" s="496"/>
      <c r="S3" s="538" t="s">
        <v>1083</v>
      </c>
      <c r="T3" s="933">
        <v>0.1</v>
      </c>
      <c r="U3" s="933">
        <v>0.12</v>
      </c>
      <c r="V3" s="933">
        <v>0.24</v>
      </c>
      <c r="W3" s="933">
        <v>0.08</v>
      </c>
      <c r="X3" s="933">
        <v>0.19</v>
      </c>
      <c r="Y3" s="933">
        <v>0.1</v>
      </c>
      <c r="Z3" s="933">
        <v>0.09</v>
      </c>
      <c r="AA3" s="933">
        <v>0.08</v>
      </c>
      <c r="AB3" s="934">
        <f>SUM(T3:AA3)</f>
        <v>0.99999999999999989</v>
      </c>
    </row>
    <row r="4" spans="1:28" ht="37.5" customHeight="1">
      <c r="A4" s="496"/>
      <c r="B4" s="125" t="s">
        <v>234</v>
      </c>
      <c r="C4" s="162" t="s">
        <v>235</v>
      </c>
      <c r="D4" s="192"/>
      <c r="E4" s="192"/>
      <c r="F4" s="109"/>
      <c r="H4" s="904"/>
      <c r="I4" s="496"/>
      <c r="J4" s="496"/>
      <c r="K4" s="496"/>
      <c r="L4" s="496"/>
      <c r="M4" s="164"/>
      <c r="N4" s="496" t="s">
        <v>260</v>
      </c>
      <c r="O4" s="496"/>
      <c r="P4" s="496"/>
      <c r="Q4" s="846"/>
      <c r="R4" s="496"/>
      <c r="S4" s="538" t="s">
        <v>1084</v>
      </c>
      <c r="T4" s="933">
        <v>0.1</v>
      </c>
      <c r="U4" s="933">
        <v>0.12</v>
      </c>
      <c r="V4" s="933">
        <v>0.24</v>
      </c>
      <c r="W4" s="933">
        <v>0.08</v>
      </c>
      <c r="X4" s="933">
        <v>0.19</v>
      </c>
      <c r="Y4" s="933">
        <v>0.1</v>
      </c>
      <c r="Z4" s="933">
        <v>0.09</v>
      </c>
      <c r="AA4" s="933">
        <v>0.08</v>
      </c>
      <c r="AB4" s="934">
        <f t="shared" ref="AB4:AB10" si="0">SUM(T4:AA4)</f>
        <v>0.99999999999999989</v>
      </c>
    </row>
    <row r="5" spans="1:28" ht="37.5" customHeight="1">
      <c r="A5" s="496"/>
      <c r="B5" s="126" t="s">
        <v>238</v>
      </c>
      <c r="C5" s="138" t="s">
        <v>182</v>
      </c>
      <c r="D5" s="192"/>
      <c r="E5" s="192"/>
      <c r="F5" s="109"/>
      <c r="H5" s="496"/>
      <c r="I5" s="496"/>
      <c r="J5" s="496"/>
      <c r="K5" s="496"/>
      <c r="L5" s="496"/>
      <c r="M5" s="164"/>
      <c r="N5" s="496" t="s">
        <v>269</v>
      </c>
      <c r="O5" s="496"/>
      <c r="P5" s="496"/>
      <c r="Q5" s="846"/>
      <c r="R5" s="496"/>
      <c r="S5" s="538" t="s">
        <v>1085</v>
      </c>
      <c r="T5" s="933">
        <v>0.1</v>
      </c>
      <c r="U5" s="933">
        <v>0.12</v>
      </c>
      <c r="V5" s="933">
        <v>0.24</v>
      </c>
      <c r="W5" s="933">
        <v>0.08</v>
      </c>
      <c r="X5" s="933">
        <v>0.17</v>
      </c>
      <c r="Y5" s="933">
        <v>0.1</v>
      </c>
      <c r="Z5" s="933">
        <v>0.11</v>
      </c>
      <c r="AA5" s="933">
        <v>0.08</v>
      </c>
      <c r="AB5" s="934">
        <f t="shared" si="0"/>
        <v>0.99999999999999989</v>
      </c>
    </row>
    <row r="6" spans="1:28" ht="24.95" customHeight="1">
      <c r="A6" s="496"/>
      <c r="B6" s="193"/>
      <c r="C6" s="194"/>
      <c r="D6" s="194"/>
      <c r="E6" s="195"/>
      <c r="F6" s="196"/>
      <c r="H6" s="1486" t="s">
        <v>255</v>
      </c>
      <c r="I6" s="1486"/>
      <c r="J6" s="182" t="s">
        <v>241</v>
      </c>
      <c r="K6" s="496"/>
      <c r="L6" s="496"/>
      <c r="M6" s="164"/>
      <c r="N6" s="496"/>
      <c r="O6" s="496"/>
      <c r="P6" s="496"/>
      <c r="Q6" s="846"/>
      <c r="R6" s="496"/>
      <c r="S6" s="538" t="s">
        <v>1086</v>
      </c>
      <c r="T6" s="933">
        <v>0.1</v>
      </c>
      <c r="U6" s="933">
        <v>0.12</v>
      </c>
      <c r="V6" s="933">
        <v>0.24</v>
      </c>
      <c r="W6" s="933">
        <v>0.08</v>
      </c>
      <c r="X6" s="933">
        <v>0.21</v>
      </c>
      <c r="Y6" s="933">
        <v>0.1</v>
      </c>
      <c r="Z6" s="933">
        <v>7.0000000000000007E-2</v>
      </c>
      <c r="AA6" s="933">
        <v>0.08</v>
      </c>
      <c r="AB6" s="934">
        <f t="shared" si="0"/>
        <v>0.99999999999999989</v>
      </c>
    </row>
    <row r="7" spans="1:28" ht="42">
      <c r="A7" s="85" t="s">
        <v>242</v>
      </c>
      <c r="B7" s="197" t="s">
        <v>1087</v>
      </c>
      <c r="C7" s="198" t="s">
        <v>246</v>
      </c>
      <c r="D7" s="198"/>
      <c r="E7" s="199" t="s">
        <v>247</v>
      </c>
      <c r="F7" s="200" t="s">
        <v>248</v>
      </c>
      <c r="H7" s="201" t="s">
        <v>940</v>
      </c>
      <c r="I7" s="201" t="s">
        <v>941</v>
      </c>
      <c r="J7" s="202" t="s">
        <v>25</v>
      </c>
      <c r="K7" s="203" t="s">
        <v>252</v>
      </c>
      <c r="L7" s="202" t="s">
        <v>253</v>
      </c>
      <c r="M7" s="164"/>
      <c r="N7" s="496" t="s">
        <v>255</v>
      </c>
      <c r="O7" s="496" t="s">
        <v>241</v>
      </c>
      <c r="P7" s="496"/>
      <c r="Q7" s="846"/>
      <c r="R7" s="496"/>
      <c r="S7" s="538" t="s">
        <v>1088</v>
      </c>
      <c r="T7" s="933">
        <v>0.1</v>
      </c>
      <c r="U7" s="933">
        <v>0.12</v>
      </c>
      <c r="V7" s="933">
        <v>0.24</v>
      </c>
      <c r="W7" s="933">
        <v>0.08</v>
      </c>
      <c r="X7" s="933">
        <v>0.22</v>
      </c>
      <c r="Y7" s="933">
        <v>0.1</v>
      </c>
      <c r="Z7" s="933">
        <v>7.0000000000000007E-2</v>
      </c>
      <c r="AA7" s="933">
        <v>7.0000000000000007E-2</v>
      </c>
      <c r="AB7" s="934">
        <f t="shared" si="0"/>
        <v>1</v>
      </c>
    </row>
    <row r="8" spans="1:28" ht="45" customHeight="1">
      <c r="A8" s="496"/>
      <c r="B8" s="204" t="s">
        <v>254</v>
      </c>
      <c r="C8" s="205"/>
      <c r="D8" s="206" t="s">
        <v>1089</v>
      </c>
      <c r="E8" s="207" t="str">
        <f>IFERROR(VLOOKUP($F$2,$S$3:$AA$10,2,FALSE),"")</f>
        <v/>
      </c>
      <c r="F8" s="208"/>
      <c r="H8" s="209"/>
      <c r="I8" s="209"/>
      <c r="J8" s="209"/>
      <c r="K8" s="209"/>
      <c r="L8" s="209"/>
      <c r="M8" s="164"/>
      <c r="N8" s="496" t="s">
        <v>240</v>
      </c>
      <c r="O8" s="210" t="s">
        <v>259</v>
      </c>
      <c r="P8" s="496"/>
      <c r="Q8" s="846"/>
      <c r="R8" s="496"/>
      <c r="S8" s="538" t="s">
        <v>1090</v>
      </c>
      <c r="T8" s="933">
        <v>0.1</v>
      </c>
      <c r="U8" s="933">
        <v>0.12</v>
      </c>
      <c r="V8" s="933">
        <v>0.24</v>
      </c>
      <c r="W8" s="933">
        <v>0.08</v>
      </c>
      <c r="X8" s="933">
        <v>0.17</v>
      </c>
      <c r="Y8" s="933">
        <v>0.1</v>
      </c>
      <c r="Z8" s="933">
        <v>0.11</v>
      </c>
      <c r="AA8" s="933">
        <v>0.08</v>
      </c>
      <c r="AB8" s="934">
        <f t="shared" si="0"/>
        <v>0.99999999999999989</v>
      </c>
    </row>
    <row r="9" spans="1:28" ht="45" customHeight="1">
      <c r="A9" s="496"/>
      <c r="B9" s="211" t="s">
        <v>1091</v>
      </c>
      <c r="C9" s="952" t="s">
        <v>257</v>
      </c>
      <c r="D9" s="952"/>
      <c r="E9" s="936">
        <v>2</v>
      </c>
      <c r="F9" s="455"/>
      <c r="H9" s="213"/>
      <c r="I9" s="213"/>
      <c r="J9" s="214"/>
      <c r="K9" s="215" t="str">
        <f t="shared" ref="K9:K20" si="1">IF(ISBLANK($F9)=FALSE,IF(H9="","No","Yes"),"")</f>
        <v/>
      </c>
      <c r="L9" s="215" t="str">
        <f t="shared" ref="L9:L20" si="2">IF(ISBLANK($F9)=FALSE,IF(I9="","No","Yes"),"")</f>
        <v/>
      </c>
      <c r="M9" s="164"/>
      <c r="N9" s="496" t="s">
        <v>267</v>
      </c>
      <c r="O9" s="496" t="s">
        <v>268</v>
      </c>
      <c r="P9" s="496"/>
      <c r="Q9" s="846"/>
      <c r="R9" s="496"/>
      <c r="S9" s="538" t="s">
        <v>1092</v>
      </c>
      <c r="T9" s="933">
        <v>0.1</v>
      </c>
      <c r="U9" s="933">
        <v>0.12</v>
      </c>
      <c r="V9" s="933">
        <v>0.24</v>
      </c>
      <c r="W9" s="933">
        <v>0.08</v>
      </c>
      <c r="X9" s="933">
        <v>0.22</v>
      </c>
      <c r="Y9" s="933">
        <v>0.1</v>
      </c>
      <c r="Z9" s="933">
        <v>7.0000000000000007E-2</v>
      </c>
      <c r="AA9" s="933">
        <v>7.0000000000000007E-2</v>
      </c>
      <c r="AB9" s="934">
        <f t="shared" si="0"/>
        <v>1</v>
      </c>
    </row>
    <row r="10" spans="1:28" ht="45" customHeight="1">
      <c r="A10" s="496"/>
      <c r="B10" s="1488" t="s">
        <v>1093</v>
      </c>
      <c r="C10" s="1480" t="s">
        <v>1094</v>
      </c>
      <c r="D10" s="952" t="s">
        <v>1095</v>
      </c>
      <c r="E10" s="936">
        <v>1</v>
      </c>
      <c r="F10" s="455"/>
      <c r="H10" s="213"/>
      <c r="I10" s="213"/>
      <c r="J10" s="214"/>
      <c r="K10" s="215"/>
      <c r="L10" s="215"/>
      <c r="M10" s="164"/>
      <c r="N10" s="496"/>
      <c r="O10" s="496"/>
      <c r="P10" s="496"/>
      <c r="Q10" s="846"/>
      <c r="R10" s="496"/>
      <c r="S10" s="538" t="s">
        <v>1096</v>
      </c>
      <c r="T10" s="933">
        <v>0.1</v>
      </c>
      <c r="U10" s="933">
        <v>0.12</v>
      </c>
      <c r="V10" s="933">
        <v>0.24</v>
      </c>
      <c r="W10" s="933">
        <v>0.08</v>
      </c>
      <c r="X10" s="933">
        <v>0.21</v>
      </c>
      <c r="Y10" s="933">
        <v>0.1</v>
      </c>
      <c r="Z10" s="933">
        <v>0.08</v>
      </c>
      <c r="AA10" s="933">
        <v>7.0000000000000007E-2</v>
      </c>
      <c r="AB10" s="934">
        <f t="shared" si="0"/>
        <v>0.99999999999999978</v>
      </c>
    </row>
    <row r="11" spans="1:28" ht="45" customHeight="1">
      <c r="A11" s="496"/>
      <c r="B11" s="1489"/>
      <c r="C11" s="1481"/>
      <c r="D11" s="952" t="s">
        <v>1097</v>
      </c>
      <c r="E11" s="936">
        <v>1</v>
      </c>
      <c r="F11" s="455"/>
      <c r="H11" s="213"/>
      <c r="I11" s="213"/>
      <c r="J11" s="214"/>
      <c r="K11" s="215" t="str">
        <f t="shared" si="1"/>
        <v/>
      </c>
      <c r="L11" s="215" t="str">
        <f t="shared" si="2"/>
        <v/>
      </c>
      <c r="M11" s="164"/>
      <c r="N11" s="496" t="s">
        <v>266</v>
      </c>
      <c r="O11" s="496"/>
      <c r="P11" s="496"/>
      <c r="Q11" s="846"/>
      <c r="R11" s="496"/>
      <c r="S11" s="496"/>
      <c r="T11" s="496"/>
      <c r="U11" s="496"/>
      <c r="V11" s="496"/>
      <c r="W11" s="496"/>
      <c r="X11" s="496"/>
      <c r="Y11" s="496"/>
      <c r="Z11" s="496"/>
      <c r="AA11" s="496"/>
      <c r="AB11" s="496"/>
    </row>
    <row r="12" spans="1:28" ht="45" customHeight="1">
      <c r="A12" s="496"/>
      <c r="B12" s="211" t="s">
        <v>1098</v>
      </c>
      <c r="C12" s="952" t="s">
        <v>1099</v>
      </c>
      <c r="D12" s="952"/>
      <c r="E12" s="936">
        <v>1</v>
      </c>
      <c r="F12" s="455"/>
      <c r="H12" s="213"/>
      <c r="I12" s="213"/>
      <c r="J12" s="214"/>
      <c r="K12" s="215" t="str">
        <f t="shared" si="1"/>
        <v/>
      </c>
      <c r="L12" s="215" t="str">
        <f t="shared" si="2"/>
        <v/>
      </c>
      <c r="M12" s="164"/>
      <c r="N12" s="496" t="s">
        <v>274</v>
      </c>
      <c r="O12" s="496"/>
      <c r="P12" s="496"/>
      <c r="Q12" s="846"/>
      <c r="R12" s="496"/>
      <c r="S12" s="496"/>
      <c r="T12" s="496"/>
      <c r="U12" s="496"/>
      <c r="V12" s="496"/>
      <c r="W12" s="496"/>
      <c r="X12" s="496"/>
      <c r="Y12" s="496"/>
      <c r="Z12" s="496"/>
      <c r="AA12" s="496"/>
      <c r="AB12" s="496"/>
    </row>
    <row r="13" spans="1:28" ht="45" customHeight="1">
      <c r="A13" s="496"/>
      <c r="B13" s="211" t="s">
        <v>1100</v>
      </c>
      <c r="C13" s="952" t="s">
        <v>281</v>
      </c>
      <c r="D13" s="952"/>
      <c r="E13" s="936">
        <v>1</v>
      </c>
      <c r="F13" s="455"/>
      <c r="H13" s="213"/>
      <c r="I13" s="213"/>
      <c r="J13" s="214"/>
      <c r="K13" s="215" t="str">
        <f t="shared" si="1"/>
        <v/>
      </c>
      <c r="L13" s="215" t="str">
        <f t="shared" si="2"/>
        <v/>
      </c>
      <c r="M13" s="164"/>
      <c r="N13" s="496"/>
      <c r="O13" s="496"/>
      <c r="P13" s="496"/>
      <c r="Q13" s="846"/>
      <c r="R13" s="496"/>
      <c r="S13" s="496"/>
      <c r="T13" s="496"/>
      <c r="U13" s="496"/>
      <c r="V13" s="496"/>
      <c r="W13" s="496"/>
      <c r="X13" s="496"/>
      <c r="Y13" s="496"/>
      <c r="Z13" s="496"/>
      <c r="AA13" s="496"/>
      <c r="AB13" s="496"/>
    </row>
    <row r="14" spans="1:28" ht="45" customHeight="1">
      <c r="A14" s="496"/>
      <c r="B14" s="1488" t="s">
        <v>1101</v>
      </c>
      <c r="C14" s="1480" t="s">
        <v>1102</v>
      </c>
      <c r="D14" s="952" t="s">
        <v>1272</v>
      </c>
      <c r="E14" s="936">
        <v>1</v>
      </c>
      <c r="F14" s="455"/>
      <c r="H14" s="213"/>
      <c r="I14" s="213"/>
      <c r="J14" s="214"/>
      <c r="K14" s="215"/>
      <c r="L14" s="215"/>
      <c r="M14" s="164"/>
      <c r="N14" s="496"/>
      <c r="O14" s="496"/>
      <c r="P14" s="496"/>
      <c r="Q14" s="846"/>
      <c r="R14" s="496"/>
      <c r="S14" s="496"/>
      <c r="T14" s="496"/>
      <c r="U14" s="496"/>
      <c r="V14" s="496"/>
      <c r="W14" s="496"/>
      <c r="X14" s="496"/>
      <c r="Y14" s="496"/>
      <c r="Z14" s="496"/>
      <c r="AA14" s="496"/>
      <c r="AB14" s="496"/>
    </row>
    <row r="15" spans="1:28" ht="45" customHeight="1">
      <c r="A15" s="496"/>
      <c r="B15" s="1489"/>
      <c r="C15" s="1481"/>
      <c r="D15" s="952" t="s">
        <v>1333</v>
      </c>
      <c r="E15" s="936">
        <v>1</v>
      </c>
      <c r="F15" s="455"/>
      <c r="H15" s="213"/>
      <c r="I15" s="213"/>
      <c r="J15" s="214"/>
      <c r="K15" s="215" t="str">
        <f t="shared" si="1"/>
        <v/>
      </c>
      <c r="L15" s="215" t="str">
        <f t="shared" si="2"/>
        <v/>
      </c>
      <c r="M15" s="164"/>
      <c r="N15" s="496"/>
      <c r="O15" s="496"/>
      <c r="P15" s="496"/>
      <c r="Q15" s="846"/>
      <c r="R15" s="496"/>
      <c r="S15" s="496"/>
      <c r="T15" s="496"/>
      <c r="U15" s="496"/>
      <c r="V15" s="496"/>
      <c r="W15" s="496"/>
      <c r="X15" s="496"/>
      <c r="Y15" s="496"/>
      <c r="Z15" s="496"/>
      <c r="AA15" s="496"/>
      <c r="AB15" s="496"/>
    </row>
    <row r="16" spans="1:28" ht="45" customHeight="1">
      <c r="A16" s="496"/>
      <c r="B16" s="211" t="s">
        <v>1103</v>
      </c>
      <c r="C16" s="952" t="s">
        <v>680</v>
      </c>
      <c r="D16" s="952"/>
      <c r="E16" s="936">
        <v>2</v>
      </c>
      <c r="F16" s="455"/>
      <c r="H16" s="213"/>
      <c r="I16" s="213"/>
      <c r="J16" s="214"/>
      <c r="K16" s="215" t="str">
        <f t="shared" si="1"/>
        <v/>
      </c>
      <c r="L16" s="215" t="str">
        <f t="shared" si="2"/>
        <v/>
      </c>
      <c r="M16" s="164"/>
      <c r="N16" s="496"/>
      <c r="O16" s="496"/>
      <c r="P16" s="496"/>
      <c r="Q16" s="846"/>
      <c r="R16" s="496"/>
      <c r="S16" s="496"/>
      <c r="T16" s="496"/>
      <c r="U16" s="496"/>
      <c r="V16" s="496"/>
      <c r="W16" s="496"/>
      <c r="X16" s="496"/>
      <c r="Y16" s="496"/>
      <c r="Z16" s="496"/>
      <c r="AA16" s="496"/>
      <c r="AB16" s="496"/>
    </row>
    <row r="17" spans="2:17" ht="45" customHeight="1">
      <c r="B17" s="211" t="s">
        <v>1104</v>
      </c>
      <c r="C17" s="952" t="s">
        <v>785</v>
      </c>
      <c r="D17" s="952"/>
      <c r="E17" s="936">
        <v>2</v>
      </c>
      <c r="F17" s="455"/>
      <c r="H17" s="213"/>
      <c r="I17" s="213"/>
      <c r="J17" s="214"/>
      <c r="K17" s="215" t="str">
        <f t="shared" si="1"/>
        <v/>
      </c>
      <c r="L17" s="215" t="str">
        <f t="shared" si="2"/>
        <v/>
      </c>
      <c r="M17" s="164"/>
      <c r="N17" s="496"/>
      <c r="O17" s="496"/>
      <c r="P17" s="496"/>
      <c r="Q17" s="846"/>
    </row>
    <row r="18" spans="2:17" ht="45" customHeight="1">
      <c r="B18" s="1488" t="s">
        <v>1334</v>
      </c>
      <c r="C18" s="1480" t="s">
        <v>1335</v>
      </c>
      <c r="D18" s="952" t="s">
        <v>1336</v>
      </c>
      <c r="E18" s="936">
        <v>1</v>
      </c>
      <c r="F18" s="455"/>
      <c r="H18" s="213"/>
      <c r="I18" s="213"/>
      <c r="J18" s="214"/>
      <c r="K18" s="215"/>
      <c r="L18" s="215"/>
      <c r="M18" s="164"/>
      <c r="N18" s="496"/>
      <c r="O18" s="496"/>
      <c r="P18" s="496"/>
      <c r="Q18" s="846"/>
    </row>
    <row r="19" spans="2:17" ht="45" customHeight="1">
      <c r="B19" s="1489"/>
      <c r="C19" s="1481"/>
      <c r="D19" s="952" t="s">
        <v>1337</v>
      </c>
      <c r="E19" s="936">
        <v>1</v>
      </c>
      <c r="F19" s="455"/>
      <c r="H19" s="213"/>
      <c r="I19" s="213"/>
      <c r="J19" s="214"/>
      <c r="K19" s="215" t="str">
        <f t="shared" si="1"/>
        <v/>
      </c>
      <c r="L19" s="215" t="str">
        <f t="shared" si="2"/>
        <v/>
      </c>
      <c r="M19" s="164"/>
      <c r="N19" s="496"/>
      <c r="O19" s="496"/>
      <c r="P19" s="496"/>
      <c r="Q19" s="846"/>
    </row>
    <row r="20" spans="2:17" ht="45" customHeight="1">
      <c r="B20" s="211" t="s">
        <v>1105</v>
      </c>
      <c r="C20" s="952" t="s">
        <v>1106</v>
      </c>
      <c r="D20" s="952"/>
      <c r="E20" s="936">
        <v>1</v>
      </c>
      <c r="F20" s="455"/>
      <c r="H20" s="213"/>
      <c r="I20" s="213"/>
      <c r="J20" s="214"/>
      <c r="K20" s="215" t="str">
        <f t="shared" si="1"/>
        <v/>
      </c>
      <c r="L20" s="215" t="str">
        <f t="shared" si="2"/>
        <v/>
      </c>
      <c r="M20" s="164"/>
      <c r="N20" s="496"/>
      <c r="O20" s="496"/>
      <c r="P20" s="496"/>
      <c r="Q20" s="846"/>
    </row>
    <row r="21" spans="2:17" ht="45" customHeight="1">
      <c r="B21" s="176" t="s">
        <v>963</v>
      </c>
      <c r="C21" s="176"/>
      <c r="D21" s="176"/>
      <c r="E21" s="85">
        <f>SUM(E9:E20)</f>
        <v>15</v>
      </c>
      <c r="F21" s="216" t="str">
        <f>IFERROR(SUM(F9:F20)/E21*E8*100,"")</f>
        <v/>
      </c>
      <c r="H21" s="217"/>
      <c r="I21" s="218"/>
      <c r="J21" s="217"/>
      <c r="K21" s="219"/>
      <c r="L21" s="220"/>
      <c r="M21" s="164"/>
      <c r="N21" s="496"/>
      <c r="O21" s="496"/>
      <c r="P21" s="496"/>
      <c r="Q21" s="846"/>
    </row>
    <row r="22" spans="2:17" ht="45" customHeight="1">
      <c r="B22" s="221"/>
      <c r="C22" s="222"/>
      <c r="D22" s="222"/>
      <c r="E22" s="196"/>
      <c r="F22" s="196"/>
      <c r="H22" s="223"/>
      <c r="I22" s="224"/>
      <c r="J22" s="223"/>
      <c r="K22" s="225"/>
      <c r="L22" s="31"/>
      <c r="M22" s="164"/>
      <c r="N22" s="496"/>
      <c r="O22" s="496"/>
      <c r="P22" s="496"/>
      <c r="Q22" s="846"/>
    </row>
    <row r="23" spans="2:17" ht="45" customHeight="1">
      <c r="B23" s="204" t="s">
        <v>306</v>
      </c>
      <c r="C23" s="205"/>
      <c r="D23" s="206" t="s">
        <v>1089</v>
      </c>
      <c r="E23" s="207" t="str">
        <f>IFERROR(VLOOKUP($F$2,$S$3:$AA$10,3,FALSE),"")</f>
        <v/>
      </c>
      <c r="F23" s="208"/>
      <c r="H23" s="226"/>
      <c r="I23" s="226"/>
      <c r="J23" s="226"/>
      <c r="K23" s="227"/>
      <c r="L23" s="227"/>
      <c r="M23" s="164"/>
      <c r="N23" s="496"/>
      <c r="O23" s="496"/>
      <c r="P23" s="496"/>
      <c r="Q23" s="846"/>
    </row>
    <row r="24" spans="2:17" ht="45" customHeight="1">
      <c r="B24" s="211" t="s">
        <v>1116</v>
      </c>
      <c r="C24" s="952" t="s">
        <v>1117</v>
      </c>
      <c r="D24" s="952"/>
      <c r="E24" s="936">
        <v>3</v>
      </c>
      <c r="F24" s="455"/>
      <c r="H24" s="213"/>
      <c r="I24" s="213"/>
      <c r="J24" s="214"/>
      <c r="K24" s="215" t="str">
        <f t="shared" ref="K24:K35" si="3">IF(ISBLANK($F24)=FALSE,IF(H24="","No","Yes"),"")</f>
        <v/>
      </c>
      <c r="L24" s="215" t="str">
        <f t="shared" ref="L24:L35" si="4">IF(ISBLANK($F24)=FALSE,IF(I24="","No","Yes"),"")</f>
        <v/>
      </c>
      <c r="M24" s="164"/>
      <c r="N24" s="496"/>
      <c r="O24" s="496"/>
      <c r="P24" s="496"/>
      <c r="Q24" s="846"/>
    </row>
    <row r="25" spans="2:17" ht="45" customHeight="1">
      <c r="B25" s="211" t="s">
        <v>1118</v>
      </c>
      <c r="C25" s="952" t="s">
        <v>1119</v>
      </c>
      <c r="D25" s="952"/>
      <c r="E25" s="936">
        <v>1</v>
      </c>
      <c r="F25" s="455"/>
      <c r="H25" s="213"/>
      <c r="I25" s="213"/>
      <c r="J25" s="214"/>
      <c r="K25" s="215" t="str">
        <f t="shared" si="3"/>
        <v/>
      </c>
      <c r="L25" s="215" t="str">
        <f t="shared" si="4"/>
        <v/>
      </c>
      <c r="M25" s="164"/>
      <c r="N25" s="496"/>
      <c r="O25" s="496"/>
      <c r="P25" s="496"/>
      <c r="Q25" s="846"/>
    </row>
    <row r="26" spans="2:17" ht="45" customHeight="1">
      <c r="B26" s="211" t="s">
        <v>1120</v>
      </c>
      <c r="C26" s="952" t="s">
        <v>1338</v>
      </c>
      <c r="D26" s="952"/>
      <c r="E26" s="936">
        <v>1</v>
      </c>
      <c r="F26" s="455"/>
      <c r="H26" s="213"/>
      <c r="I26" s="213"/>
      <c r="J26" s="214"/>
      <c r="K26" s="215" t="str">
        <f t="shared" si="3"/>
        <v/>
      </c>
      <c r="L26" s="215" t="str">
        <f t="shared" si="4"/>
        <v/>
      </c>
      <c r="M26" s="164"/>
      <c r="N26" s="496"/>
      <c r="O26" s="496"/>
      <c r="P26" s="496"/>
      <c r="Q26" s="846"/>
    </row>
    <row r="27" spans="2:17" ht="45" customHeight="1">
      <c r="B27" s="211" t="s">
        <v>1122</v>
      </c>
      <c r="C27" s="952" t="s">
        <v>326</v>
      </c>
      <c r="D27" s="952"/>
      <c r="E27" s="936">
        <v>1</v>
      </c>
      <c r="F27" s="455"/>
      <c r="H27" s="213"/>
      <c r="I27" s="213"/>
      <c r="J27" s="214"/>
      <c r="K27" s="215" t="str">
        <f t="shared" si="3"/>
        <v/>
      </c>
      <c r="L27" s="215" t="str">
        <f t="shared" si="4"/>
        <v/>
      </c>
      <c r="M27" s="164"/>
      <c r="N27" s="496"/>
      <c r="O27" s="496"/>
      <c r="P27" s="496"/>
      <c r="Q27" s="846"/>
    </row>
    <row r="28" spans="2:17" ht="45" customHeight="1">
      <c r="B28" s="211" t="s">
        <v>1123</v>
      </c>
      <c r="C28" s="952" t="s">
        <v>332</v>
      </c>
      <c r="D28" s="952"/>
      <c r="E28" s="936">
        <v>1</v>
      </c>
      <c r="F28" s="455"/>
      <c r="H28" s="213"/>
      <c r="I28" s="213"/>
      <c r="J28" s="214"/>
      <c r="K28" s="215" t="str">
        <f t="shared" si="3"/>
        <v/>
      </c>
      <c r="L28" s="215" t="str">
        <f t="shared" si="4"/>
        <v/>
      </c>
      <c r="M28" s="164"/>
      <c r="N28" s="496"/>
      <c r="O28" s="496"/>
      <c r="P28" s="496"/>
      <c r="Q28" s="846"/>
    </row>
    <row r="29" spans="2:17" ht="45" customHeight="1">
      <c r="B29" s="211" t="s">
        <v>1124</v>
      </c>
      <c r="C29" s="952" t="s">
        <v>597</v>
      </c>
      <c r="D29" s="952"/>
      <c r="E29" s="936">
        <v>1</v>
      </c>
      <c r="F29" s="455"/>
      <c r="H29" s="213"/>
      <c r="I29" s="213"/>
      <c r="J29" s="214"/>
      <c r="K29" s="215" t="str">
        <f>IF(OR(ISBLANK($F29)=FALSE,$Q29=TRUE),IF(H29="","No","Yes"),"")</f>
        <v/>
      </c>
      <c r="L29" s="215" t="str">
        <f>IF(ISBLANK($F29)=FALSE,IF(I29="","No","Yes"),IF($Q29=TRUE,"NA",""))</f>
        <v/>
      </c>
      <c r="M29" s="164"/>
      <c r="N29" s="496"/>
      <c r="O29" s="496"/>
      <c r="P29" s="496" t="s">
        <v>242</v>
      </c>
      <c r="Q29" s="846" t="b">
        <v>0</v>
      </c>
    </row>
    <row r="30" spans="2:17" ht="45" customHeight="1">
      <c r="B30" s="211" t="s">
        <v>1125</v>
      </c>
      <c r="C30" s="952" t="s">
        <v>314</v>
      </c>
      <c r="D30" s="952"/>
      <c r="E30" s="936">
        <v>1</v>
      </c>
      <c r="F30" s="455"/>
      <c r="H30" s="213"/>
      <c r="I30" s="213"/>
      <c r="J30" s="214"/>
      <c r="K30" s="215" t="str">
        <f>IF(OR(ISBLANK($F30)=FALSE,$Q30=TRUE),IF(H30="","No","Yes"),"")</f>
        <v/>
      </c>
      <c r="L30" s="215" t="str">
        <f>IF(ISBLANK($F30)=FALSE,IF(I30="","No","Yes"),IF($Q30=TRUE,"NA",""))</f>
        <v/>
      </c>
      <c r="M30" s="164"/>
      <c r="N30" s="496"/>
      <c r="O30" s="496"/>
      <c r="P30" s="496" t="s">
        <v>242</v>
      </c>
      <c r="Q30" s="846" t="b">
        <v>0</v>
      </c>
    </row>
    <row r="31" spans="2:17" ht="45" customHeight="1">
      <c r="B31" s="1488" t="s">
        <v>1126</v>
      </c>
      <c r="C31" s="1480" t="s">
        <v>1127</v>
      </c>
      <c r="D31" s="952" t="s">
        <v>1128</v>
      </c>
      <c r="E31" s="936">
        <v>1</v>
      </c>
      <c r="F31" s="455"/>
      <c r="H31" s="213"/>
      <c r="I31" s="213"/>
      <c r="J31" s="214"/>
      <c r="K31" s="215"/>
      <c r="L31" s="215"/>
      <c r="M31" s="164"/>
      <c r="N31" s="496"/>
      <c r="O31" s="496"/>
      <c r="P31" s="496"/>
      <c r="Q31" s="846"/>
    </row>
    <row r="32" spans="2:17" ht="45" customHeight="1">
      <c r="B32" s="1490"/>
      <c r="C32" s="1483"/>
      <c r="D32" s="952" t="s">
        <v>1260</v>
      </c>
      <c r="E32" s="936">
        <v>1</v>
      </c>
      <c r="F32" s="455"/>
      <c r="H32" s="213"/>
      <c r="I32" s="213"/>
      <c r="J32" s="214"/>
      <c r="K32" s="215" t="str">
        <f>IF(OR(ISBLANK($F32)=FALSE,$Q32=TRUE),IF(H32="","No","Yes"),"")</f>
        <v/>
      </c>
      <c r="L32" s="215" t="str">
        <f>IF(ISBLANK($F32)=FALSE,IF(I32="","No","Yes"),IF($Q32=TRUE,"NA",""))</f>
        <v/>
      </c>
      <c r="M32" s="164"/>
      <c r="N32" s="496"/>
      <c r="O32" s="496"/>
      <c r="P32" s="496" t="s">
        <v>242</v>
      </c>
      <c r="Q32" s="846" t="b">
        <v>0</v>
      </c>
    </row>
    <row r="33" spans="2:17" ht="45" customHeight="1">
      <c r="B33" s="1489"/>
      <c r="C33" s="1481"/>
      <c r="D33" s="952" t="s">
        <v>1129</v>
      </c>
      <c r="E33" s="936">
        <v>1</v>
      </c>
      <c r="F33" s="455"/>
      <c r="H33" s="213"/>
      <c r="I33" s="213"/>
      <c r="J33" s="214"/>
      <c r="K33" s="215" t="str">
        <f>IF(OR(ISBLANK($F33)=FALSE,$Q33=TRUE),IF(H33="","No","Yes"),"")</f>
        <v/>
      </c>
      <c r="L33" s="215" t="str">
        <f>IF(ISBLANK($F33)=FALSE,IF(I33="","No","Yes"),IF($Q33=TRUE,"NA",""))</f>
        <v/>
      </c>
      <c r="M33" s="164"/>
      <c r="N33" s="496"/>
      <c r="O33" s="496"/>
      <c r="P33" s="496" t="s">
        <v>242</v>
      </c>
      <c r="Q33" s="846" t="b">
        <v>0</v>
      </c>
    </row>
    <row r="34" spans="2:17" ht="45" customHeight="1">
      <c r="B34" s="211" t="s">
        <v>1132</v>
      </c>
      <c r="C34" s="952" t="s">
        <v>1133</v>
      </c>
      <c r="D34" s="952"/>
      <c r="E34" s="936">
        <v>1</v>
      </c>
      <c r="F34" s="455"/>
      <c r="H34" s="213"/>
      <c r="I34" s="213"/>
      <c r="J34" s="214"/>
      <c r="K34" s="215" t="str">
        <f>IF(OR(ISBLANK($F34)=FALSE,$Q34=TRUE),IF(H34="","No","Yes"),"")</f>
        <v/>
      </c>
      <c r="L34" s="215" t="str">
        <f>IF(ISBLANK($F34)=FALSE,IF(I34="","No","Yes"),IF($Q34=TRUE,"NA",""))</f>
        <v/>
      </c>
      <c r="M34" s="164"/>
      <c r="N34" s="496"/>
      <c r="O34" s="496"/>
      <c r="P34" s="496" t="s">
        <v>242</v>
      </c>
      <c r="Q34" s="846" t="b">
        <v>0</v>
      </c>
    </row>
    <row r="35" spans="2:17" ht="45" customHeight="1">
      <c r="B35" s="211" t="s">
        <v>1134</v>
      </c>
      <c r="C35" s="952" t="s">
        <v>1135</v>
      </c>
      <c r="D35" s="952"/>
      <c r="E35" s="936">
        <v>1</v>
      </c>
      <c r="F35" s="455"/>
      <c r="H35" s="213"/>
      <c r="I35" s="213"/>
      <c r="J35" s="214"/>
      <c r="K35" s="215" t="str">
        <f t="shared" si="3"/>
        <v/>
      </c>
      <c r="L35" s="215" t="str">
        <f t="shared" si="4"/>
        <v/>
      </c>
      <c r="M35" s="164"/>
      <c r="N35" s="496"/>
      <c r="O35" s="496"/>
      <c r="P35" s="496"/>
      <c r="Q35" s="846"/>
    </row>
    <row r="36" spans="2:17" ht="45" customHeight="1">
      <c r="B36" s="176" t="s">
        <v>963</v>
      </c>
      <c r="C36" s="176"/>
      <c r="D36" s="176"/>
      <c r="E36" s="85">
        <f>SUM(E24:E35)</f>
        <v>14</v>
      </c>
      <c r="F36" s="216" t="str">
        <f>IFERROR(SUM(F24:F35)/E36*E23*100,"")</f>
        <v/>
      </c>
      <c r="H36" s="217"/>
      <c r="I36" s="217"/>
      <c r="J36" s="217"/>
      <c r="K36" s="219"/>
      <c r="L36" s="220"/>
      <c r="M36" s="164"/>
      <c r="N36" s="496"/>
      <c r="O36" s="496"/>
      <c r="P36" s="496"/>
      <c r="Q36" s="846"/>
    </row>
    <row r="37" spans="2:17" ht="45" customHeight="1">
      <c r="B37" s="221"/>
      <c r="C37" s="222"/>
      <c r="D37" s="222"/>
      <c r="E37" s="196"/>
      <c r="F37" s="196"/>
      <c r="H37" s="223"/>
      <c r="I37" s="223"/>
      <c r="J37" s="223"/>
      <c r="K37" s="225"/>
      <c r="L37" s="31"/>
      <c r="M37" s="164"/>
      <c r="N37" s="496"/>
      <c r="O37" s="496"/>
      <c r="P37" s="496"/>
      <c r="Q37" s="846"/>
    </row>
    <row r="38" spans="2:17" ht="45" customHeight="1">
      <c r="B38" s="204" t="s">
        <v>335</v>
      </c>
      <c r="C38" s="205" t="s">
        <v>1115</v>
      </c>
      <c r="D38" s="206" t="s">
        <v>1089</v>
      </c>
      <c r="E38" s="207" t="str">
        <f>IFERROR(VLOOKUP($F$2,$S$3:$AA$10,4,FALSE),"")</f>
        <v/>
      </c>
      <c r="F38" s="208"/>
      <c r="H38" s="226"/>
      <c r="I38" s="226"/>
      <c r="J38" s="226"/>
      <c r="K38" s="227"/>
      <c r="L38" s="227"/>
      <c r="M38" s="164"/>
      <c r="N38" s="496"/>
      <c r="O38" s="496"/>
      <c r="P38" s="496"/>
      <c r="Q38" s="846"/>
    </row>
    <row r="39" spans="2:17" ht="45" customHeight="1">
      <c r="B39" s="211" t="s">
        <v>1153</v>
      </c>
      <c r="C39" s="952" t="s">
        <v>336</v>
      </c>
      <c r="D39" s="952"/>
      <c r="E39" s="936">
        <v>20</v>
      </c>
      <c r="F39" s="455"/>
      <c r="H39" s="213"/>
      <c r="I39" s="213"/>
      <c r="J39" s="214"/>
      <c r="K39" s="215" t="str">
        <f t="shared" ref="K39:L42" si="5">IF(ISBLANK($F39)=FALSE,IF(H39="","No","Yes"),"")</f>
        <v/>
      </c>
      <c r="L39" s="215" t="str">
        <f t="shared" si="5"/>
        <v/>
      </c>
      <c r="M39" s="164"/>
      <c r="N39" s="496"/>
      <c r="O39" s="496"/>
      <c r="P39" s="496"/>
      <c r="Q39" s="846"/>
    </row>
    <row r="40" spans="2:17" ht="45" customHeight="1">
      <c r="B40" s="1488" t="s">
        <v>1154</v>
      </c>
      <c r="C40" s="1480" t="s">
        <v>1155</v>
      </c>
      <c r="D40" s="952" t="s">
        <v>1339</v>
      </c>
      <c r="E40" s="936">
        <v>1</v>
      </c>
      <c r="F40" s="455"/>
      <c r="H40" s="213"/>
      <c r="I40" s="213"/>
      <c r="J40" s="214"/>
      <c r="K40" s="215"/>
      <c r="L40" s="215"/>
      <c r="M40" s="164"/>
      <c r="N40" s="496"/>
      <c r="O40" s="496"/>
      <c r="P40" s="496"/>
      <c r="Q40" s="846"/>
    </row>
    <row r="41" spans="2:17" ht="45" customHeight="1">
      <c r="B41" s="1489"/>
      <c r="C41" s="1481"/>
      <c r="D41" s="952" t="s">
        <v>1340</v>
      </c>
      <c r="E41" s="936">
        <v>1</v>
      </c>
      <c r="F41" s="455"/>
      <c r="H41" s="213"/>
      <c r="I41" s="213"/>
      <c r="J41" s="214"/>
      <c r="K41" s="215" t="str">
        <f t="shared" si="5"/>
        <v/>
      </c>
      <c r="L41" s="215" t="str">
        <f t="shared" si="5"/>
        <v/>
      </c>
      <c r="M41" s="164"/>
      <c r="N41" s="496"/>
      <c r="O41" s="496"/>
      <c r="P41" s="496"/>
      <c r="Q41" s="846"/>
    </row>
    <row r="42" spans="2:17" ht="45" customHeight="1">
      <c r="B42" s="211" t="s">
        <v>1156</v>
      </c>
      <c r="C42" s="952" t="s">
        <v>1157</v>
      </c>
      <c r="D42" s="952"/>
      <c r="E42" s="936">
        <v>2</v>
      </c>
      <c r="F42" s="455"/>
      <c r="H42" s="213"/>
      <c r="I42" s="213"/>
      <c r="J42" s="214"/>
      <c r="K42" s="215" t="str">
        <f t="shared" si="5"/>
        <v/>
      </c>
      <c r="L42" s="215" t="str">
        <f t="shared" si="5"/>
        <v/>
      </c>
      <c r="M42" s="164"/>
      <c r="N42" s="496"/>
      <c r="O42" s="496"/>
      <c r="P42" s="496"/>
      <c r="Q42" s="846"/>
    </row>
    <row r="43" spans="2:17" ht="45" customHeight="1">
      <c r="B43" s="211" t="s">
        <v>1160</v>
      </c>
      <c r="C43" s="952" t="s">
        <v>1161</v>
      </c>
      <c r="D43" s="952"/>
      <c r="E43" s="936">
        <v>3</v>
      </c>
      <c r="F43" s="455"/>
      <c r="H43" s="213"/>
      <c r="I43" s="213"/>
      <c r="J43" s="214"/>
      <c r="K43" s="215" t="str">
        <f>IF(OR(ISBLANK($F43)=FALSE,$Q43=TRUE),IF(H43="","No","Yes"),"")</f>
        <v/>
      </c>
      <c r="L43" s="215" t="str">
        <f>IF(ISBLANK($F43)=FALSE,IF(I43="","No","Yes"),IF($Q43=TRUE,"NA",""))</f>
        <v/>
      </c>
      <c r="M43" s="164"/>
      <c r="N43" s="496"/>
      <c r="O43" s="496"/>
      <c r="P43" s="496" t="s">
        <v>242</v>
      </c>
      <c r="Q43" s="846" t="b">
        <v>0</v>
      </c>
    </row>
    <row r="44" spans="2:17" ht="45" customHeight="1">
      <c r="B44" s="176" t="s">
        <v>963</v>
      </c>
      <c r="C44" s="176"/>
      <c r="D44" s="176"/>
      <c r="E44" s="85">
        <f>SUM(E39:E43)</f>
        <v>27</v>
      </c>
      <c r="F44" s="216" t="str">
        <f>IFERROR(SUM(F39:F43)/E44*E38*100,"")</f>
        <v/>
      </c>
      <c r="H44" s="217"/>
      <c r="I44" s="217"/>
      <c r="J44" s="217"/>
      <c r="K44" s="219"/>
      <c r="L44" s="220"/>
      <c r="M44" s="164"/>
      <c r="N44" s="496"/>
      <c r="O44" s="496"/>
      <c r="P44" s="496"/>
      <c r="Q44" s="846"/>
    </row>
    <row r="45" spans="2:17" ht="45" customHeight="1">
      <c r="B45" s="221"/>
      <c r="C45" s="222"/>
      <c r="D45" s="222"/>
      <c r="E45" s="196"/>
      <c r="F45" s="196"/>
      <c r="H45" s="223"/>
      <c r="I45" s="223"/>
      <c r="J45" s="223"/>
      <c r="K45" s="225"/>
      <c r="L45" s="31"/>
      <c r="M45" s="164"/>
      <c r="N45" s="496"/>
      <c r="O45" s="496"/>
      <c r="P45" s="496"/>
      <c r="Q45" s="846"/>
    </row>
    <row r="46" spans="2:17" ht="45" customHeight="1">
      <c r="B46" s="204" t="s">
        <v>345</v>
      </c>
      <c r="C46" s="205" t="s">
        <v>1115</v>
      </c>
      <c r="D46" s="206" t="s">
        <v>1089</v>
      </c>
      <c r="E46" s="207" t="str">
        <f>IFERROR(VLOOKUP($F$2,$S$3:$AA$10,5,FALSE),"")</f>
        <v/>
      </c>
      <c r="F46" s="208"/>
      <c r="H46" s="226"/>
      <c r="I46" s="226"/>
      <c r="J46" s="226"/>
      <c r="K46" s="227"/>
      <c r="L46" s="227"/>
      <c r="M46" s="164"/>
      <c r="N46" s="496"/>
      <c r="O46" s="496"/>
      <c r="P46" s="496"/>
      <c r="Q46" s="846"/>
    </row>
    <row r="47" spans="2:17" ht="45" customHeight="1">
      <c r="B47" s="211" t="s">
        <v>1164</v>
      </c>
      <c r="C47" s="952" t="s">
        <v>1165</v>
      </c>
      <c r="D47" s="952"/>
      <c r="E47" s="936">
        <v>2</v>
      </c>
      <c r="F47" s="455"/>
      <c r="H47" s="213"/>
      <c r="I47" s="213"/>
      <c r="J47" s="214"/>
      <c r="K47" s="215" t="str">
        <f>IF(OR(ISBLANK($F47)=FALSE,$Q47=TRUE),IF(H47="","No","Yes"),"")</f>
        <v/>
      </c>
      <c r="L47" s="215" t="str">
        <f>IF(ISBLANK($F47)=FALSE,IF(I47="","No","Yes"),IF($Q47=TRUE,"NA",""))</f>
        <v/>
      </c>
      <c r="M47" s="164"/>
      <c r="N47" s="496"/>
      <c r="O47" s="496"/>
      <c r="P47" s="496" t="s">
        <v>242</v>
      </c>
      <c r="Q47" s="846" t="b">
        <v>0</v>
      </c>
    </row>
    <row r="48" spans="2:17" ht="45" customHeight="1">
      <c r="B48" s="211" t="s">
        <v>1166</v>
      </c>
      <c r="C48" s="952" t="s">
        <v>1327</v>
      </c>
      <c r="D48" s="952"/>
      <c r="E48" s="936">
        <v>1</v>
      </c>
      <c r="F48" s="455"/>
      <c r="H48" s="213"/>
      <c r="I48" s="213"/>
      <c r="J48" s="214"/>
      <c r="K48" s="215" t="str">
        <f>IF(OR(ISBLANK($F48)=FALSE,$Q48=TRUE),IF(H48="","No","Yes"),"")</f>
        <v/>
      </c>
      <c r="L48" s="215" t="str">
        <f>IF(ISBLANK($F48)=FALSE,IF(I48="","No","Yes"),IF($Q48=TRUE,"NA",""))</f>
        <v/>
      </c>
      <c r="M48" s="164"/>
      <c r="N48" s="496"/>
      <c r="O48" s="496"/>
      <c r="P48" s="496" t="s">
        <v>242</v>
      </c>
      <c r="Q48" s="846" t="b">
        <v>0</v>
      </c>
    </row>
    <row r="49" spans="2:17" ht="45" customHeight="1">
      <c r="B49" s="1488" t="s">
        <v>1168</v>
      </c>
      <c r="C49" s="1480" t="s">
        <v>1169</v>
      </c>
      <c r="D49" s="952" t="s">
        <v>1270</v>
      </c>
      <c r="E49" s="936">
        <v>2</v>
      </c>
      <c r="F49" s="455"/>
      <c r="H49" s="213"/>
      <c r="I49" s="213"/>
      <c r="J49" s="214"/>
      <c r="K49" s="215"/>
      <c r="L49" s="215"/>
      <c r="M49" s="164"/>
      <c r="N49" s="496"/>
      <c r="O49" s="496"/>
      <c r="P49" s="496"/>
      <c r="Q49" s="846"/>
    </row>
    <row r="50" spans="2:17" ht="45" customHeight="1">
      <c r="B50" s="1489"/>
      <c r="C50" s="1481"/>
      <c r="D50" s="952" t="s">
        <v>1171</v>
      </c>
      <c r="E50" s="936">
        <v>1</v>
      </c>
      <c r="F50" s="455"/>
      <c r="H50" s="213"/>
      <c r="I50" s="213"/>
      <c r="J50" s="214"/>
      <c r="K50" s="215" t="str">
        <f t="shared" ref="K50:L52" si="6">IF(ISBLANK($F50)=FALSE,IF(H50="","No","Yes"),"")</f>
        <v/>
      </c>
      <c r="L50" s="215" t="str">
        <f t="shared" si="6"/>
        <v/>
      </c>
      <c r="M50" s="164"/>
      <c r="N50" s="496"/>
      <c r="O50" s="496"/>
      <c r="P50" s="496"/>
      <c r="Q50" s="846"/>
    </row>
    <row r="51" spans="2:17" ht="45" customHeight="1">
      <c r="B51" s="211" t="s">
        <v>1172</v>
      </c>
      <c r="C51" s="952" t="s">
        <v>985</v>
      </c>
      <c r="D51" s="952"/>
      <c r="E51" s="936">
        <v>5</v>
      </c>
      <c r="F51" s="455"/>
      <c r="H51" s="213"/>
      <c r="I51" s="213"/>
      <c r="J51" s="214"/>
      <c r="K51" s="215" t="str">
        <f t="shared" si="6"/>
        <v/>
      </c>
      <c r="L51" s="215" t="str">
        <f t="shared" si="6"/>
        <v/>
      </c>
      <c r="M51" s="164"/>
      <c r="N51" s="496"/>
      <c r="O51" s="496"/>
      <c r="P51" s="496"/>
      <c r="Q51" s="846"/>
    </row>
    <row r="52" spans="2:17" ht="45" customHeight="1">
      <c r="B52" s="211" t="s">
        <v>1341</v>
      </c>
      <c r="C52" s="952" t="s">
        <v>1342</v>
      </c>
      <c r="D52" s="952"/>
      <c r="E52" s="936">
        <v>1</v>
      </c>
      <c r="F52" s="455"/>
      <c r="H52" s="213"/>
      <c r="I52" s="213"/>
      <c r="J52" s="214"/>
      <c r="K52" s="215" t="str">
        <f t="shared" si="6"/>
        <v/>
      </c>
      <c r="L52" s="215" t="str">
        <f t="shared" si="6"/>
        <v/>
      </c>
      <c r="M52" s="164"/>
      <c r="N52" s="496"/>
      <c r="O52" s="496"/>
      <c r="P52" s="496"/>
      <c r="Q52" s="846"/>
    </row>
    <row r="53" spans="2:17" ht="45" customHeight="1">
      <c r="B53" s="176" t="s">
        <v>963</v>
      </c>
      <c r="C53" s="176"/>
      <c r="D53" s="176"/>
      <c r="E53" s="85">
        <f>SUM(E47:E52)</f>
        <v>12</v>
      </c>
      <c r="F53" s="216" t="str">
        <f>IFERROR(SUM(F47:F52)/E53*E46*100,"")</f>
        <v/>
      </c>
      <c r="H53" s="217"/>
      <c r="I53" s="217"/>
      <c r="J53" s="217"/>
      <c r="K53" s="219"/>
      <c r="L53" s="220"/>
      <c r="M53" s="164"/>
      <c r="N53" s="496"/>
      <c r="O53" s="496"/>
      <c r="P53" s="496"/>
      <c r="Q53" s="846"/>
    </row>
    <row r="54" spans="2:17" ht="45" customHeight="1">
      <c r="B54" s="221"/>
      <c r="C54" s="222"/>
      <c r="D54" s="222"/>
      <c r="E54" s="196"/>
      <c r="F54" s="196"/>
      <c r="H54" s="223"/>
      <c r="I54" s="223"/>
      <c r="J54" s="223"/>
      <c r="K54" s="225"/>
      <c r="L54" s="31"/>
      <c r="M54" s="164"/>
      <c r="N54" s="496"/>
      <c r="O54" s="496"/>
      <c r="P54" s="496"/>
      <c r="Q54" s="846"/>
    </row>
    <row r="55" spans="2:17" ht="45" customHeight="1">
      <c r="B55" s="204" t="s">
        <v>353</v>
      </c>
      <c r="C55" s="205" t="s">
        <v>1115</v>
      </c>
      <c r="D55" s="206" t="s">
        <v>1089</v>
      </c>
      <c r="E55" s="207" t="str">
        <f>IFERROR(VLOOKUP($F$2,$S$3:$AA$10,6,FALSE),"")</f>
        <v/>
      </c>
      <c r="F55" s="208"/>
      <c r="H55" s="226"/>
      <c r="I55" s="226"/>
      <c r="J55" s="226"/>
      <c r="K55" s="227"/>
      <c r="L55" s="227"/>
      <c r="M55" s="164"/>
      <c r="N55" s="496"/>
      <c r="O55" s="496"/>
      <c r="P55" s="496"/>
      <c r="Q55" s="846"/>
    </row>
    <row r="56" spans="2:17" ht="45" customHeight="1">
      <c r="B56" s="211" t="s">
        <v>1175</v>
      </c>
      <c r="C56" s="952" t="s">
        <v>1176</v>
      </c>
      <c r="D56" s="952"/>
      <c r="E56" s="936">
        <v>10</v>
      </c>
      <c r="F56" s="455"/>
      <c r="H56" s="213"/>
      <c r="I56" s="213"/>
      <c r="J56" s="214"/>
      <c r="K56" s="215" t="str">
        <f t="shared" ref="K56:L59" si="7">IF(ISBLANK($F56)=FALSE,IF(H56="","No","Yes"),"")</f>
        <v/>
      </c>
      <c r="L56" s="215" t="str">
        <f t="shared" si="7"/>
        <v/>
      </c>
      <c r="M56" s="164"/>
      <c r="N56" s="496"/>
      <c r="O56" s="496"/>
      <c r="P56" s="496"/>
      <c r="Q56" s="846"/>
    </row>
    <row r="57" spans="2:17" ht="45" customHeight="1">
      <c r="B57" s="211" t="s">
        <v>1177</v>
      </c>
      <c r="C57" s="952" t="s">
        <v>1178</v>
      </c>
      <c r="D57" s="952"/>
      <c r="E57" s="936">
        <v>3</v>
      </c>
      <c r="F57" s="455"/>
      <c r="H57" s="213"/>
      <c r="I57" s="213"/>
      <c r="J57" s="214"/>
      <c r="K57" s="215" t="str">
        <f t="shared" si="7"/>
        <v/>
      </c>
      <c r="L57" s="215" t="str">
        <f t="shared" si="7"/>
        <v/>
      </c>
      <c r="M57" s="164"/>
      <c r="N57" s="496"/>
      <c r="O57" s="496"/>
      <c r="P57" s="496"/>
      <c r="Q57" s="846"/>
    </row>
    <row r="58" spans="2:17" ht="45" customHeight="1">
      <c r="B58" s="211" t="s">
        <v>1179</v>
      </c>
      <c r="C58" s="952" t="s">
        <v>364</v>
      </c>
      <c r="D58" s="952"/>
      <c r="E58" s="936">
        <v>1</v>
      </c>
      <c r="F58" s="455"/>
      <c r="H58" s="213"/>
      <c r="I58" s="213"/>
      <c r="J58" s="214"/>
      <c r="K58" s="215" t="str">
        <f>IF(OR(ISBLANK($F58)=FALSE,$Q58=TRUE),IF(H58="","No","Yes"),"")</f>
        <v/>
      </c>
      <c r="L58" s="215" t="str">
        <f>IF(ISBLANK($F58)=FALSE,IF(I58="","No","Yes"),IF($Q58=TRUE,"NA",""))</f>
        <v/>
      </c>
      <c r="M58" s="164"/>
      <c r="N58" s="496"/>
      <c r="O58" s="496"/>
      <c r="P58" s="496" t="s">
        <v>242</v>
      </c>
      <c r="Q58" s="846" t="b">
        <v>0</v>
      </c>
    </row>
    <row r="59" spans="2:17" ht="45" customHeight="1">
      <c r="B59" s="211" t="s">
        <v>1180</v>
      </c>
      <c r="C59" s="952" t="s">
        <v>1181</v>
      </c>
      <c r="D59" s="952"/>
      <c r="E59" s="936">
        <v>8</v>
      </c>
      <c r="F59" s="455"/>
      <c r="H59" s="213"/>
      <c r="I59" s="213"/>
      <c r="J59" s="214"/>
      <c r="K59" s="215" t="str">
        <f t="shared" si="7"/>
        <v/>
      </c>
      <c r="L59" s="215" t="str">
        <f t="shared" si="7"/>
        <v/>
      </c>
      <c r="M59" s="164"/>
      <c r="N59" s="496"/>
      <c r="O59" s="496"/>
      <c r="P59" s="496"/>
      <c r="Q59" s="846"/>
    </row>
    <row r="60" spans="2:17" ht="45" customHeight="1">
      <c r="B60" s="211" t="s">
        <v>1182</v>
      </c>
      <c r="C60" s="952" t="s">
        <v>1183</v>
      </c>
      <c r="D60" s="952"/>
      <c r="E60" s="936">
        <v>1</v>
      </c>
      <c r="F60" s="455"/>
      <c r="H60" s="213"/>
      <c r="I60" s="213"/>
      <c r="J60" s="214"/>
      <c r="K60" s="215" t="str">
        <f>IF(OR(ISBLANK($F60)=FALSE,$Q60=TRUE),IF(H60="","No","Yes"),"")</f>
        <v/>
      </c>
      <c r="L60" s="215" t="str">
        <f>IF(ISBLANK($F60)=FALSE,IF(I60="","No","Yes"),IF($Q60=TRUE,"NA",""))</f>
        <v/>
      </c>
      <c r="M60" s="164"/>
      <c r="N60" s="496"/>
      <c r="O60" s="496"/>
      <c r="P60" s="496" t="s">
        <v>242</v>
      </c>
      <c r="Q60" s="846" t="b">
        <v>0</v>
      </c>
    </row>
    <row r="61" spans="2:17" ht="45" customHeight="1">
      <c r="B61" s="176" t="s">
        <v>963</v>
      </c>
      <c r="C61" s="176"/>
      <c r="D61" s="176"/>
      <c r="E61" s="85">
        <f>SUM(E56:E60)</f>
        <v>23</v>
      </c>
      <c r="F61" s="216" t="str">
        <f>IFERROR(SUM(F56:F60)/E61*E55*100,"")</f>
        <v/>
      </c>
      <c r="H61" s="217"/>
      <c r="I61" s="217"/>
      <c r="J61" s="217"/>
      <c r="K61" s="219"/>
      <c r="L61" s="220"/>
      <c r="M61" s="164"/>
      <c r="N61" s="496"/>
      <c r="O61" s="496"/>
      <c r="P61" s="496"/>
      <c r="Q61" s="846"/>
    </row>
    <row r="62" spans="2:17" ht="45" customHeight="1">
      <c r="B62" s="221"/>
      <c r="C62" s="222"/>
      <c r="D62" s="222"/>
      <c r="E62" s="196"/>
      <c r="F62" s="196"/>
      <c r="H62" s="223"/>
      <c r="I62" s="223"/>
      <c r="J62" s="223"/>
      <c r="K62" s="225"/>
      <c r="L62" s="31"/>
      <c r="M62" s="164"/>
      <c r="N62" s="496"/>
      <c r="O62" s="496"/>
      <c r="P62" s="496"/>
      <c r="Q62" s="846"/>
    </row>
    <row r="63" spans="2:17" ht="45" customHeight="1">
      <c r="B63" s="204" t="s">
        <v>367</v>
      </c>
      <c r="C63" s="205" t="s">
        <v>1115</v>
      </c>
      <c r="D63" s="206" t="s">
        <v>1089</v>
      </c>
      <c r="E63" s="207" t="str">
        <f>IFERROR(VLOOKUP($F$2,$S$3:$AA$10,7,FALSE),"")</f>
        <v/>
      </c>
      <c r="F63" s="208"/>
      <c r="H63" s="226"/>
      <c r="I63" s="226"/>
      <c r="J63" s="226"/>
      <c r="K63" s="227"/>
      <c r="L63" s="227"/>
      <c r="M63" s="164"/>
      <c r="N63" s="496"/>
      <c r="O63" s="496"/>
      <c r="P63" s="496"/>
      <c r="Q63" s="846"/>
    </row>
    <row r="64" spans="2:17" ht="45" customHeight="1">
      <c r="B64" s="211" t="s">
        <v>1186</v>
      </c>
      <c r="C64" s="952" t="s">
        <v>1187</v>
      </c>
      <c r="D64" s="952"/>
      <c r="E64" s="936">
        <v>3</v>
      </c>
      <c r="F64" s="455"/>
      <c r="H64" s="213"/>
      <c r="I64" s="213"/>
      <c r="J64" s="214"/>
      <c r="K64" s="215" t="str">
        <f>IF(ISBLANK($F64)=FALSE,IF(H64="","No","Yes"),"")</f>
        <v/>
      </c>
      <c r="L64" s="215" t="str">
        <f>IF(ISBLANK($F64)=FALSE,IF(I64="","No","Yes"),"")</f>
        <v/>
      </c>
      <c r="M64" s="164"/>
      <c r="N64" s="496"/>
      <c r="O64" s="496"/>
      <c r="P64" s="496"/>
      <c r="Q64" s="846"/>
    </row>
    <row r="65" spans="2:17" ht="45" customHeight="1">
      <c r="B65" s="1488" t="s">
        <v>1188</v>
      </c>
      <c r="C65" s="1480" t="s">
        <v>380</v>
      </c>
      <c r="D65" s="952" t="s">
        <v>1189</v>
      </c>
      <c r="E65" s="936">
        <v>2</v>
      </c>
      <c r="F65" s="455"/>
      <c r="H65" s="213"/>
      <c r="I65" s="213"/>
      <c r="J65" s="214"/>
      <c r="K65" s="215" t="str">
        <f>IF(OR(ISBLANK($F65)=FALSE,$Q65=TRUE),IF(H65="","No","Yes"),"")</f>
        <v/>
      </c>
      <c r="L65" s="215" t="str">
        <f>IF(ISBLANK($F65)=FALSE,IF(I65="","No","Yes"),IF($Q65=TRUE,"NA",""))</f>
        <v/>
      </c>
      <c r="M65" s="164"/>
      <c r="N65" s="496"/>
      <c r="O65" s="496"/>
      <c r="P65" s="496" t="s">
        <v>242</v>
      </c>
      <c r="Q65" s="846" t="b">
        <v>0</v>
      </c>
    </row>
    <row r="66" spans="2:17" ht="45" customHeight="1">
      <c r="B66" s="1489"/>
      <c r="C66" s="1481"/>
      <c r="D66" s="952" t="s">
        <v>1343</v>
      </c>
      <c r="E66" s="936">
        <v>4</v>
      </c>
      <c r="F66" s="455"/>
      <c r="H66" s="213"/>
      <c r="I66" s="213"/>
      <c r="J66" s="214"/>
      <c r="K66" s="215" t="str">
        <f>IF(OR(ISBLANK($F66)=FALSE,$Q66=TRUE),IF(H66="","No","Yes"),"")</f>
        <v/>
      </c>
      <c r="L66" s="215" t="str">
        <f>IF(ISBLANK($F66)=FALSE,IF(I66="","No","Yes"),IF($Q66=TRUE,"NA",""))</f>
        <v/>
      </c>
      <c r="M66" s="164"/>
      <c r="N66" s="496"/>
      <c r="O66" s="496"/>
      <c r="P66" s="496" t="s">
        <v>242</v>
      </c>
      <c r="Q66" s="846" t="b">
        <v>0</v>
      </c>
    </row>
    <row r="67" spans="2:17" ht="45" customHeight="1">
      <c r="B67" s="211" t="s">
        <v>1191</v>
      </c>
      <c r="C67" s="952" t="s">
        <v>1344</v>
      </c>
      <c r="D67" s="952"/>
      <c r="E67" s="936">
        <v>3</v>
      </c>
      <c r="F67" s="455"/>
      <c r="H67" s="213"/>
      <c r="I67" s="213"/>
      <c r="J67" s="214"/>
      <c r="K67" s="215" t="str">
        <f>IF(ISBLANK($F67)=FALSE,IF(H67="","No","Yes"),"")</f>
        <v/>
      </c>
      <c r="L67" s="215" t="str">
        <f>IF(ISBLANK($F67)=FALSE,IF(I67="","No","Yes"),"")</f>
        <v/>
      </c>
      <c r="M67" s="164"/>
      <c r="N67" s="496"/>
      <c r="O67" s="496"/>
      <c r="P67" s="496"/>
      <c r="Q67" s="846"/>
    </row>
    <row r="68" spans="2:17" ht="45" customHeight="1">
      <c r="B68" s="1488" t="s">
        <v>1193</v>
      </c>
      <c r="C68" s="1480" t="s">
        <v>376</v>
      </c>
      <c r="D68" s="952" t="s">
        <v>1195</v>
      </c>
      <c r="E68" s="936">
        <v>2</v>
      </c>
      <c r="F68" s="455"/>
      <c r="H68" s="213"/>
      <c r="I68" s="213"/>
      <c r="J68" s="214"/>
      <c r="K68" s="215" t="str">
        <f t="shared" ref="K68:K74" si="8">IF(OR(ISBLANK($F68)=FALSE,$Q68=TRUE),IF(H68="","No","Yes"),"")</f>
        <v/>
      </c>
      <c r="L68" s="215" t="str">
        <f t="shared" ref="L68:L74" si="9">IF(ISBLANK($F68)=FALSE,IF(I68="","No","Yes"),IF($Q68=TRUE,"NA",""))</f>
        <v/>
      </c>
      <c r="M68" s="164"/>
      <c r="N68" s="496"/>
      <c r="O68" s="496"/>
      <c r="P68" s="496" t="s">
        <v>242</v>
      </c>
      <c r="Q68" s="846" t="b">
        <v>0</v>
      </c>
    </row>
    <row r="69" spans="2:17" ht="45" customHeight="1">
      <c r="B69" s="1489"/>
      <c r="C69" s="1481"/>
      <c r="D69" s="952" t="s">
        <v>1196</v>
      </c>
      <c r="E69" s="936">
        <v>1</v>
      </c>
      <c r="F69" s="455"/>
      <c r="H69" s="213"/>
      <c r="I69" s="213"/>
      <c r="J69" s="214"/>
      <c r="K69" s="215" t="str">
        <f t="shared" si="8"/>
        <v/>
      </c>
      <c r="L69" s="215" t="str">
        <f t="shared" si="9"/>
        <v/>
      </c>
      <c r="M69" s="164"/>
      <c r="N69" s="496"/>
      <c r="O69" s="496"/>
      <c r="P69" s="496" t="s">
        <v>242</v>
      </c>
      <c r="Q69" s="846" t="b">
        <v>0</v>
      </c>
    </row>
    <row r="70" spans="2:17" ht="45" customHeight="1">
      <c r="B70" s="1488" t="s">
        <v>1197</v>
      </c>
      <c r="C70" s="1480" t="s">
        <v>378</v>
      </c>
      <c r="D70" s="952" t="s">
        <v>1199</v>
      </c>
      <c r="E70" s="936">
        <v>1</v>
      </c>
      <c r="F70" s="455"/>
      <c r="H70" s="213"/>
      <c r="I70" s="213"/>
      <c r="J70" s="214"/>
      <c r="K70" s="215" t="str">
        <f t="shared" si="8"/>
        <v/>
      </c>
      <c r="L70" s="215" t="str">
        <f t="shared" si="9"/>
        <v/>
      </c>
      <c r="M70" s="164"/>
      <c r="N70" s="496"/>
      <c r="O70" s="496"/>
      <c r="P70" s="496" t="s">
        <v>242</v>
      </c>
      <c r="Q70" s="846" t="b">
        <v>0</v>
      </c>
    </row>
    <row r="71" spans="2:17" ht="45" customHeight="1">
      <c r="B71" s="1489"/>
      <c r="C71" s="1481"/>
      <c r="D71" s="952" t="s">
        <v>1200</v>
      </c>
      <c r="E71" s="936">
        <v>1</v>
      </c>
      <c r="F71" s="455"/>
      <c r="H71" s="213"/>
      <c r="I71" s="213"/>
      <c r="J71" s="214"/>
      <c r="K71" s="215" t="str">
        <f t="shared" si="8"/>
        <v/>
      </c>
      <c r="L71" s="215" t="str">
        <f t="shared" si="9"/>
        <v/>
      </c>
      <c r="M71" s="164"/>
      <c r="N71" s="496"/>
      <c r="O71" s="496"/>
      <c r="P71" s="496" t="s">
        <v>242</v>
      </c>
      <c r="Q71" s="846" t="b">
        <v>0</v>
      </c>
    </row>
    <row r="72" spans="2:17" ht="45" customHeight="1">
      <c r="B72" s="211" t="s">
        <v>1201</v>
      </c>
      <c r="C72" s="952" t="s">
        <v>994</v>
      </c>
      <c r="D72" s="952"/>
      <c r="E72" s="936">
        <v>2</v>
      </c>
      <c r="F72" s="455"/>
      <c r="H72" s="213"/>
      <c r="I72" s="213"/>
      <c r="J72" s="214"/>
      <c r="K72" s="215" t="str">
        <f t="shared" si="8"/>
        <v/>
      </c>
      <c r="L72" s="215" t="str">
        <f t="shared" si="9"/>
        <v/>
      </c>
      <c r="M72" s="164"/>
      <c r="N72" s="496"/>
      <c r="O72" s="496"/>
      <c r="P72" s="496" t="s">
        <v>242</v>
      </c>
      <c r="Q72" s="846" t="b">
        <v>0</v>
      </c>
    </row>
    <row r="73" spans="2:17" ht="45" customHeight="1">
      <c r="B73" s="211" t="s">
        <v>1203</v>
      </c>
      <c r="C73" s="952" t="s">
        <v>589</v>
      </c>
      <c r="D73" s="952"/>
      <c r="E73" s="936">
        <v>1</v>
      </c>
      <c r="F73" s="455"/>
      <c r="H73" s="213"/>
      <c r="I73" s="213"/>
      <c r="J73" s="214"/>
      <c r="K73" s="215" t="str">
        <f t="shared" si="8"/>
        <v/>
      </c>
      <c r="L73" s="215" t="str">
        <f t="shared" si="9"/>
        <v/>
      </c>
      <c r="M73" s="164"/>
      <c r="N73" s="496"/>
      <c r="O73" s="496"/>
      <c r="P73" s="496" t="s">
        <v>242</v>
      </c>
      <c r="Q73" s="846" t="b">
        <v>0</v>
      </c>
    </row>
    <row r="74" spans="2:17" ht="45" customHeight="1">
      <c r="B74" s="211" t="s">
        <v>1205</v>
      </c>
      <c r="C74" s="952" t="s">
        <v>1206</v>
      </c>
      <c r="D74" s="952"/>
      <c r="E74" s="936">
        <v>1</v>
      </c>
      <c r="F74" s="455"/>
      <c r="H74" s="213"/>
      <c r="I74" s="213"/>
      <c r="J74" s="214"/>
      <c r="K74" s="215" t="str">
        <f t="shared" si="8"/>
        <v/>
      </c>
      <c r="L74" s="215" t="str">
        <f t="shared" si="9"/>
        <v/>
      </c>
      <c r="M74" s="164"/>
      <c r="N74" s="496"/>
      <c r="O74" s="496"/>
      <c r="P74" s="496" t="s">
        <v>242</v>
      </c>
      <c r="Q74" s="846" t="b">
        <v>0</v>
      </c>
    </row>
    <row r="75" spans="2:17" ht="45" customHeight="1">
      <c r="B75" s="211" t="s">
        <v>1207</v>
      </c>
      <c r="C75" s="952" t="s">
        <v>1208</v>
      </c>
      <c r="D75" s="952"/>
      <c r="E75" s="936">
        <v>1</v>
      </c>
      <c r="F75" s="455"/>
      <c r="H75" s="213"/>
      <c r="I75" s="213"/>
      <c r="J75" s="214"/>
      <c r="K75" s="215" t="str">
        <f>IF(ISBLANK($F75)=FALSE,IF(H75="","No","Yes"),"")</f>
        <v/>
      </c>
      <c r="L75" s="215" t="str">
        <f>IF(ISBLANK($F75)=FALSE,IF(I75="","No","Yes"),"")</f>
        <v/>
      </c>
      <c r="M75" s="164"/>
      <c r="N75" s="496"/>
      <c r="O75" s="496"/>
      <c r="P75" s="496"/>
      <c r="Q75" s="846"/>
    </row>
    <row r="76" spans="2:17" ht="45" customHeight="1">
      <c r="B76" s="176" t="s">
        <v>963</v>
      </c>
      <c r="C76" s="176"/>
      <c r="D76" s="176"/>
      <c r="E76" s="85">
        <f>SUM(E64:E75)</f>
        <v>22</v>
      </c>
      <c r="F76" s="216" t="str">
        <f>IFERROR(SUM(F64:F75)/E76*E63*100,"")</f>
        <v/>
      </c>
      <c r="H76" s="217"/>
      <c r="I76" s="217"/>
      <c r="J76" s="217"/>
      <c r="K76" s="219"/>
      <c r="L76" s="220"/>
      <c r="M76" s="164"/>
      <c r="N76" s="496"/>
      <c r="O76" s="496"/>
      <c r="P76" s="496"/>
      <c r="Q76" s="846"/>
    </row>
    <row r="77" spans="2:17" ht="45" customHeight="1">
      <c r="B77" s="221"/>
      <c r="C77" s="222"/>
      <c r="D77" s="222"/>
      <c r="E77" s="196"/>
      <c r="F77" s="196"/>
      <c r="H77" s="223"/>
      <c r="I77" s="223"/>
      <c r="J77" s="223"/>
      <c r="K77" s="225"/>
      <c r="L77" s="31"/>
      <c r="M77" s="164"/>
      <c r="N77" s="496"/>
      <c r="O77" s="496"/>
      <c r="P77" s="496"/>
      <c r="Q77" s="846"/>
    </row>
    <row r="78" spans="2:17" ht="45" customHeight="1">
      <c r="B78" s="204" t="s">
        <v>396</v>
      </c>
      <c r="C78" s="205" t="s">
        <v>1115</v>
      </c>
      <c r="D78" s="206" t="s">
        <v>1089</v>
      </c>
      <c r="E78" s="207" t="str">
        <f>IFERROR(VLOOKUP($F$2,$S$3:$AA$10,8,FALSE),"")</f>
        <v/>
      </c>
      <c r="F78" s="208"/>
      <c r="H78" s="226"/>
      <c r="I78" s="226"/>
      <c r="J78" s="226"/>
      <c r="K78" s="227"/>
      <c r="L78" s="227"/>
      <c r="M78" s="164"/>
      <c r="N78" s="496"/>
      <c r="O78" s="496"/>
      <c r="P78" s="496"/>
      <c r="Q78" s="846"/>
    </row>
    <row r="79" spans="2:17" ht="45" customHeight="1">
      <c r="B79" s="211" t="s">
        <v>1218</v>
      </c>
      <c r="C79" s="952" t="s">
        <v>338</v>
      </c>
      <c r="D79" s="952"/>
      <c r="E79" s="936" t="s">
        <v>264</v>
      </c>
      <c r="F79" s="455"/>
      <c r="H79" s="213"/>
      <c r="I79" s="213"/>
      <c r="J79" s="214"/>
      <c r="K79" s="215" t="str">
        <f t="shared" ref="K79:L83" si="10">IF(ISBLANK($F79)=FALSE,IF(H79="","No","Yes"),"")</f>
        <v/>
      </c>
      <c r="L79" s="215" t="str">
        <f t="shared" si="10"/>
        <v/>
      </c>
      <c r="M79" s="164"/>
      <c r="N79" s="496"/>
      <c r="O79" s="496"/>
      <c r="P79" s="496"/>
      <c r="Q79" s="846"/>
    </row>
    <row r="80" spans="2:17" ht="45" customHeight="1">
      <c r="B80" s="211" t="s">
        <v>1039</v>
      </c>
      <c r="C80" s="952" t="s">
        <v>1220</v>
      </c>
      <c r="D80" s="952"/>
      <c r="E80" s="936">
        <v>1</v>
      </c>
      <c r="F80" s="455"/>
      <c r="H80" s="213"/>
      <c r="I80" s="213"/>
      <c r="J80" s="214"/>
      <c r="K80" s="215" t="str">
        <f>IF(OR(ISBLANK($F80)=FALSE,$Q80=TRUE),IF(H80="","No","Yes"),"")</f>
        <v/>
      </c>
      <c r="L80" s="215" t="str">
        <f>IF(ISBLANK($F80)=FALSE,IF(I80="","No","Yes"),IF($Q80=TRUE,"NA",""))</f>
        <v/>
      </c>
      <c r="M80" s="164"/>
      <c r="N80" s="496"/>
      <c r="O80" s="496"/>
      <c r="P80" s="496" t="s">
        <v>242</v>
      </c>
      <c r="Q80" s="846" t="b">
        <v>0</v>
      </c>
    </row>
    <row r="81" spans="2:17" ht="45" customHeight="1">
      <c r="B81" s="211" t="s">
        <v>1045</v>
      </c>
      <c r="C81" s="952" t="s">
        <v>1221</v>
      </c>
      <c r="D81" s="952"/>
      <c r="E81" s="936">
        <v>1</v>
      </c>
      <c r="F81" s="455"/>
      <c r="H81" s="213"/>
      <c r="I81" s="213"/>
      <c r="J81" s="214"/>
      <c r="K81" s="215" t="str">
        <f t="shared" si="10"/>
        <v/>
      </c>
      <c r="L81" s="215" t="str">
        <f t="shared" si="10"/>
        <v/>
      </c>
      <c r="M81" s="164"/>
      <c r="N81" s="496"/>
      <c r="O81" s="496"/>
      <c r="P81" s="496"/>
      <c r="Q81" s="846"/>
    </row>
    <row r="82" spans="2:17" ht="45" customHeight="1">
      <c r="B82" s="211" t="s">
        <v>1046</v>
      </c>
      <c r="C82" s="952" t="s">
        <v>1222</v>
      </c>
      <c r="D82" s="952"/>
      <c r="E82" s="936">
        <v>2</v>
      </c>
      <c r="F82" s="455"/>
      <c r="H82" s="213"/>
      <c r="I82" s="213"/>
      <c r="J82" s="214"/>
      <c r="K82" s="215" t="str">
        <f>IF(OR(ISBLANK($F82)=FALSE,$Q82=TRUE),IF(H82="","No","Yes"),"")</f>
        <v/>
      </c>
      <c r="L82" s="215" t="str">
        <f>IF(ISBLANK($F82)=FALSE,IF(I82="","No","Yes"),IF($Q82=TRUE,"NA",""))</f>
        <v/>
      </c>
      <c r="M82" s="164"/>
      <c r="N82" s="496"/>
      <c r="O82" s="496"/>
      <c r="P82" s="496" t="s">
        <v>242</v>
      </c>
      <c r="Q82" s="846" t="b">
        <v>0</v>
      </c>
    </row>
    <row r="83" spans="2:17" ht="45" customHeight="1">
      <c r="B83" s="211" t="s">
        <v>1047</v>
      </c>
      <c r="C83" s="952" t="s">
        <v>783</v>
      </c>
      <c r="D83" s="952"/>
      <c r="E83" s="936">
        <v>4</v>
      </c>
      <c r="F83" s="455"/>
      <c r="H83" s="213"/>
      <c r="I83" s="213"/>
      <c r="J83" s="214"/>
      <c r="K83" s="215" t="str">
        <f t="shared" si="10"/>
        <v/>
      </c>
      <c r="L83" s="215" t="str">
        <f t="shared" si="10"/>
        <v/>
      </c>
      <c r="M83" s="164"/>
      <c r="N83" s="496"/>
      <c r="O83" s="496"/>
      <c r="P83" s="496"/>
      <c r="Q83" s="846"/>
    </row>
    <row r="84" spans="2:17" ht="45" customHeight="1">
      <c r="B84" s="176" t="s">
        <v>963</v>
      </c>
      <c r="C84" s="176"/>
      <c r="D84" s="176"/>
      <c r="E84" s="85">
        <f>SUM(E79:E83)</f>
        <v>8</v>
      </c>
      <c r="F84" s="216" t="str">
        <f>IFERROR(SUM(F79:F83)/E84*E78*100,"")</f>
        <v/>
      </c>
      <c r="H84" s="217"/>
      <c r="I84" s="217"/>
      <c r="J84" s="217"/>
      <c r="K84" s="219"/>
      <c r="L84" s="220"/>
      <c r="M84" s="164"/>
      <c r="N84" s="496"/>
      <c r="O84" s="496"/>
      <c r="P84" s="496"/>
      <c r="Q84" s="846"/>
    </row>
    <row r="85" spans="2:17" ht="45" customHeight="1">
      <c r="B85" s="221"/>
      <c r="C85" s="222"/>
      <c r="D85" s="222"/>
      <c r="E85" s="196"/>
      <c r="F85" s="196"/>
      <c r="H85" s="223"/>
      <c r="I85" s="223"/>
      <c r="J85" s="223"/>
      <c r="K85" s="225"/>
      <c r="L85" s="31"/>
      <c r="M85" s="164"/>
      <c r="N85" s="496"/>
      <c r="O85" s="496"/>
      <c r="P85" s="496"/>
      <c r="Q85" s="846"/>
    </row>
    <row r="86" spans="2:17" ht="45" customHeight="1">
      <c r="B86" s="204" t="s">
        <v>404</v>
      </c>
      <c r="C86" s="205" t="s">
        <v>1115</v>
      </c>
      <c r="D86" s="206" t="s">
        <v>1089</v>
      </c>
      <c r="E86" s="207" t="str">
        <f>IFERROR(VLOOKUP($F$2,$S$3:$AA$10,9,FALSE),"")</f>
        <v/>
      </c>
      <c r="F86" s="208"/>
      <c r="H86" s="226"/>
      <c r="I86" s="226"/>
      <c r="J86" s="226"/>
      <c r="K86" s="227"/>
      <c r="L86" s="227"/>
      <c r="M86" s="164"/>
      <c r="N86" s="496"/>
      <c r="O86" s="496"/>
      <c r="P86" s="496"/>
      <c r="Q86" s="846"/>
    </row>
    <row r="87" spans="2:17" ht="45" customHeight="1">
      <c r="B87" s="211" t="s">
        <v>1223</v>
      </c>
      <c r="C87" s="952" t="s">
        <v>1224</v>
      </c>
      <c r="D87" s="952"/>
      <c r="E87" s="936">
        <v>1</v>
      </c>
      <c r="F87" s="455"/>
      <c r="H87" s="213"/>
      <c r="I87" s="213"/>
      <c r="J87" s="214"/>
      <c r="K87" s="215" t="str">
        <f t="shared" ref="K87:L95" si="11">IF(ISBLANK($F87)=FALSE,IF(H87="","No","Yes"),"")</f>
        <v/>
      </c>
      <c r="L87" s="215" t="str">
        <f t="shared" si="11"/>
        <v/>
      </c>
      <c r="M87" s="164"/>
      <c r="N87" s="496"/>
      <c r="O87" s="496"/>
      <c r="P87" s="496"/>
      <c r="Q87" s="846"/>
    </row>
    <row r="88" spans="2:17" ht="45" customHeight="1">
      <c r="B88" s="211" t="s">
        <v>1225</v>
      </c>
      <c r="C88" s="952" t="s">
        <v>1226</v>
      </c>
      <c r="D88" s="952"/>
      <c r="E88" s="936">
        <v>2</v>
      </c>
      <c r="F88" s="455"/>
      <c r="H88" s="213"/>
      <c r="I88" s="213"/>
      <c r="J88" s="214"/>
      <c r="K88" s="215" t="str">
        <f t="shared" si="11"/>
        <v/>
      </c>
      <c r="L88" s="215" t="str">
        <f t="shared" si="11"/>
        <v/>
      </c>
      <c r="M88" s="164"/>
      <c r="N88" s="496"/>
      <c r="O88" s="496"/>
      <c r="P88" s="496"/>
      <c r="Q88" s="846"/>
    </row>
    <row r="89" spans="2:17" ht="45" customHeight="1">
      <c r="B89" s="211" t="s">
        <v>1227</v>
      </c>
      <c r="C89" s="952" t="s">
        <v>1345</v>
      </c>
      <c r="D89" s="952"/>
      <c r="E89" s="936">
        <v>2</v>
      </c>
      <c r="F89" s="455"/>
      <c r="H89" s="213"/>
      <c r="I89" s="213"/>
      <c r="J89" s="214"/>
      <c r="K89" s="215" t="str">
        <f>IF(OR(ISBLANK($F89)=FALSE,$Q89=TRUE),IF(H89="","No","Yes"),"")</f>
        <v/>
      </c>
      <c r="L89" s="215" t="str">
        <f>IF(ISBLANK($F89)=FALSE,IF(I89="","No","Yes"),IF($Q89=TRUE,"NA",""))</f>
        <v/>
      </c>
      <c r="M89" s="164"/>
      <c r="N89" s="496"/>
      <c r="O89" s="496"/>
      <c r="P89" s="496" t="s">
        <v>242</v>
      </c>
      <c r="Q89" s="846" t="b">
        <v>0</v>
      </c>
    </row>
    <row r="90" spans="2:17" ht="45" customHeight="1">
      <c r="B90" s="211" t="s">
        <v>1229</v>
      </c>
      <c r="C90" s="952" t="s">
        <v>1230</v>
      </c>
      <c r="D90" s="952"/>
      <c r="E90" s="936">
        <v>1</v>
      </c>
      <c r="F90" s="455"/>
      <c r="H90" s="213"/>
      <c r="I90" s="213"/>
      <c r="J90" s="214"/>
      <c r="K90" s="215" t="str">
        <f t="shared" si="11"/>
        <v/>
      </c>
      <c r="L90" s="215" t="str">
        <f t="shared" si="11"/>
        <v/>
      </c>
      <c r="M90" s="164"/>
      <c r="N90" s="496"/>
      <c r="O90" s="496"/>
      <c r="P90" s="496"/>
      <c r="Q90" s="846"/>
    </row>
    <row r="91" spans="2:17" ht="45" customHeight="1">
      <c r="B91" s="211" t="s">
        <v>1231</v>
      </c>
      <c r="C91" s="952" t="s">
        <v>405</v>
      </c>
      <c r="D91" s="952"/>
      <c r="E91" s="936">
        <v>3</v>
      </c>
      <c r="F91" s="455"/>
      <c r="H91" s="213"/>
      <c r="I91" s="213"/>
      <c r="J91" s="214"/>
      <c r="K91" s="215" t="str">
        <f>IF(OR(ISBLANK($F91)=FALSE,$Q91=TRUE),IF(H91="","No","Yes"),"")</f>
        <v/>
      </c>
      <c r="L91" s="215" t="str">
        <f>IF(ISBLANK($F91)=FALSE,IF(I91="","No","Yes"),IF($Q91=TRUE,"NA",""))</f>
        <v/>
      </c>
      <c r="M91" s="164"/>
      <c r="N91" s="496"/>
      <c r="O91" s="496"/>
      <c r="P91" s="496" t="s">
        <v>242</v>
      </c>
      <c r="Q91" s="846" t="b">
        <v>0</v>
      </c>
    </row>
    <row r="92" spans="2:17" ht="45" customHeight="1">
      <c r="B92" s="1488" t="s">
        <v>1233</v>
      </c>
      <c r="C92" s="1480" t="s">
        <v>1234</v>
      </c>
      <c r="D92" s="952" t="s">
        <v>1235</v>
      </c>
      <c r="E92" s="936">
        <v>4</v>
      </c>
      <c r="F92" s="455"/>
      <c r="H92" s="213"/>
      <c r="I92" s="213"/>
      <c r="J92" s="214"/>
      <c r="K92" s="215" t="str">
        <f>IF(ISBLANK($F92)=FALSE,IF(H92="","No","Yes"),"")</f>
        <v/>
      </c>
      <c r="L92" s="215" t="str">
        <f>IF(ISBLANK($F92)=FALSE,IF(I92="","No","Yes"),"")</f>
        <v/>
      </c>
      <c r="M92" s="164"/>
      <c r="N92" s="496"/>
      <c r="O92" s="496"/>
      <c r="P92" s="496"/>
      <c r="Q92" s="846"/>
    </row>
    <row r="93" spans="2:17" ht="45" customHeight="1">
      <c r="B93" s="1489"/>
      <c r="C93" s="1481"/>
      <c r="D93" s="952" t="s">
        <v>1236</v>
      </c>
      <c r="E93" s="936">
        <v>1</v>
      </c>
      <c r="F93" s="455"/>
      <c r="H93" s="213"/>
      <c r="I93" s="213"/>
      <c r="J93" s="214"/>
      <c r="K93" s="215" t="str">
        <f>IF(OR(ISBLANK($F93)=FALSE,$Q93=TRUE),IF(H93="","No","Yes"),"")</f>
        <v/>
      </c>
      <c r="L93" s="215" t="str">
        <f>IF(ISBLANK($F93)=FALSE,IF(I93="","No","Yes"),IF($Q93=TRUE,"NA",""))</f>
        <v/>
      </c>
      <c r="M93" s="164"/>
      <c r="N93" s="496"/>
      <c r="O93" s="496"/>
      <c r="P93" s="496" t="s">
        <v>242</v>
      </c>
      <c r="Q93" s="846" t="b">
        <v>0</v>
      </c>
    </row>
    <row r="94" spans="2:17" ht="45" customHeight="1">
      <c r="B94" s="211" t="s">
        <v>1237</v>
      </c>
      <c r="C94" s="952" t="s">
        <v>409</v>
      </c>
      <c r="D94" s="952"/>
      <c r="E94" s="936">
        <v>1</v>
      </c>
      <c r="F94" s="455"/>
      <c r="H94" s="213"/>
      <c r="I94" s="213"/>
      <c r="J94" s="214"/>
      <c r="K94" s="215" t="str">
        <f t="shared" si="11"/>
        <v/>
      </c>
      <c r="L94" s="215" t="str">
        <f t="shared" si="11"/>
        <v/>
      </c>
      <c r="M94" s="164"/>
      <c r="N94" s="496"/>
      <c r="O94" s="496"/>
      <c r="P94" s="496"/>
      <c r="Q94" s="846"/>
    </row>
    <row r="95" spans="2:17" ht="45" customHeight="1">
      <c r="B95" s="211" t="s">
        <v>1238</v>
      </c>
      <c r="C95" s="952" t="s">
        <v>1289</v>
      </c>
      <c r="D95" s="952"/>
      <c r="E95" s="936">
        <v>1</v>
      </c>
      <c r="F95" s="455"/>
      <c r="H95" s="213"/>
      <c r="I95" s="213"/>
      <c r="J95" s="214"/>
      <c r="K95" s="215" t="str">
        <f t="shared" si="11"/>
        <v/>
      </c>
      <c r="L95" s="215" t="str">
        <f t="shared" si="11"/>
        <v/>
      </c>
      <c r="M95" s="164"/>
      <c r="N95" s="496"/>
      <c r="O95" s="496"/>
      <c r="P95" s="496"/>
      <c r="Q95" s="846"/>
    </row>
    <row r="96" spans="2:17" ht="45" customHeight="1">
      <c r="B96" s="176" t="s">
        <v>963</v>
      </c>
      <c r="C96" s="176"/>
      <c r="D96" s="176"/>
      <c r="E96" s="85">
        <f>SUM(E87:E95)</f>
        <v>16</v>
      </c>
      <c r="F96" s="216" t="str">
        <f>IFERROR(SUM(F87:F95)/E96*E86*100,"")</f>
        <v/>
      </c>
      <c r="H96" s="217"/>
      <c r="I96" s="217"/>
      <c r="J96" s="217"/>
      <c r="K96" s="219"/>
      <c r="L96" s="220"/>
      <c r="M96" s="164"/>
      <c r="N96" s="496"/>
      <c r="O96" s="496"/>
      <c r="P96" s="496"/>
      <c r="Q96" s="846"/>
    </row>
    <row r="97" spans="2:12" ht="45" customHeight="1">
      <c r="B97" s="221"/>
      <c r="C97" s="222"/>
      <c r="D97" s="222"/>
      <c r="E97" s="196"/>
      <c r="F97" s="196"/>
      <c r="H97" s="223"/>
      <c r="I97" s="223"/>
      <c r="J97" s="223"/>
      <c r="K97" s="225"/>
      <c r="L97" s="31"/>
    </row>
    <row r="98" spans="2:12" ht="45" customHeight="1">
      <c r="B98" s="204" t="s">
        <v>419</v>
      </c>
      <c r="C98" s="205" t="s">
        <v>1115</v>
      </c>
      <c r="D98" s="205"/>
      <c r="E98" s="228"/>
      <c r="F98" s="208"/>
      <c r="H98" s="226"/>
      <c r="I98" s="226"/>
      <c r="J98" s="226"/>
      <c r="K98" s="227"/>
      <c r="L98" s="227"/>
    </row>
    <row r="99" spans="2:12" ht="45" customHeight="1">
      <c r="B99" s="211" t="s">
        <v>1079</v>
      </c>
      <c r="C99" s="952" t="s">
        <v>1346</v>
      </c>
      <c r="D99" s="953"/>
      <c r="E99" s="1448">
        <v>10</v>
      </c>
      <c r="F99" s="455"/>
      <c r="H99" s="213"/>
      <c r="I99" s="213"/>
      <c r="J99" s="214"/>
      <c r="K99" s="215" t="str">
        <f t="shared" ref="K99:L101" si="12">IF(ISBLANK($F99)=FALSE,IF(H99="","No","Yes"),"")</f>
        <v/>
      </c>
      <c r="L99" s="215" t="str">
        <f t="shared" si="12"/>
        <v/>
      </c>
    </row>
    <row r="100" spans="2:12" ht="45" customHeight="1">
      <c r="B100" s="211" t="s">
        <v>1243</v>
      </c>
      <c r="C100" s="952" t="s">
        <v>1347</v>
      </c>
      <c r="D100" s="954"/>
      <c r="E100" s="1449"/>
      <c r="F100" s="455"/>
      <c r="H100" s="213"/>
      <c r="I100" s="213"/>
      <c r="J100" s="214"/>
      <c r="K100" s="215" t="str">
        <f t="shared" si="12"/>
        <v/>
      </c>
      <c r="L100" s="215" t="str">
        <f t="shared" si="12"/>
        <v/>
      </c>
    </row>
    <row r="101" spans="2:12" ht="45" customHeight="1">
      <c r="B101" s="211" t="s">
        <v>1245</v>
      </c>
      <c r="C101" s="952" t="s">
        <v>1348</v>
      </c>
      <c r="D101" s="955"/>
      <c r="E101" s="1450"/>
      <c r="F101" s="455"/>
      <c r="H101" s="213"/>
      <c r="I101" s="213"/>
      <c r="J101" s="214"/>
      <c r="K101" s="215" t="str">
        <f t="shared" si="12"/>
        <v/>
      </c>
      <c r="L101" s="215" t="str">
        <f t="shared" si="12"/>
        <v/>
      </c>
    </row>
    <row r="102" spans="2:12" ht="45" customHeight="1">
      <c r="B102" s="176" t="s">
        <v>963</v>
      </c>
      <c r="C102" s="176"/>
      <c r="D102" s="176"/>
      <c r="E102" s="85">
        <f>SUM(E99:E101)</f>
        <v>10</v>
      </c>
      <c r="F102" s="85">
        <f>IF(SUM(F99:F101)&gt;10,10,SUM(F99:F101))</f>
        <v>0</v>
      </c>
      <c r="H102" s="176"/>
      <c r="I102" s="176"/>
      <c r="J102" s="176"/>
      <c r="K102" s="229"/>
      <c r="L102" s="229"/>
    </row>
    <row r="103" spans="2:12" ht="45" customHeight="1">
      <c r="C103" s="496"/>
      <c r="D103" s="496"/>
      <c r="E103" s="496"/>
      <c r="F103" s="538"/>
      <c r="H103" s="496"/>
      <c r="I103" s="496"/>
      <c r="J103" s="496"/>
      <c r="K103" s="496"/>
      <c r="L103" s="496"/>
    </row>
    <row r="104" spans="2:12" ht="45" customHeight="1">
      <c r="C104" s="496"/>
      <c r="D104" s="230" t="s">
        <v>437</v>
      </c>
      <c r="E104" s="218"/>
      <c r="F104" s="218"/>
      <c r="G104" s="496"/>
      <c r="H104" s="201" t="s">
        <v>599</v>
      </c>
      <c r="I104" s="201" t="s">
        <v>600</v>
      </c>
      <c r="J104" s="496"/>
      <c r="K104" s="496"/>
      <c r="L104" s="496"/>
    </row>
    <row r="105" spans="2:12" ht="45" customHeight="1">
      <c r="C105" s="496"/>
      <c r="D105" s="231" t="s">
        <v>440</v>
      </c>
      <c r="E105" s="232"/>
      <c r="F105" s="233"/>
      <c r="G105" s="210"/>
      <c r="H105" s="234">
        <f>SUMIF(K9:K101,"Yes",H9:H101)</f>
        <v>0</v>
      </c>
      <c r="I105" s="234">
        <f>SUMIF(L9:L101,"Yes",I9:I101)</f>
        <v>0</v>
      </c>
      <c r="J105" s="496"/>
      <c r="K105" s="496"/>
      <c r="L105" s="496"/>
    </row>
    <row r="106" spans="2:12" ht="45" customHeight="1">
      <c r="C106" s="496"/>
      <c r="D106" s="231" t="s">
        <v>441</v>
      </c>
      <c r="E106" s="232"/>
      <c r="F106" s="233"/>
      <c r="G106" s="210"/>
      <c r="H106" s="225"/>
      <c r="I106" s="225"/>
      <c r="J106" s="496"/>
      <c r="K106" s="496"/>
      <c r="L106" s="496"/>
    </row>
    <row r="107" spans="2:12" ht="45" customHeight="1">
      <c r="C107" s="496"/>
      <c r="D107" s="235" t="s">
        <v>442</v>
      </c>
      <c r="E107" s="236"/>
      <c r="F107" s="237">
        <f>SUM(F105:F106)</f>
        <v>0</v>
      </c>
      <c r="G107" s="210"/>
      <c r="H107" s="192"/>
      <c r="I107" s="225"/>
      <c r="J107" s="496"/>
      <c r="K107" s="496"/>
      <c r="L107" s="496"/>
    </row>
    <row r="108" spans="2:12" ht="45" customHeight="1">
      <c r="C108" s="496"/>
      <c r="D108" s="231" t="s">
        <v>443</v>
      </c>
      <c r="E108" s="232"/>
      <c r="F108" s="233"/>
      <c r="G108" s="210"/>
      <c r="H108" s="192"/>
      <c r="I108" s="225"/>
      <c r="J108" s="496"/>
      <c r="K108" s="496"/>
      <c r="L108" s="496"/>
    </row>
    <row r="109" spans="2:12" ht="45" customHeight="1">
      <c r="C109" s="496"/>
      <c r="D109" s="231" t="s">
        <v>107</v>
      </c>
      <c r="E109" s="232"/>
      <c r="F109" s="237">
        <f>H105</f>
        <v>0</v>
      </c>
      <c r="G109" s="210"/>
      <c r="H109" s="192"/>
      <c r="I109" s="225"/>
      <c r="J109" s="496"/>
      <c r="K109" s="496"/>
      <c r="L109" s="496"/>
    </row>
    <row r="110" spans="2:12" ht="45" customHeight="1">
      <c r="C110" s="496"/>
      <c r="D110" s="231" t="s">
        <v>444</v>
      </c>
      <c r="E110" s="232"/>
      <c r="F110" s="237">
        <f>I105</f>
        <v>0</v>
      </c>
      <c r="G110" s="210"/>
      <c r="H110" s="192"/>
      <c r="I110" s="225"/>
      <c r="J110" s="496"/>
      <c r="K110" s="496"/>
      <c r="L110" s="496"/>
    </row>
    <row r="111" spans="2:12" ht="45" customHeight="1">
      <c r="C111" s="496"/>
      <c r="D111" s="235" t="s">
        <v>445</v>
      </c>
      <c r="E111" s="236"/>
      <c r="F111" s="238">
        <f>SUM(F108:F110)</f>
        <v>0</v>
      </c>
      <c r="G111" s="210"/>
      <c r="H111" s="192"/>
      <c r="I111" s="225"/>
      <c r="J111" s="496"/>
      <c r="K111" s="496"/>
      <c r="L111" s="496"/>
    </row>
    <row r="112" spans="2:12" ht="45" customHeight="1">
      <c r="C112" s="496"/>
      <c r="D112" s="239" t="s">
        <v>112</v>
      </c>
      <c r="E112" s="240"/>
      <c r="F112" s="241">
        <f>IFERROR(F111/F107,0)</f>
        <v>0</v>
      </c>
      <c r="G112" s="210"/>
      <c r="H112" s="192"/>
      <c r="I112" s="225"/>
      <c r="J112" s="496"/>
      <c r="K112" s="496"/>
      <c r="L112" s="496"/>
    </row>
    <row r="113" spans="1:12" ht="45" customHeight="1">
      <c r="A113" s="496"/>
      <c r="C113" s="815"/>
      <c r="D113" s="815"/>
      <c r="E113" s="942"/>
      <c r="F113" s="538"/>
      <c r="G113" s="496"/>
      <c r="H113" s="904"/>
      <c r="I113" s="904"/>
      <c r="J113" s="496"/>
      <c r="K113" s="496"/>
      <c r="L113" s="496"/>
    </row>
    <row r="114" spans="1:12" ht="30" customHeight="1">
      <c r="A114" s="143"/>
      <c r="C114" s="496"/>
      <c r="D114" s="230" t="s">
        <v>101</v>
      </c>
      <c r="E114" s="243"/>
      <c r="F114" s="244" t="s">
        <v>602</v>
      </c>
      <c r="G114" s="243"/>
      <c r="H114" s="904"/>
      <c r="I114" s="904"/>
      <c r="J114" s="496"/>
      <c r="K114" s="496"/>
      <c r="L114" s="496"/>
    </row>
    <row r="115" spans="1:12" ht="35.1" customHeight="1">
      <c r="A115" s="143"/>
      <c r="C115" s="496"/>
      <c r="D115" s="127" t="s">
        <v>447</v>
      </c>
      <c r="E115" s="943" t="s">
        <v>937</v>
      </c>
      <c r="F115" s="1227" t="str">
        <f>IF(E115="Yes","No Issues", IF(E115="No","Contact project team","Check scorecard points"))</f>
        <v>Check scorecard points</v>
      </c>
      <c r="G115" s="1227"/>
      <c r="H115" s="904"/>
      <c r="I115" s="904"/>
      <c r="J115" s="496"/>
      <c r="K115" s="496"/>
      <c r="L115" s="496"/>
    </row>
    <row r="116" spans="1:12" ht="35.1" customHeight="1">
      <c r="A116" s="143"/>
      <c r="C116" s="496"/>
      <c r="D116" s="127" t="s">
        <v>604</v>
      </c>
      <c r="E116" s="943">
        <f>COUNTA(F9:F20,F24:F35,F39:F43,F47:F52,F56:F60,F64:F75,F79:F83,F87:F95,F99:F101)+COUNTIF(Q9:Q101,TRUE)</f>
        <v>0</v>
      </c>
      <c r="F116" s="1227" t="str">
        <f>IF(E116=0,"No credits entered","No Issues")</f>
        <v>No credits entered</v>
      </c>
      <c r="G116" s="1227"/>
      <c r="H116" s="904"/>
      <c r="I116" s="904"/>
      <c r="J116" s="496"/>
      <c r="K116" s="496"/>
      <c r="L116" s="496"/>
    </row>
    <row r="117" spans="1:12" ht="35.1" customHeight="1">
      <c r="A117" s="143"/>
      <c r="C117" s="496"/>
      <c r="D117" s="127" t="s">
        <v>450</v>
      </c>
      <c r="E117" s="943">
        <f>COUNTIF(Q9:Q101,TRUE)</f>
        <v>0</v>
      </c>
      <c r="F117" s="1304" t="str">
        <f>IF(E117=0,"No Issues - No NA credits claimed",CONCATENATE("No Issues - ",E117," Implementation Costs not needed"))</f>
        <v>No Issues - No NA credits claimed</v>
      </c>
      <c r="G117" s="1304"/>
      <c r="H117" s="904"/>
      <c r="I117" s="904"/>
      <c r="J117" s="496"/>
      <c r="K117" s="496"/>
      <c r="L117" s="496"/>
    </row>
    <row r="118" spans="1:12" ht="60" customHeight="1">
      <c r="A118" s="143"/>
      <c r="C118" s="496"/>
      <c r="D118" s="127" t="s">
        <v>451</v>
      </c>
      <c r="E118" s="943">
        <f>COUNTIF(K9:K101,"Yes")</f>
        <v>0</v>
      </c>
      <c r="F118" s="1229" t="str">
        <f>IF(E118&lt;E116,CONCATENATE(E116-E118," documentation costs missing"),IF(E118=0,"No credits entered",IF(COUNTIF(H9:H101,0)&gt;0,CONCATENATE(COUNTIF(H9:H101,0)," $0 cost(s) provided. Enter a value or explain the $0 value in the Comments column."),"No Issues")))</f>
        <v>No credits entered</v>
      </c>
      <c r="G118" s="1229"/>
      <c r="H118" s="454"/>
      <c r="I118" s="593"/>
      <c r="J118" s="496"/>
      <c r="K118" s="496"/>
      <c r="L118" s="496"/>
    </row>
    <row r="119" spans="1:12" ht="60" customHeight="1">
      <c r="A119" s="143"/>
      <c r="C119" s="496"/>
      <c r="D119" s="127" t="s">
        <v>452</v>
      </c>
      <c r="E119" s="943">
        <f>COUNTIF(L9:L101,"Yes")</f>
        <v>0</v>
      </c>
      <c r="F119" s="1229" t="str">
        <f>IF(E119&lt;(E116-E117),CONCATENATE(E116-E119-E117," implementation costs missing"),IF(E119=0,"No credits entered",IF(COUNTIF(I9:I101,0)&gt;ROUND(0.25*E116,0),CONCATENATE(COUNTIF(I9:I101,0)," $0 cost(s) provided. Enter a value or explain the $0 value in the Comments column."),"No Issues")))</f>
        <v>No credits entered</v>
      </c>
      <c r="G119" s="1229"/>
      <c r="H119" s="454"/>
      <c r="I119" s="593"/>
      <c r="J119" s="496"/>
      <c r="K119" s="496"/>
      <c r="L119" s="496"/>
    </row>
    <row r="120" spans="1:12" ht="35.1" customHeight="1">
      <c r="A120" s="143"/>
      <c r="C120" s="496"/>
      <c r="D120" s="127" t="s">
        <v>453</v>
      </c>
      <c r="E120" s="943" t="str">
        <f>IF(F105&gt;0,"Yes","No")</f>
        <v>No</v>
      </c>
      <c r="F120" s="1229" t="str">
        <f>IF(E120="No","Total Design Cost missing","No Issues")</f>
        <v>Total Design Cost missing</v>
      </c>
      <c r="G120" s="1229"/>
      <c r="H120" s="904"/>
      <c r="I120" s="904"/>
      <c r="J120" s="496"/>
      <c r="K120" s="496"/>
      <c r="L120" s="496"/>
    </row>
    <row r="121" spans="1:12" ht="35.1" customHeight="1">
      <c r="A121" s="143"/>
      <c r="C121" s="496"/>
      <c r="D121" s="127" t="s">
        <v>454</v>
      </c>
      <c r="E121" s="943" t="str">
        <f>IF(F106&gt;0,"Yes","No")</f>
        <v>No</v>
      </c>
      <c r="F121" s="1229" t="str">
        <f>IF(E121="No","Total Construction Cost missing","No Issues")</f>
        <v>Total Construction Cost missing</v>
      </c>
      <c r="G121" s="1229"/>
      <c r="H121" s="904"/>
      <c r="I121" s="904"/>
      <c r="J121" s="496"/>
      <c r="K121" s="496"/>
      <c r="L121" s="496"/>
    </row>
    <row r="122" spans="1:12" ht="35.1" customHeight="1">
      <c r="A122" s="143"/>
      <c r="C122" s="496"/>
      <c r="D122" s="127" t="s">
        <v>455</v>
      </c>
      <c r="E122" s="943" t="str">
        <f>IF(F108&gt;0,"Yes","No")</f>
        <v>No</v>
      </c>
      <c r="F122" s="1229" t="str">
        <f>IF(E122="No","Green Star Certification Fees missing","No Issues")</f>
        <v>Green Star Certification Fees missing</v>
      </c>
      <c r="G122" s="1229"/>
      <c r="H122" s="904"/>
      <c r="I122" s="904"/>
      <c r="J122" s="496"/>
      <c r="K122" s="496"/>
      <c r="L122" s="496"/>
    </row>
    <row r="123" spans="1:12" ht="35.1" hidden="1" customHeight="1">
      <c r="A123" s="143" t="s">
        <v>14</v>
      </c>
      <c r="C123" s="496"/>
      <c r="D123" s="591" t="s">
        <v>188</v>
      </c>
      <c r="E123" s="592"/>
      <c r="F123" s="1230" t="s">
        <v>652</v>
      </c>
      <c r="G123" s="1230"/>
      <c r="H123" s="904"/>
      <c r="I123" s="904"/>
      <c r="J123" s="496"/>
      <c r="K123" s="496"/>
      <c r="L123" s="496"/>
    </row>
    <row r="124" spans="1:12" ht="45" hidden="1" customHeight="1">
      <c r="A124" s="143" t="s">
        <v>14</v>
      </c>
      <c r="C124" s="496"/>
      <c r="D124" s="128" t="s">
        <v>457</v>
      </c>
      <c r="E124" s="1446" t="str">
        <f>IF(OR(COUNTIF(F115:G122,"No Issues*")=8,F123="YES"),"1 POINT AWARDED","1 POINT NOT AWARDED")</f>
        <v>1 POINT NOT AWARDED</v>
      </c>
      <c r="F124" s="1446"/>
      <c r="G124" s="1446"/>
      <c r="H124" s="496"/>
      <c r="I124" s="496"/>
      <c r="J124" s="496"/>
      <c r="K124" s="496"/>
      <c r="L124" s="496"/>
    </row>
    <row r="125" spans="1:12">
      <c r="A125" s="496"/>
      <c r="C125" s="496"/>
      <c r="D125" s="496"/>
      <c r="E125" s="496"/>
      <c r="F125" s="538"/>
      <c r="H125" s="496"/>
      <c r="I125" s="496"/>
      <c r="J125" s="496"/>
      <c r="K125" s="496"/>
      <c r="L125" s="496"/>
    </row>
    <row r="126" spans="1:12">
      <c r="A126" s="496"/>
      <c r="C126" s="496"/>
      <c r="D126" s="496"/>
      <c r="E126" s="496"/>
      <c r="F126" s="538"/>
      <c r="H126" s="496"/>
      <c r="I126" s="496"/>
      <c r="J126" s="496"/>
      <c r="K126" s="496"/>
      <c r="L126" s="496"/>
    </row>
    <row r="127" spans="1:12">
      <c r="A127" s="496"/>
      <c r="C127" s="496"/>
      <c r="D127" s="496"/>
      <c r="E127" s="496"/>
      <c r="F127" s="538"/>
      <c r="H127" s="942"/>
      <c r="I127" s="942"/>
      <c r="J127" s="956"/>
      <c r="K127" s="956"/>
      <c r="L127" s="538"/>
    </row>
  </sheetData>
  <sortState xmlns:xlrd2="http://schemas.microsoft.com/office/spreadsheetml/2017/richdata2" ref="S3:AA10">
    <sortCondition ref="S3"/>
  </sortState>
  <customSheetViews>
    <customSheetView guid="{CEACA748-A46A-4C8B-98CF-30E51B671B84}" scale="80" showGridLines="0" fitToPage="1" printArea="1" hiddenColumns="1">
      <pane ySplit="7" topLeftCell="A112" activePane="bottomLeft" state="frozen"/>
      <selection pane="bottomLeft" activeCell="E125" sqref="E125"/>
      <rowBreaks count="1" manualBreakCount="1">
        <brk id="38" min="1" max="11" man="1"/>
      </rowBreaks>
      <pageMargins left="0" right="0" top="0" bottom="0" header="0" footer="0"/>
      <printOptions gridLines="1"/>
      <pageSetup paperSize="8" scale="44" orientation="portrait" r:id="rId1"/>
    </customSheetView>
    <customSheetView guid="{2ED91B50-D126-4494-B9B8-889B5F8EA715}" showPageBreaks="1" fitToPage="1" printArea="1" view="pageBreakPreview">
      <selection activeCell="E5" sqref="E5"/>
      <rowBreaks count="1" manualBreakCount="1">
        <brk id="29" max="10" man="1"/>
      </rowBreaks>
      <pageMargins left="0" right="0" top="0" bottom="0" header="0" footer="0"/>
      <printOptions gridLines="1"/>
      <pageSetup paperSize="8" scale="65" orientation="portrait" r:id="rId2"/>
    </customSheetView>
  </customSheetViews>
  <mergeCells count="33">
    <mergeCell ref="H6:I6"/>
    <mergeCell ref="B1:F1"/>
    <mergeCell ref="F121:G121"/>
    <mergeCell ref="F122:G122"/>
    <mergeCell ref="B10:B11"/>
    <mergeCell ref="C10:C11"/>
    <mergeCell ref="B14:B15"/>
    <mergeCell ref="C14:C15"/>
    <mergeCell ref="B18:B19"/>
    <mergeCell ref="C18:C19"/>
    <mergeCell ref="B31:B33"/>
    <mergeCell ref="C31:C33"/>
    <mergeCell ref="B40:B41"/>
    <mergeCell ref="C40:C41"/>
    <mergeCell ref="B49:B50"/>
    <mergeCell ref="C49:C50"/>
    <mergeCell ref="E124:G124"/>
    <mergeCell ref="E99:E101"/>
    <mergeCell ref="F115:G115"/>
    <mergeCell ref="F116:G116"/>
    <mergeCell ref="F118:G118"/>
    <mergeCell ref="F119:G119"/>
    <mergeCell ref="F120:G120"/>
    <mergeCell ref="F117:G117"/>
    <mergeCell ref="F123:G123"/>
    <mergeCell ref="B92:B93"/>
    <mergeCell ref="C92:C93"/>
    <mergeCell ref="B65:B66"/>
    <mergeCell ref="C65:C66"/>
    <mergeCell ref="B68:B69"/>
    <mergeCell ref="C68:C69"/>
    <mergeCell ref="B70:B71"/>
    <mergeCell ref="C70:C71"/>
  </mergeCells>
  <conditionalFormatting sqref="H9:L20 H24:L35 H39:L43 H47:L52 H56:L60 H64:L75 H79:L83 H87:L95 H99:L101">
    <cfRule type="expression" dxfId="7" priority="7">
      <formula>$F9=""</formula>
    </cfRule>
  </conditionalFormatting>
  <conditionalFormatting sqref="F115:G122">
    <cfRule type="containsText" dxfId="6" priority="16" operator="containsText" text="No Issues">
      <formula>NOT(ISERROR(SEARCH("No Issues",F115)))</formula>
    </cfRule>
  </conditionalFormatting>
  <conditionalFormatting sqref="B29:F30 D32:F33 B34:F34 B43:F43 B47:F48 B58:F58 B60:F60 D65:F66 D68:F71 B72:F74 B80:F80 B82:F82 B89:F89 B91:F91 D93:F93">
    <cfRule type="expression" dxfId="5" priority="5">
      <formula>$Q29=TRUE</formula>
    </cfRule>
  </conditionalFormatting>
  <conditionalFormatting sqref="H29:H93 J29:K93">
    <cfRule type="expression" dxfId="4" priority="4">
      <formula>$Q29=TRUE</formula>
    </cfRule>
  </conditionalFormatting>
  <conditionalFormatting sqref="L29:L30 L32:L34 L43 L47:L48 L58 L60 L65:L66 L68:L74 L80 L82 L89 L91 L93">
    <cfRule type="cellIs" dxfId="3" priority="8" operator="equal">
      <formula>"NA"</formula>
    </cfRule>
  </conditionalFormatting>
  <conditionalFormatting sqref="H6:J6">
    <cfRule type="containsText" dxfId="2" priority="17" operator="containsText" text="Select">
      <formula>NOT(ISERROR(SEARCH("Select",H6)))</formula>
    </cfRule>
  </conditionalFormatting>
  <conditionalFormatting sqref="C2:C5 F2">
    <cfRule type="containsText" dxfId="1" priority="15" operator="containsText" text="Please">
      <formula>NOT(ISERROR(SEARCH("Please",C2)))</formula>
    </cfRule>
  </conditionalFormatting>
  <conditionalFormatting sqref="F123">
    <cfRule type="cellIs" dxfId="0" priority="1" operator="equal">
      <formula>"YES"</formula>
    </cfRule>
  </conditionalFormatting>
  <dataValidations count="12">
    <dataValidation allowBlank="1" showErrorMessage="1" promptTitle="Rating Tool Version" prompt="Please select the project's rating tool version" sqref="C5" xr:uid="{00000000-0002-0000-1000-000000000000}"/>
    <dataValidation allowBlank="1" showInputMessage="1" showErrorMessage="1" promptTitle="Project number" prompt="Please enter the Green Star number" sqref="C2" xr:uid="{00000000-0002-0000-1000-000001000000}"/>
    <dataValidation allowBlank="1" showInputMessage="1" showErrorMessage="1" promptTitle="Project Name" prompt="Please enter the project name" sqref="C3" xr:uid="{00000000-0002-0000-1000-000002000000}"/>
    <dataValidation type="list" allowBlank="1" showInputMessage="1" showErrorMessage="1" promptTitle="Green Star Rating" prompt="Please select the project's targeted rating" sqref="C4" xr:uid="{00000000-0002-0000-1000-000003000000}">
      <formula1>$N$2:$N$5</formula1>
    </dataValidation>
    <dataValidation type="list" allowBlank="1" showInputMessage="1" showErrorMessage="1" sqref="H6" xr:uid="{00000000-0002-0000-1000-000004000000}">
      <formula1>$N$7:$N$9</formula1>
    </dataValidation>
    <dataValidation type="list" allowBlank="1" showInputMessage="1" showErrorMessage="1" sqref="J6" xr:uid="{00000000-0002-0000-1000-000005000000}">
      <formula1>$O$7:$O$9</formula1>
    </dataValidation>
    <dataValidation type="whole" allowBlank="1" showInputMessage="1" showErrorMessage="1" sqref="F99:F101 F56:F60 F80:F83 F9:F20 F24:F35 F39:F43 F47:F52 F64:F75 F87:F95" xr:uid="{00000000-0002-0000-1000-000006000000}">
      <formula1>0</formula1>
      <formula2>E9</formula2>
    </dataValidation>
    <dataValidation type="list" allowBlank="1" showInputMessage="1" showErrorMessage="1" sqref="E115" xr:uid="{00000000-0002-0000-1000-000007000000}">
      <formula1>"Please select, Yes, No"</formula1>
    </dataValidation>
    <dataValidation type="list" allowBlank="1" showInputMessage="1" showErrorMessage="1" sqref="F79" xr:uid="{00000000-0002-0000-1000-000008000000}">
      <formula1>$N$11:$N$12</formula1>
    </dataValidation>
    <dataValidation type="list" allowBlank="1" showInputMessage="1" showErrorMessage="1" sqref="F2" xr:uid="{00000000-0002-0000-1000-000009000000}">
      <formula1>$S$2:$S$10</formula1>
    </dataValidation>
    <dataValidation type="decimal" operator="greaterThanOrEqual" allowBlank="1" showInputMessage="1" showErrorMessage="1" sqref="H9:I101 F105:F106 F108" xr:uid="{00000000-0002-0000-1000-00000A000000}">
      <formula1>0</formula1>
    </dataValidation>
    <dataValidation type="list" allowBlank="1" showInputMessage="1" showErrorMessage="1" sqref="F123:G123" xr:uid="{00000000-0002-0000-1000-00000B000000}">
      <formula1>"YES/NO, YES, NO"</formula1>
    </dataValidation>
  </dataValidations>
  <printOptions gridLines="1"/>
  <pageMargins left="0.70866141732283472" right="0.70866141732283472" top="2.3622047244094491" bottom="0.74803149606299213" header="1.0629921259842521" footer="0.31496062992125984"/>
  <pageSetup paperSize="8" scale="44" orientation="portrait" r:id="rId3"/>
  <rowBreaks count="1" manualBreakCount="1">
    <brk id="38" min="1" max="11" man="1"/>
  </rowBreaks>
  <ignoredErrors>
    <ignoredError sqref="K59:L59 K75:L79 K61:L64 K67:L67 K81:L81 K83:L88 K90:L90 K92:L92 K94:L101" formula="1"/>
  </ignoredErrors>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69633" r:id="rId7" name="Check Box 1">
              <controlPr defaultSize="0" autoFill="0" autoLine="0" autoPict="0">
                <anchor moveWithCells="1">
                  <from>
                    <xdr:col>0</xdr:col>
                    <xdr:colOff>69850</xdr:colOff>
                    <xdr:row>28</xdr:row>
                    <xdr:rowOff>228600</xdr:rowOff>
                  </from>
                  <to>
                    <xdr:col>1</xdr:col>
                    <xdr:colOff>609600</xdr:colOff>
                    <xdr:row>28</xdr:row>
                    <xdr:rowOff>438150</xdr:rowOff>
                  </to>
                </anchor>
              </controlPr>
            </control>
          </mc:Choice>
        </mc:AlternateContent>
        <mc:AlternateContent xmlns:mc="http://schemas.openxmlformats.org/markup-compatibility/2006">
          <mc:Choice Requires="x14">
            <control shapeId="69634" r:id="rId8" name="Check Box 2">
              <controlPr defaultSize="0" autoFill="0" autoLine="0" autoPict="0">
                <anchor moveWithCells="1">
                  <from>
                    <xdr:col>0</xdr:col>
                    <xdr:colOff>69850</xdr:colOff>
                    <xdr:row>29</xdr:row>
                    <xdr:rowOff>228600</xdr:rowOff>
                  </from>
                  <to>
                    <xdr:col>1</xdr:col>
                    <xdr:colOff>609600</xdr:colOff>
                    <xdr:row>29</xdr:row>
                    <xdr:rowOff>438150</xdr:rowOff>
                  </to>
                </anchor>
              </controlPr>
            </control>
          </mc:Choice>
        </mc:AlternateContent>
        <mc:AlternateContent xmlns:mc="http://schemas.openxmlformats.org/markup-compatibility/2006">
          <mc:Choice Requires="x14">
            <control shapeId="69635" r:id="rId9" name="Check Box 3">
              <controlPr defaultSize="0" autoFill="0" autoLine="0" autoPict="0">
                <anchor moveWithCells="1">
                  <from>
                    <xdr:col>0</xdr:col>
                    <xdr:colOff>69850</xdr:colOff>
                    <xdr:row>31</xdr:row>
                    <xdr:rowOff>228600</xdr:rowOff>
                  </from>
                  <to>
                    <xdr:col>1</xdr:col>
                    <xdr:colOff>609600</xdr:colOff>
                    <xdr:row>31</xdr:row>
                    <xdr:rowOff>438150</xdr:rowOff>
                  </to>
                </anchor>
              </controlPr>
            </control>
          </mc:Choice>
        </mc:AlternateContent>
        <mc:AlternateContent xmlns:mc="http://schemas.openxmlformats.org/markup-compatibility/2006">
          <mc:Choice Requires="x14">
            <control shapeId="69636" r:id="rId10" name="Check Box 4">
              <controlPr defaultSize="0" autoFill="0" autoLine="0" autoPict="0">
                <anchor moveWithCells="1">
                  <from>
                    <xdr:col>0</xdr:col>
                    <xdr:colOff>69850</xdr:colOff>
                    <xdr:row>32</xdr:row>
                    <xdr:rowOff>228600</xdr:rowOff>
                  </from>
                  <to>
                    <xdr:col>1</xdr:col>
                    <xdr:colOff>609600</xdr:colOff>
                    <xdr:row>32</xdr:row>
                    <xdr:rowOff>438150</xdr:rowOff>
                  </to>
                </anchor>
              </controlPr>
            </control>
          </mc:Choice>
        </mc:AlternateContent>
        <mc:AlternateContent xmlns:mc="http://schemas.openxmlformats.org/markup-compatibility/2006">
          <mc:Choice Requires="x14">
            <control shapeId="69637" r:id="rId11" name="Check Box 5">
              <controlPr defaultSize="0" autoFill="0" autoLine="0" autoPict="0">
                <anchor moveWithCells="1">
                  <from>
                    <xdr:col>0</xdr:col>
                    <xdr:colOff>69850</xdr:colOff>
                    <xdr:row>33</xdr:row>
                    <xdr:rowOff>228600</xdr:rowOff>
                  </from>
                  <to>
                    <xdr:col>1</xdr:col>
                    <xdr:colOff>609600</xdr:colOff>
                    <xdr:row>33</xdr:row>
                    <xdr:rowOff>438150</xdr:rowOff>
                  </to>
                </anchor>
              </controlPr>
            </control>
          </mc:Choice>
        </mc:AlternateContent>
        <mc:AlternateContent xmlns:mc="http://schemas.openxmlformats.org/markup-compatibility/2006">
          <mc:Choice Requires="x14">
            <control shapeId="69638" r:id="rId12" name="Check Box 6">
              <controlPr defaultSize="0" autoFill="0" autoLine="0" autoPict="0">
                <anchor moveWithCells="1">
                  <from>
                    <xdr:col>0</xdr:col>
                    <xdr:colOff>69850</xdr:colOff>
                    <xdr:row>42</xdr:row>
                    <xdr:rowOff>228600</xdr:rowOff>
                  </from>
                  <to>
                    <xdr:col>1</xdr:col>
                    <xdr:colOff>609600</xdr:colOff>
                    <xdr:row>42</xdr:row>
                    <xdr:rowOff>438150</xdr:rowOff>
                  </to>
                </anchor>
              </controlPr>
            </control>
          </mc:Choice>
        </mc:AlternateContent>
        <mc:AlternateContent xmlns:mc="http://schemas.openxmlformats.org/markup-compatibility/2006">
          <mc:Choice Requires="x14">
            <control shapeId="69639" r:id="rId13" name="Check Box 7">
              <controlPr defaultSize="0" autoFill="0" autoLine="0" autoPict="0">
                <anchor moveWithCells="1">
                  <from>
                    <xdr:col>0</xdr:col>
                    <xdr:colOff>69850</xdr:colOff>
                    <xdr:row>46</xdr:row>
                    <xdr:rowOff>228600</xdr:rowOff>
                  </from>
                  <to>
                    <xdr:col>1</xdr:col>
                    <xdr:colOff>609600</xdr:colOff>
                    <xdr:row>46</xdr:row>
                    <xdr:rowOff>438150</xdr:rowOff>
                  </to>
                </anchor>
              </controlPr>
            </control>
          </mc:Choice>
        </mc:AlternateContent>
        <mc:AlternateContent xmlns:mc="http://schemas.openxmlformats.org/markup-compatibility/2006">
          <mc:Choice Requires="x14">
            <control shapeId="69640" r:id="rId14" name="Check Box 8">
              <controlPr defaultSize="0" autoFill="0" autoLine="0" autoPict="0">
                <anchor moveWithCells="1">
                  <from>
                    <xdr:col>0</xdr:col>
                    <xdr:colOff>69850</xdr:colOff>
                    <xdr:row>47</xdr:row>
                    <xdr:rowOff>228600</xdr:rowOff>
                  </from>
                  <to>
                    <xdr:col>1</xdr:col>
                    <xdr:colOff>609600</xdr:colOff>
                    <xdr:row>47</xdr:row>
                    <xdr:rowOff>438150</xdr:rowOff>
                  </to>
                </anchor>
              </controlPr>
            </control>
          </mc:Choice>
        </mc:AlternateContent>
        <mc:AlternateContent xmlns:mc="http://schemas.openxmlformats.org/markup-compatibility/2006">
          <mc:Choice Requires="x14">
            <control shapeId="69641" r:id="rId15" name="Check Box 9">
              <controlPr defaultSize="0" autoFill="0" autoLine="0" autoPict="0">
                <anchor moveWithCells="1">
                  <from>
                    <xdr:col>0</xdr:col>
                    <xdr:colOff>69850</xdr:colOff>
                    <xdr:row>57</xdr:row>
                    <xdr:rowOff>228600</xdr:rowOff>
                  </from>
                  <to>
                    <xdr:col>1</xdr:col>
                    <xdr:colOff>609600</xdr:colOff>
                    <xdr:row>57</xdr:row>
                    <xdr:rowOff>438150</xdr:rowOff>
                  </to>
                </anchor>
              </controlPr>
            </control>
          </mc:Choice>
        </mc:AlternateContent>
        <mc:AlternateContent xmlns:mc="http://schemas.openxmlformats.org/markup-compatibility/2006">
          <mc:Choice Requires="x14">
            <control shapeId="69642" r:id="rId16" name="Check Box 10">
              <controlPr defaultSize="0" autoFill="0" autoLine="0" autoPict="0">
                <anchor moveWithCells="1">
                  <from>
                    <xdr:col>0</xdr:col>
                    <xdr:colOff>69850</xdr:colOff>
                    <xdr:row>59</xdr:row>
                    <xdr:rowOff>228600</xdr:rowOff>
                  </from>
                  <to>
                    <xdr:col>1</xdr:col>
                    <xdr:colOff>609600</xdr:colOff>
                    <xdr:row>59</xdr:row>
                    <xdr:rowOff>438150</xdr:rowOff>
                  </to>
                </anchor>
              </controlPr>
            </control>
          </mc:Choice>
        </mc:AlternateContent>
        <mc:AlternateContent xmlns:mc="http://schemas.openxmlformats.org/markup-compatibility/2006">
          <mc:Choice Requires="x14">
            <control shapeId="69643" r:id="rId17" name="Check Box 11">
              <controlPr defaultSize="0" autoFill="0" autoLine="0" autoPict="0">
                <anchor moveWithCells="1">
                  <from>
                    <xdr:col>0</xdr:col>
                    <xdr:colOff>69850</xdr:colOff>
                    <xdr:row>64</xdr:row>
                    <xdr:rowOff>228600</xdr:rowOff>
                  </from>
                  <to>
                    <xdr:col>1</xdr:col>
                    <xdr:colOff>609600</xdr:colOff>
                    <xdr:row>64</xdr:row>
                    <xdr:rowOff>438150</xdr:rowOff>
                  </to>
                </anchor>
              </controlPr>
            </control>
          </mc:Choice>
        </mc:AlternateContent>
        <mc:AlternateContent xmlns:mc="http://schemas.openxmlformats.org/markup-compatibility/2006">
          <mc:Choice Requires="x14">
            <control shapeId="69644" r:id="rId18" name="Check Box 12">
              <controlPr defaultSize="0" autoFill="0" autoLine="0" autoPict="0">
                <anchor moveWithCells="1">
                  <from>
                    <xdr:col>0</xdr:col>
                    <xdr:colOff>69850</xdr:colOff>
                    <xdr:row>65</xdr:row>
                    <xdr:rowOff>228600</xdr:rowOff>
                  </from>
                  <to>
                    <xdr:col>1</xdr:col>
                    <xdr:colOff>609600</xdr:colOff>
                    <xdr:row>65</xdr:row>
                    <xdr:rowOff>438150</xdr:rowOff>
                  </to>
                </anchor>
              </controlPr>
            </control>
          </mc:Choice>
        </mc:AlternateContent>
        <mc:AlternateContent xmlns:mc="http://schemas.openxmlformats.org/markup-compatibility/2006">
          <mc:Choice Requires="x14">
            <control shapeId="69645" r:id="rId19" name="Check Box 13">
              <controlPr defaultSize="0" autoFill="0" autoLine="0" autoPict="0">
                <anchor moveWithCells="1">
                  <from>
                    <xdr:col>0</xdr:col>
                    <xdr:colOff>69850</xdr:colOff>
                    <xdr:row>67</xdr:row>
                    <xdr:rowOff>228600</xdr:rowOff>
                  </from>
                  <to>
                    <xdr:col>1</xdr:col>
                    <xdr:colOff>609600</xdr:colOff>
                    <xdr:row>67</xdr:row>
                    <xdr:rowOff>438150</xdr:rowOff>
                  </to>
                </anchor>
              </controlPr>
            </control>
          </mc:Choice>
        </mc:AlternateContent>
        <mc:AlternateContent xmlns:mc="http://schemas.openxmlformats.org/markup-compatibility/2006">
          <mc:Choice Requires="x14">
            <control shapeId="69646" r:id="rId20" name="Check Box 14">
              <controlPr defaultSize="0" autoFill="0" autoLine="0" autoPict="0">
                <anchor moveWithCells="1">
                  <from>
                    <xdr:col>0</xdr:col>
                    <xdr:colOff>69850</xdr:colOff>
                    <xdr:row>68</xdr:row>
                    <xdr:rowOff>228600</xdr:rowOff>
                  </from>
                  <to>
                    <xdr:col>1</xdr:col>
                    <xdr:colOff>609600</xdr:colOff>
                    <xdr:row>68</xdr:row>
                    <xdr:rowOff>438150</xdr:rowOff>
                  </to>
                </anchor>
              </controlPr>
            </control>
          </mc:Choice>
        </mc:AlternateContent>
        <mc:AlternateContent xmlns:mc="http://schemas.openxmlformats.org/markup-compatibility/2006">
          <mc:Choice Requires="x14">
            <control shapeId="69647" r:id="rId21" name="Check Box 15">
              <controlPr defaultSize="0" autoFill="0" autoLine="0" autoPict="0">
                <anchor moveWithCells="1">
                  <from>
                    <xdr:col>0</xdr:col>
                    <xdr:colOff>69850</xdr:colOff>
                    <xdr:row>69</xdr:row>
                    <xdr:rowOff>228600</xdr:rowOff>
                  </from>
                  <to>
                    <xdr:col>1</xdr:col>
                    <xdr:colOff>609600</xdr:colOff>
                    <xdr:row>69</xdr:row>
                    <xdr:rowOff>438150</xdr:rowOff>
                  </to>
                </anchor>
              </controlPr>
            </control>
          </mc:Choice>
        </mc:AlternateContent>
        <mc:AlternateContent xmlns:mc="http://schemas.openxmlformats.org/markup-compatibility/2006">
          <mc:Choice Requires="x14">
            <control shapeId="69648" r:id="rId22" name="Check Box 16">
              <controlPr defaultSize="0" autoFill="0" autoLine="0" autoPict="0">
                <anchor moveWithCells="1">
                  <from>
                    <xdr:col>0</xdr:col>
                    <xdr:colOff>69850</xdr:colOff>
                    <xdr:row>70</xdr:row>
                    <xdr:rowOff>228600</xdr:rowOff>
                  </from>
                  <to>
                    <xdr:col>1</xdr:col>
                    <xdr:colOff>609600</xdr:colOff>
                    <xdr:row>70</xdr:row>
                    <xdr:rowOff>438150</xdr:rowOff>
                  </to>
                </anchor>
              </controlPr>
            </control>
          </mc:Choice>
        </mc:AlternateContent>
        <mc:AlternateContent xmlns:mc="http://schemas.openxmlformats.org/markup-compatibility/2006">
          <mc:Choice Requires="x14">
            <control shapeId="69649" r:id="rId23" name="Check Box 17">
              <controlPr defaultSize="0" autoFill="0" autoLine="0" autoPict="0">
                <anchor moveWithCells="1">
                  <from>
                    <xdr:col>0</xdr:col>
                    <xdr:colOff>69850</xdr:colOff>
                    <xdr:row>71</xdr:row>
                    <xdr:rowOff>228600</xdr:rowOff>
                  </from>
                  <to>
                    <xdr:col>1</xdr:col>
                    <xdr:colOff>609600</xdr:colOff>
                    <xdr:row>71</xdr:row>
                    <xdr:rowOff>438150</xdr:rowOff>
                  </to>
                </anchor>
              </controlPr>
            </control>
          </mc:Choice>
        </mc:AlternateContent>
        <mc:AlternateContent xmlns:mc="http://schemas.openxmlformats.org/markup-compatibility/2006">
          <mc:Choice Requires="x14">
            <control shapeId="69650" r:id="rId24" name="Check Box 18">
              <controlPr defaultSize="0" autoFill="0" autoLine="0" autoPict="0">
                <anchor moveWithCells="1">
                  <from>
                    <xdr:col>0</xdr:col>
                    <xdr:colOff>69850</xdr:colOff>
                    <xdr:row>72</xdr:row>
                    <xdr:rowOff>228600</xdr:rowOff>
                  </from>
                  <to>
                    <xdr:col>1</xdr:col>
                    <xdr:colOff>609600</xdr:colOff>
                    <xdr:row>72</xdr:row>
                    <xdr:rowOff>438150</xdr:rowOff>
                  </to>
                </anchor>
              </controlPr>
            </control>
          </mc:Choice>
        </mc:AlternateContent>
        <mc:AlternateContent xmlns:mc="http://schemas.openxmlformats.org/markup-compatibility/2006">
          <mc:Choice Requires="x14">
            <control shapeId="69651" r:id="rId25" name="Check Box 19">
              <controlPr defaultSize="0" autoFill="0" autoLine="0" autoPict="0">
                <anchor moveWithCells="1">
                  <from>
                    <xdr:col>0</xdr:col>
                    <xdr:colOff>69850</xdr:colOff>
                    <xdr:row>79</xdr:row>
                    <xdr:rowOff>228600</xdr:rowOff>
                  </from>
                  <to>
                    <xdr:col>1</xdr:col>
                    <xdr:colOff>609600</xdr:colOff>
                    <xdr:row>79</xdr:row>
                    <xdr:rowOff>438150</xdr:rowOff>
                  </to>
                </anchor>
              </controlPr>
            </control>
          </mc:Choice>
        </mc:AlternateContent>
        <mc:AlternateContent xmlns:mc="http://schemas.openxmlformats.org/markup-compatibility/2006">
          <mc:Choice Requires="x14">
            <control shapeId="69652" r:id="rId26" name="Check Box 20">
              <controlPr defaultSize="0" autoFill="0" autoLine="0" autoPict="0">
                <anchor moveWithCells="1">
                  <from>
                    <xdr:col>0</xdr:col>
                    <xdr:colOff>69850</xdr:colOff>
                    <xdr:row>81</xdr:row>
                    <xdr:rowOff>228600</xdr:rowOff>
                  </from>
                  <to>
                    <xdr:col>1</xdr:col>
                    <xdr:colOff>609600</xdr:colOff>
                    <xdr:row>81</xdr:row>
                    <xdr:rowOff>438150</xdr:rowOff>
                  </to>
                </anchor>
              </controlPr>
            </control>
          </mc:Choice>
        </mc:AlternateContent>
        <mc:AlternateContent xmlns:mc="http://schemas.openxmlformats.org/markup-compatibility/2006">
          <mc:Choice Requires="x14">
            <control shapeId="69653" r:id="rId27" name="Check Box 21">
              <controlPr defaultSize="0" autoFill="0" autoLine="0" autoPict="0">
                <anchor moveWithCells="1">
                  <from>
                    <xdr:col>0</xdr:col>
                    <xdr:colOff>69850</xdr:colOff>
                    <xdr:row>88</xdr:row>
                    <xdr:rowOff>228600</xdr:rowOff>
                  </from>
                  <to>
                    <xdr:col>1</xdr:col>
                    <xdr:colOff>609600</xdr:colOff>
                    <xdr:row>88</xdr:row>
                    <xdr:rowOff>438150</xdr:rowOff>
                  </to>
                </anchor>
              </controlPr>
            </control>
          </mc:Choice>
        </mc:AlternateContent>
        <mc:AlternateContent xmlns:mc="http://schemas.openxmlformats.org/markup-compatibility/2006">
          <mc:Choice Requires="x14">
            <control shapeId="69654" r:id="rId28" name="Check Box 22">
              <controlPr defaultSize="0" autoFill="0" autoLine="0" autoPict="0">
                <anchor moveWithCells="1">
                  <from>
                    <xdr:col>0</xdr:col>
                    <xdr:colOff>69850</xdr:colOff>
                    <xdr:row>90</xdr:row>
                    <xdr:rowOff>228600</xdr:rowOff>
                  </from>
                  <to>
                    <xdr:col>1</xdr:col>
                    <xdr:colOff>609600</xdr:colOff>
                    <xdr:row>90</xdr:row>
                    <xdr:rowOff>438150</xdr:rowOff>
                  </to>
                </anchor>
              </controlPr>
            </control>
          </mc:Choice>
        </mc:AlternateContent>
        <mc:AlternateContent xmlns:mc="http://schemas.openxmlformats.org/markup-compatibility/2006">
          <mc:Choice Requires="x14">
            <control shapeId="69655" r:id="rId29" name="Check Box 23">
              <controlPr defaultSize="0" autoFill="0" autoLine="0" autoPict="0">
                <anchor moveWithCells="1">
                  <from>
                    <xdr:col>0</xdr:col>
                    <xdr:colOff>69850</xdr:colOff>
                    <xdr:row>92</xdr:row>
                    <xdr:rowOff>228600</xdr:rowOff>
                  </from>
                  <to>
                    <xdr:col>1</xdr:col>
                    <xdr:colOff>609600</xdr:colOff>
                    <xdr:row>92</xdr:row>
                    <xdr:rowOff>438150</xdr:rowOff>
                  </to>
                </anchor>
              </controlPr>
            </control>
          </mc:Choice>
        </mc:AlternateContent>
        <mc:AlternateContent xmlns:mc="http://schemas.openxmlformats.org/markup-compatibility/2006">
          <mc:Choice Requires="x14">
            <control shapeId="69658" r:id="rId30" name="Check Box 26">
              <controlPr defaultSize="0" autoFill="0" autoLine="0" autoPict="0">
                <anchor moveWithCells="1">
                  <from>
                    <xdr:col>0</xdr:col>
                    <xdr:colOff>69850</xdr:colOff>
                    <xdr:row>73</xdr:row>
                    <xdr:rowOff>228600</xdr:rowOff>
                  </from>
                  <to>
                    <xdr:col>1</xdr:col>
                    <xdr:colOff>609600</xdr:colOff>
                    <xdr:row>73</xdr:row>
                    <xdr:rowOff>438150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117"/>
  <sheetViews>
    <sheetView zoomScale="90" zoomScaleNormal="90" workbookViewId="0">
      <selection activeCell="I12" sqref="I12"/>
    </sheetView>
  </sheetViews>
  <sheetFormatPr defaultColWidth="9.140625" defaultRowHeight="14.1"/>
  <cols>
    <col min="1" max="1" width="3.140625" style="578" customWidth="1"/>
    <col min="2" max="2" width="21.140625" style="448" customWidth="1"/>
    <col min="3" max="3" width="11.85546875" style="448" customWidth="1"/>
    <col min="4" max="4" width="9.140625" style="448" customWidth="1"/>
    <col min="5" max="5" width="9.5703125" style="448" bestFit="1" customWidth="1"/>
    <col min="6" max="6" width="9.140625" style="448"/>
    <col min="7" max="7" width="17.7109375" style="448" customWidth="1"/>
    <col min="8" max="8" width="12.42578125" style="448" customWidth="1"/>
    <col min="9" max="9" width="70.7109375" style="448" customWidth="1"/>
    <col min="10" max="11" width="50.7109375" style="448" customWidth="1"/>
    <col min="12" max="16384" width="9.140625" style="185"/>
  </cols>
  <sheetData>
    <row r="1" spans="2:11">
      <c r="B1" s="185"/>
      <c r="C1" s="185"/>
      <c r="D1" s="185"/>
      <c r="E1" s="185"/>
      <c r="F1" s="185"/>
      <c r="G1" s="185"/>
      <c r="H1" s="185"/>
      <c r="I1" s="185"/>
      <c r="J1" s="185"/>
      <c r="K1" s="185"/>
    </row>
    <row r="2" spans="2:11">
      <c r="B2" s="185"/>
      <c r="C2" s="185"/>
      <c r="D2" s="185"/>
      <c r="E2" s="185"/>
      <c r="F2" s="185"/>
      <c r="G2" s="185"/>
      <c r="H2" s="185"/>
      <c r="I2" s="185"/>
      <c r="J2" s="185"/>
      <c r="K2" s="185"/>
    </row>
    <row r="3" spans="2:11" ht="78.75" customHeight="1">
      <c r="B3" s="188" t="s">
        <v>0</v>
      </c>
      <c r="C3" s="185"/>
      <c r="D3" s="185"/>
      <c r="E3" s="185"/>
      <c r="F3" s="185"/>
      <c r="G3" s="185"/>
      <c r="H3" s="185"/>
      <c r="I3" s="185"/>
      <c r="J3" s="185"/>
      <c r="K3" s="185"/>
    </row>
    <row r="4" spans="2:11">
      <c r="B4" s="185" t="s">
        <v>1</v>
      </c>
      <c r="C4" s="185"/>
      <c r="D4" s="185"/>
      <c r="E4" s="185"/>
      <c r="F4" s="185"/>
      <c r="G4" s="185"/>
      <c r="H4" s="185"/>
      <c r="I4" s="185"/>
      <c r="J4" s="185"/>
      <c r="K4" s="185"/>
    </row>
    <row r="5" spans="2:11">
      <c r="B5" s="185"/>
      <c r="C5" s="185"/>
      <c r="D5" s="185"/>
      <c r="E5" s="185"/>
      <c r="F5" s="185"/>
      <c r="G5" s="185"/>
      <c r="H5" s="185"/>
      <c r="I5" s="185"/>
      <c r="J5" s="185"/>
      <c r="K5" s="185"/>
    </row>
    <row r="6" spans="2:11" ht="30" customHeight="1">
      <c r="B6" s="1159" t="s">
        <v>4</v>
      </c>
      <c r="C6" s="1159"/>
      <c r="D6" s="1159"/>
      <c r="E6" s="1159"/>
      <c r="F6" s="1159"/>
      <c r="G6" s="1159"/>
      <c r="H6" s="1159"/>
      <c r="I6" s="186"/>
      <c r="J6" s="185"/>
      <c r="K6" s="185"/>
    </row>
    <row r="7" spans="2:11">
      <c r="B7" s="185"/>
      <c r="C7" s="185"/>
      <c r="D7" s="185"/>
      <c r="E7" s="185"/>
      <c r="F7" s="185"/>
      <c r="G7" s="185"/>
      <c r="H7" s="185"/>
      <c r="I7" s="185"/>
      <c r="J7" s="185"/>
      <c r="K7" s="185"/>
    </row>
    <row r="8" spans="2:11" ht="21" customHeight="1">
      <c r="B8" s="189" t="s">
        <v>5</v>
      </c>
      <c r="C8" s="1160" t="s">
        <v>6</v>
      </c>
      <c r="D8" s="1161"/>
      <c r="E8" s="1161"/>
      <c r="F8" s="1161"/>
      <c r="G8" s="1161"/>
      <c r="H8" s="1161"/>
      <c r="I8" s="185"/>
      <c r="J8" s="185"/>
      <c r="K8" s="185"/>
    </row>
    <row r="9" spans="2:11" ht="21" customHeight="1">
      <c r="B9" s="802">
        <v>44517</v>
      </c>
      <c r="C9" s="1172" t="s">
        <v>7</v>
      </c>
      <c r="D9" s="1173"/>
      <c r="E9" s="1173"/>
      <c r="F9" s="1173"/>
      <c r="G9" s="1173"/>
      <c r="H9" s="1174"/>
      <c r="I9" s="185"/>
      <c r="J9" s="185"/>
      <c r="K9" s="185"/>
    </row>
    <row r="10" spans="2:11" ht="21" customHeight="1">
      <c r="B10" s="802">
        <v>44235</v>
      </c>
      <c r="C10" s="1172" t="s">
        <v>8</v>
      </c>
      <c r="D10" s="1173"/>
      <c r="E10" s="1173"/>
      <c r="F10" s="1173"/>
      <c r="G10" s="1173"/>
      <c r="H10" s="1174"/>
      <c r="I10" s="185"/>
      <c r="J10" s="185"/>
      <c r="K10" s="185"/>
    </row>
    <row r="11" spans="2:11" ht="65.45" customHeight="1">
      <c r="B11" s="802">
        <v>43887</v>
      </c>
      <c r="C11" s="1169" t="s">
        <v>9</v>
      </c>
      <c r="D11" s="1170"/>
      <c r="E11" s="1170"/>
      <c r="F11" s="1170"/>
      <c r="G11" s="1170"/>
      <c r="H11" s="1171"/>
      <c r="I11" s="185"/>
      <c r="J11" s="185"/>
      <c r="K11" s="185"/>
    </row>
    <row r="12" spans="2:11" ht="132" customHeight="1">
      <c r="B12" s="802">
        <v>43854</v>
      </c>
      <c r="C12" s="1168" t="s">
        <v>10</v>
      </c>
      <c r="D12" s="1163"/>
      <c r="E12" s="1163"/>
      <c r="F12" s="1163"/>
      <c r="G12" s="1163"/>
      <c r="H12" s="1164"/>
      <c r="I12" s="185"/>
      <c r="J12" s="185"/>
      <c r="K12" s="185"/>
    </row>
    <row r="13" spans="2:11" ht="46.5" customHeight="1">
      <c r="B13" s="802">
        <v>42437</v>
      </c>
      <c r="C13" s="1162" t="s">
        <v>11</v>
      </c>
      <c r="D13" s="1163"/>
      <c r="E13" s="1163"/>
      <c r="F13" s="1163"/>
      <c r="G13" s="1163"/>
      <c r="H13" s="1164"/>
      <c r="I13" s="185"/>
      <c r="J13" s="185"/>
      <c r="K13" s="185"/>
    </row>
    <row r="14" spans="2:11">
      <c r="B14" s="802">
        <v>42305</v>
      </c>
      <c r="C14" s="1162" t="s">
        <v>12</v>
      </c>
      <c r="D14" s="1163"/>
      <c r="E14" s="1163"/>
      <c r="F14" s="1163"/>
      <c r="G14" s="1163"/>
      <c r="H14" s="1164"/>
      <c r="I14" s="185"/>
      <c r="J14" s="185"/>
      <c r="K14" s="185"/>
    </row>
    <row r="15" spans="2:11">
      <c r="B15" s="802">
        <v>42278</v>
      </c>
      <c r="C15" s="1165" t="s">
        <v>13</v>
      </c>
      <c r="D15" s="1166"/>
      <c r="E15" s="1166"/>
      <c r="F15" s="1166"/>
      <c r="G15" s="1166"/>
      <c r="H15" s="1167"/>
      <c r="I15" s="185"/>
      <c r="J15" s="185"/>
      <c r="K15" s="185"/>
    </row>
    <row r="16" spans="2:11">
      <c r="B16" s="185"/>
      <c r="C16" s="185"/>
      <c r="D16" s="185"/>
      <c r="E16" s="185"/>
      <c r="F16" s="185"/>
      <c r="G16" s="185"/>
      <c r="H16" s="185"/>
      <c r="I16" s="185"/>
      <c r="J16" s="185"/>
      <c r="K16" s="185"/>
    </row>
    <row r="17" spans="1:11">
      <c r="B17" s="185"/>
      <c r="C17" s="185"/>
      <c r="D17" s="185"/>
      <c r="E17" s="185"/>
      <c r="F17" s="185"/>
      <c r="G17" s="185"/>
      <c r="H17" s="185"/>
      <c r="I17" s="185"/>
      <c r="J17" s="185"/>
      <c r="K17" s="185"/>
    </row>
    <row r="18" spans="1:11">
      <c r="B18" s="185"/>
      <c r="C18" s="185"/>
      <c r="D18" s="185"/>
      <c r="E18" s="185"/>
      <c r="F18" s="185"/>
      <c r="G18" s="185"/>
      <c r="H18" s="185"/>
      <c r="I18" s="185"/>
      <c r="J18" s="185"/>
      <c r="K18" s="185"/>
    </row>
    <row r="19" spans="1:11" ht="25.5" hidden="1" customHeight="1">
      <c r="A19" s="803" t="s">
        <v>14</v>
      </c>
      <c r="B19" s="1158" t="s">
        <v>15</v>
      </c>
      <c r="C19" s="1158"/>
      <c r="D19" s="1158"/>
      <c r="E19" s="1158"/>
      <c r="F19" s="1158"/>
      <c r="G19" s="1158"/>
      <c r="H19" s="1158"/>
      <c r="I19" s="1158"/>
      <c r="J19" s="1158"/>
      <c r="K19" s="1158"/>
    </row>
    <row r="20" spans="1:11" ht="26.1" hidden="1">
      <c r="A20" s="803" t="s">
        <v>14</v>
      </c>
      <c r="B20" s="187" t="s">
        <v>16</v>
      </c>
      <c r="C20" s="187" t="s">
        <v>17</v>
      </c>
      <c r="D20" s="187" t="s">
        <v>18</v>
      </c>
      <c r="E20" s="187" t="s">
        <v>19</v>
      </c>
      <c r="F20" s="187" t="s">
        <v>20</v>
      </c>
      <c r="G20" s="187" t="s">
        <v>21</v>
      </c>
      <c r="H20" s="187" t="s">
        <v>22</v>
      </c>
      <c r="I20" s="187" t="s">
        <v>23</v>
      </c>
      <c r="J20" s="187" t="s">
        <v>24</v>
      </c>
      <c r="K20" s="187" t="s">
        <v>25</v>
      </c>
    </row>
    <row r="21" spans="1:11" hidden="1">
      <c r="A21" s="803" t="s">
        <v>14</v>
      </c>
      <c r="B21" s="575"/>
      <c r="C21" s="576">
        <v>43427</v>
      </c>
      <c r="D21" s="575" t="s">
        <v>26</v>
      </c>
      <c r="E21" s="575"/>
      <c r="F21" s="575"/>
      <c r="G21" s="575" t="s">
        <v>27</v>
      </c>
      <c r="H21" s="575" t="s">
        <v>28</v>
      </c>
      <c r="I21" s="575" t="s">
        <v>29</v>
      </c>
      <c r="J21" s="575" t="s">
        <v>30</v>
      </c>
      <c r="K21" s="575"/>
    </row>
    <row r="22" spans="1:11" hidden="1">
      <c r="A22" s="803" t="s">
        <v>14</v>
      </c>
      <c r="B22" s="575"/>
      <c r="C22" s="576">
        <v>43427</v>
      </c>
      <c r="D22" s="575" t="s">
        <v>26</v>
      </c>
      <c r="E22" s="575"/>
      <c r="F22" s="575"/>
      <c r="G22" s="575" t="s">
        <v>27</v>
      </c>
      <c r="H22" s="575" t="s">
        <v>31</v>
      </c>
      <c r="I22" s="575" t="s">
        <v>32</v>
      </c>
      <c r="J22" s="575" t="s">
        <v>30</v>
      </c>
      <c r="K22" s="575"/>
    </row>
    <row r="23" spans="1:11" hidden="1">
      <c r="A23" s="803" t="s">
        <v>14</v>
      </c>
      <c r="B23" s="575"/>
      <c r="C23" s="576">
        <v>43427</v>
      </c>
      <c r="D23" s="575" t="s">
        <v>26</v>
      </c>
      <c r="E23" s="575"/>
      <c r="F23" s="575"/>
      <c r="G23" s="575" t="s">
        <v>27</v>
      </c>
      <c r="H23" s="575" t="s">
        <v>33</v>
      </c>
      <c r="I23" s="575" t="s">
        <v>34</v>
      </c>
      <c r="J23" s="575" t="s">
        <v>30</v>
      </c>
      <c r="K23" s="575"/>
    </row>
    <row r="24" spans="1:11" hidden="1">
      <c r="A24" s="803" t="s">
        <v>14</v>
      </c>
      <c r="B24" s="575"/>
      <c r="C24" s="576">
        <v>43427</v>
      </c>
      <c r="D24" s="575" t="s">
        <v>26</v>
      </c>
      <c r="E24" s="575"/>
      <c r="F24" s="575"/>
      <c r="G24" s="575" t="s">
        <v>27</v>
      </c>
      <c r="H24" s="575" t="s">
        <v>35</v>
      </c>
      <c r="I24" s="575">
        <v>4.0999999999999996</v>
      </c>
      <c r="J24" s="575" t="s">
        <v>30</v>
      </c>
      <c r="K24" s="575"/>
    </row>
    <row r="25" spans="1:11" hidden="1">
      <c r="A25" s="803" t="s">
        <v>14</v>
      </c>
      <c r="B25" s="575"/>
      <c r="C25" s="576">
        <v>43427</v>
      </c>
      <c r="D25" s="575" t="s">
        <v>26</v>
      </c>
      <c r="E25" s="575"/>
      <c r="F25" s="575"/>
      <c r="G25" s="575" t="s">
        <v>27</v>
      </c>
      <c r="H25" s="575" t="s">
        <v>36</v>
      </c>
      <c r="I25" s="575">
        <v>4</v>
      </c>
      <c r="J25" s="575">
        <v>4.0999999999999996</v>
      </c>
      <c r="K25" s="575"/>
    </row>
    <row r="26" spans="1:11" hidden="1">
      <c r="A26" s="803" t="s">
        <v>14</v>
      </c>
      <c r="B26" s="575"/>
      <c r="C26" s="576">
        <v>43427</v>
      </c>
      <c r="D26" s="575" t="s">
        <v>26</v>
      </c>
      <c r="E26" s="575"/>
      <c r="F26" s="575"/>
      <c r="G26" s="575" t="s">
        <v>27</v>
      </c>
      <c r="H26" s="575" t="s">
        <v>37</v>
      </c>
      <c r="I26" s="575" t="s">
        <v>38</v>
      </c>
      <c r="J26" s="575" t="s">
        <v>34</v>
      </c>
      <c r="K26" s="575"/>
    </row>
    <row r="27" spans="1:11" hidden="1">
      <c r="A27" s="803" t="s">
        <v>14</v>
      </c>
      <c r="B27" s="575"/>
      <c r="C27" s="576">
        <v>43427</v>
      </c>
      <c r="D27" s="575" t="s">
        <v>26</v>
      </c>
      <c r="E27" s="575"/>
      <c r="F27" s="575"/>
      <c r="G27" s="575" t="s">
        <v>27</v>
      </c>
      <c r="H27" s="575" t="s">
        <v>39</v>
      </c>
      <c r="I27" s="575" t="s">
        <v>40</v>
      </c>
      <c r="J27" s="575" t="s">
        <v>30</v>
      </c>
      <c r="K27" s="575"/>
    </row>
    <row r="28" spans="1:11" hidden="1">
      <c r="A28" s="803" t="s">
        <v>14</v>
      </c>
      <c r="B28" s="575"/>
      <c r="C28" s="576">
        <v>43427</v>
      </c>
      <c r="D28" s="575" t="s">
        <v>26</v>
      </c>
      <c r="E28" s="575"/>
      <c r="F28" s="575"/>
      <c r="G28" s="575" t="s">
        <v>27</v>
      </c>
      <c r="H28" s="575" t="s">
        <v>41</v>
      </c>
      <c r="I28" s="575" t="s">
        <v>40</v>
      </c>
      <c r="J28" s="575">
        <v>1</v>
      </c>
      <c r="K28" s="575"/>
    </row>
    <row r="29" spans="1:11" hidden="1">
      <c r="A29" s="803" t="s">
        <v>14</v>
      </c>
      <c r="B29" s="575"/>
      <c r="C29" s="576">
        <v>43427</v>
      </c>
      <c r="D29" s="575" t="s">
        <v>26</v>
      </c>
      <c r="E29" s="575"/>
      <c r="F29" s="575"/>
      <c r="G29" s="575" t="s">
        <v>27</v>
      </c>
      <c r="H29" s="575" t="s">
        <v>42</v>
      </c>
      <c r="I29" s="575" t="s">
        <v>43</v>
      </c>
      <c r="J29" s="575">
        <v>1</v>
      </c>
      <c r="K29" s="575"/>
    </row>
    <row r="30" spans="1:11" hidden="1">
      <c r="A30" s="803" t="s">
        <v>14</v>
      </c>
      <c r="B30" s="575"/>
      <c r="C30" s="576">
        <v>43427</v>
      </c>
      <c r="D30" s="575" t="s">
        <v>26</v>
      </c>
      <c r="E30" s="575"/>
      <c r="F30" s="575"/>
      <c r="G30" s="575" t="s">
        <v>27</v>
      </c>
      <c r="H30" s="575" t="s">
        <v>44</v>
      </c>
      <c r="I30" s="575">
        <v>7.2</v>
      </c>
      <c r="J30" s="575" t="s">
        <v>30</v>
      </c>
      <c r="K30" s="575"/>
    </row>
    <row r="31" spans="1:11" hidden="1">
      <c r="A31" s="803" t="s">
        <v>14</v>
      </c>
      <c r="B31" s="575"/>
      <c r="C31" s="576">
        <v>43427</v>
      </c>
      <c r="D31" s="575" t="s">
        <v>26</v>
      </c>
      <c r="E31" s="575"/>
      <c r="F31" s="575"/>
      <c r="G31" s="575" t="s">
        <v>27</v>
      </c>
      <c r="H31" s="575" t="s">
        <v>45</v>
      </c>
      <c r="I31" s="575" t="s">
        <v>46</v>
      </c>
      <c r="J31" s="575" t="s">
        <v>30</v>
      </c>
      <c r="K31" s="575"/>
    </row>
    <row r="32" spans="1:11" ht="25.5" hidden="1">
      <c r="A32" s="803" t="s">
        <v>14</v>
      </c>
      <c r="B32" s="575"/>
      <c r="C32" s="576">
        <v>43427</v>
      </c>
      <c r="D32" s="575" t="s">
        <v>26</v>
      </c>
      <c r="E32" s="575"/>
      <c r="F32" s="575"/>
      <c r="G32" s="575" t="s">
        <v>27</v>
      </c>
      <c r="H32" s="575" t="s">
        <v>47</v>
      </c>
      <c r="I32" s="575" t="s">
        <v>48</v>
      </c>
      <c r="J32" s="575" t="s">
        <v>49</v>
      </c>
      <c r="K32" s="575"/>
    </row>
    <row r="33" spans="1:11" hidden="1">
      <c r="A33" s="803" t="s">
        <v>14</v>
      </c>
      <c r="B33" s="575"/>
      <c r="C33" s="576">
        <v>43427</v>
      </c>
      <c r="D33" s="575" t="s">
        <v>26</v>
      </c>
      <c r="E33" s="575"/>
      <c r="F33" s="575"/>
      <c r="G33" s="575" t="s">
        <v>27</v>
      </c>
      <c r="H33" s="575" t="s">
        <v>50</v>
      </c>
      <c r="I33" s="575" t="s">
        <v>43</v>
      </c>
      <c r="J33" s="575" t="s">
        <v>30</v>
      </c>
      <c r="K33" s="575"/>
    </row>
    <row r="34" spans="1:11" hidden="1">
      <c r="A34" s="803" t="s">
        <v>14</v>
      </c>
      <c r="B34" s="575"/>
      <c r="C34" s="576">
        <v>43427</v>
      </c>
      <c r="D34" s="575" t="s">
        <v>26</v>
      </c>
      <c r="E34" s="575"/>
      <c r="F34" s="575"/>
      <c r="G34" s="575" t="s">
        <v>27</v>
      </c>
      <c r="H34" s="575" t="s">
        <v>51</v>
      </c>
      <c r="I34" s="575" t="s">
        <v>52</v>
      </c>
      <c r="J34" s="575">
        <v>12</v>
      </c>
      <c r="K34" s="575"/>
    </row>
    <row r="35" spans="1:11" hidden="1">
      <c r="A35" s="803" t="s">
        <v>14</v>
      </c>
      <c r="B35" s="575"/>
      <c r="C35" s="576">
        <v>43427</v>
      </c>
      <c r="D35" s="575" t="s">
        <v>26</v>
      </c>
      <c r="E35" s="575"/>
      <c r="F35" s="575"/>
      <c r="G35" s="575" t="s">
        <v>27</v>
      </c>
      <c r="H35" s="575" t="s">
        <v>53</v>
      </c>
      <c r="I35" s="575" t="s">
        <v>54</v>
      </c>
      <c r="J35" s="575" t="s">
        <v>30</v>
      </c>
      <c r="K35" s="575"/>
    </row>
    <row r="36" spans="1:11" hidden="1">
      <c r="A36" s="803" t="s">
        <v>14</v>
      </c>
      <c r="B36" s="575"/>
      <c r="C36" s="576">
        <v>43427</v>
      </c>
      <c r="D36" s="575" t="s">
        <v>26</v>
      </c>
      <c r="E36" s="575"/>
      <c r="F36" s="575"/>
      <c r="G36" s="575" t="s">
        <v>27</v>
      </c>
      <c r="H36" s="575" t="s">
        <v>55</v>
      </c>
      <c r="I36" s="575" t="s">
        <v>56</v>
      </c>
      <c r="J36" s="575">
        <v>16</v>
      </c>
      <c r="K36" s="575"/>
    </row>
    <row r="37" spans="1:11" hidden="1">
      <c r="A37" s="803" t="s">
        <v>14</v>
      </c>
      <c r="B37" s="575"/>
      <c r="C37" s="576">
        <v>43427</v>
      </c>
      <c r="D37" s="575" t="s">
        <v>26</v>
      </c>
      <c r="E37" s="575"/>
      <c r="F37" s="575"/>
      <c r="G37" s="575" t="s">
        <v>27</v>
      </c>
      <c r="H37" s="575" t="s">
        <v>57</v>
      </c>
      <c r="I37" s="575"/>
      <c r="J37" s="575"/>
      <c r="K37" s="575"/>
    </row>
    <row r="38" spans="1:11" hidden="1">
      <c r="A38" s="803" t="s">
        <v>14</v>
      </c>
      <c r="B38" s="575"/>
      <c r="C38" s="576">
        <v>43427</v>
      </c>
      <c r="D38" s="575" t="s">
        <v>26</v>
      </c>
      <c r="E38" s="575"/>
      <c r="F38" s="575"/>
      <c r="G38" s="575" t="s">
        <v>27</v>
      </c>
      <c r="H38" s="575" t="s">
        <v>58</v>
      </c>
      <c r="I38" s="575" t="s">
        <v>59</v>
      </c>
      <c r="J38" s="575" t="s">
        <v>30</v>
      </c>
      <c r="K38" s="575"/>
    </row>
    <row r="39" spans="1:11" hidden="1">
      <c r="A39" s="803" t="s">
        <v>14</v>
      </c>
      <c r="B39" s="575"/>
      <c r="C39" s="576">
        <v>43427</v>
      </c>
      <c r="D39" s="575" t="s">
        <v>26</v>
      </c>
      <c r="E39" s="575"/>
      <c r="F39" s="575"/>
      <c r="G39" s="575" t="s">
        <v>27</v>
      </c>
      <c r="H39" s="575" t="s">
        <v>60</v>
      </c>
      <c r="I39" s="575">
        <v>0</v>
      </c>
      <c r="J39" s="575" t="s">
        <v>30</v>
      </c>
      <c r="K39" s="575"/>
    </row>
    <row r="40" spans="1:11" hidden="1">
      <c r="A40" s="803" t="s">
        <v>14</v>
      </c>
      <c r="B40" s="575"/>
      <c r="C40" s="576">
        <v>43427</v>
      </c>
      <c r="D40" s="575" t="s">
        <v>26</v>
      </c>
      <c r="E40" s="575"/>
      <c r="F40" s="575"/>
      <c r="G40" s="575" t="s">
        <v>27</v>
      </c>
      <c r="H40" s="575" t="s">
        <v>61</v>
      </c>
      <c r="I40" s="575">
        <v>2</v>
      </c>
      <c r="J40" s="575" t="s">
        <v>30</v>
      </c>
      <c r="K40" s="575"/>
    </row>
    <row r="41" spans="1:11" hidden="1">
      <c r="A41" s="803" t="s">
        <v>14</v>
      </c>
      <c r="B41" s="575"/>
      <c r="C41" s="576">
        <v>43427</v>
      </c>
      <c r="D41" s="575" t="s">
        <v>26</v>
      </c>
      <c r="E41" s="575"/>
      <c r="F41" s="575"/>
      <c r="G41" s="575" t="s">
        <v>27</v>
      </c>
      <c r="H41" s="575" t="s">
        <v>62</v>
      </c>
      <c r="I41" s="575">
        <v>5</v>
      </c>
      <c r="J41" s="575" t="s">
        <v>30</v>
      </c>
      <c r="K41" s="575"/>
    </row>
    <row r="42" spans="1:11" hidden="1">
      <c r="A42" s="803" t="s">
        <v>14</v>
      </c>
      <c r="B42" s="575"/>
      <c r="C42" s="576">
        <v>43427</v>
      </c>
      <c r="D42" s="575" t="s">
        <v>26</v>
      </c>
      <c r="E42" s="575"/>
      <c r="F42" s="575"/>
      <c r="G42" s="575" t="s">
        <v>27</v>
      </c>
      <c r="H42" s="575" t="s">
        <v>63</v>
      </c>
      <c r="I42" s="575"/>
      <c r="J42" s="575"/>
      <c r="K42" s="575"/>
    </row>
    <row r="43" spans="1:11" hidden="1">
      <c r="A43" s="803" t="s">
        <v>14</v>
      </c>
      <c r="B43" s="575"/>
      <c r="C43" s="576">
        <v>43427</v>
      </c>
      <c r="D43" s="575" t="s">
        <v>26</v>
      </c>
      <c r="E43" s="575"/>
      <c r="F43" s="575"/>
      <c r="G43" s="575" t="s">
        <v>27</v>
      </c>
      <c r="H43" s="575" t="s">
        <v>64</v>
      </c>
      <c r="I43" s="575" t="s">
        <v>65</v>
      </c>
      <c r="J43" s="575" t="s">
        <v>30</v>
      </c>
      <c r="K43" s="575"/>
    </row>
    <row r="44" spans="1:11" hidden="1">
      <c r="A44" s="803" t="s">
        <v>14</v>
      </c>
      <c r="B44" s="575"/>
      <c r="C44" s="576">
        <v>43427</v>
      </c>
      <c r="D44" s="575" t="s">
        <v>26</v>
      </c>
      <c r="E44" s="575"/>
      <c r="F44" s="575"/>
      <c r="G44" s="575" t="s">
        <v>27</v>
      </c>
      <c r="H44" s="575" t="s">
        <v>66</v>
      </c>
      <c r="I44" s="575" t="s">
        <v>67</v>
      </c>
      <c r="J44" s="575" t="s">
        <v>30</v>
      </c>
      <c r="K44" s="575"/>
    </row>
    <row r="45" spans="1:11" ht="25.5" hidden="1">
      <c r="A45" s="803" t="s">
        <v>14</v>
      </c>
      <c r="B45" s="575"/>
      <c r="C45" s="576">
        <v>43427</v>
      </c>
      <c r="D45" s="575" t="s">
        <v>26</v>
      </c>
      <c r="E45" s="575"/>
      <c r="F45" s="575"/>
      <c r="G45" s="575" t="s">
        <v>68</v>
      </c>
      <c r="H45" s="575" t="s">
        <v>69</v>
      </c>
      <c r="I45" s="575" t="s">
        <v>70</v>
      </c>
      <c r="J45" s="575" t="s">
        <v>71</v>
      </c>
      <c r="K45" s="575"/>
    </row>
    <row r="46" spans="1:11" hidden="1">
      <c r="A46" s="803" t="s">
        <v>14</v>
      </c>
      <c r="B46" s="575"/>
      <c r="C46" s="576">
        <v>43427</v>
      </c>
      <c r="D46" s="575" t="s">
        <v>26</v>
      </c>
      <c r="E46" s="575"/>
      <c r="F46" s="575"/>
      <c r="G46" s="575" t="s">
        <v>68</v>
      </c>
      <c r="H46" s="575" t="s">
        <v>72</v>
      </c>
      <c r="I46" s="575" t="s">
        <v>73</v>
      </c>
      <c r="J46" s="575" t="s">
        <v>74</v>
      </c>
      <c r="K46" s="575"/>
    </row>
    <row r="47" spans="1:11" hidden="1">
      <c r="A47" s="803" t="s">
        <v>14</v>
      </c>
      <c r="B47" s="575"/>
      <c r="C47" s="576">
        <v>43427</v>
      </c>
      <c r="D47" s="575" t="s">
        <v>26</v>
      </c>
      <c r="E47" s="575"/>
      <c r="F47" s="575"/>
      <c r="G47" s="575" t="s">
        <v>68</v>
      </c>
      <c r="H47" s="575" t="s">
        <v>75</v>
      </c>
      <c r="I47" s="575" t="s">
        <v>76</v>
      </c>
      <c r="J47" s="575">
        <v>1</v>
      </c>
      <c r="K47" s="575"/>
    </row>
    <row r="48" spans="1:11" hidden="1">
      <c r="A48" s="803" t="s">
        <v>14</v>
      </c>
      <c r="B48" s="575"/>
      <c r="C48" s="576">
        <v>43427</v>
      </c>
      <c r="D48" s="575" t="s">
        <v>26</v>
      </c>
      <c r="E48" s="575"/>
      <c r="F48" s="575"/>
      <c r="G48" s="575" t="s">
        <v>68</v>
      </c>
      <c r="H48" s="575" t="s">
        <v>77</v>
      </c>
      <c r="I48" s="575">
        <v>0</v>
      </c>
      <c r="J48" s="575" t="s">
        <v>30</v>
      </c>
      <c r="K48" s="575"/>
    </row>
    <row r="49" spans="1:11" hidden="1">
      <c r="A49" s="803" t="s">
        <v>14</v>
      </c>
      <c r="B49" s="575"/>
      <c r="C49" s="576">
        <v>43427</v>
      </c>
      <c r="D49" s="575" t="s">
        <v>26</v>
      </c>
      <c r="E49" s="575"/>
      <c r="F49" s="575"/>
      <c r="G49" s="575" t="s">
        <v>68</v>
      </c>
      <c r="H49" s="575" t="s">
        <v>78</v>
      </c>
      <c r="I49" s="575">
        <v>3</v>
      </c>
      <c r="J49" s="575" t="s">
        <v>30</v>
      </c>
      <c r="K49" s="575"/>
    </row>
    <row r="50" spans="1:11" hidden="1">
      <c r="A50" s="803" t="s">
        <v>14</v>
      </c>
      <c r="B50" s="575"/>
      <c r="C50" s="576">
        <v>43427</v>
      </c>
      <c r="D50" s="575" t="s">
        <v>26</v>
      </c>
      <c r="E50" s="575"/>
      <c r="F50" s="575"/>
      <c r="G50" s="575" t="s">
        <v>68</v>
      </c>
      <c r="H50" s="575" t="s">
        <v>79</v>
      </c>
      <c r="I50" s="575">
        <v>5</v>
      </c>
      <c r="J50" s="575" t="s">
        <v>30</v>
      </c>
      <c r="K50" s="575"/>
    </row>
    <row r="51" spans="1:11" hidden="1">
      <c r="A51" s="803" t="s">
        <v>14</v>
      </c>
      <c r="B51" s="575"/>
      <c r="C51" s="576">
        <v>43427</v>
      </c>
      <c r="D51" s="575" t="s">
        <v>26</v>
      </c>
      <c r="E51" s="575"/>
      <c r="F51" s="575"/>
      <c r="G51" s="575" t="s">
        <v>68</v>
      </c>
      <c r="H51" s="575" t="s">
        <v>80</v>
      </c>
      <c r="I51" s="575" t="s">
        <v>81</v>
      </c>
      <c r="J51" s="575" t="s">
        <v>82</v>
      </c>
      <c r="K51" s="575"/>
    </row>
    <row r="52" spans="1:11" hidden="1">
      <c r="A52" s="803" t="s">
        <v>14</v>
      </c>
      <c r="B52" s="575"/>
      <c r="C52" s="576">
        <v>43427</v>
      </c>
      <c r="D52" s="575" t="s">
        <v>26</v>
      </c>
      <c r="E52" s="575"/>
      <c r="F52" s="575"/>
      <c r="G52" s="575" t="s">
        <v>68</v>
      </c>
      <c r="H52" s="575" t="s">
        <v>83</v>
      </c>
      <c r="I52" s="575" t="s">
        <v>81</v>
      </c>
      <c r="J52" s="575" t="s">
        <v>84</v>
      </c>
      <c r="K52" s="575"/>
    </row>
    <row r="53" spans="1:11" hidden="1">
      <c r="A53" s="803" t="s">
        <v>14</v>
      </c>
      <c r="B53" s="575"/>
      <c r="C53" s="576">
        <v>43427</v>
      </c>
      <c r="D53" s="575" t="s">
        <v>26</v>
      </c>
      <c r="E53" s="575"/>
      <c r="F53" s="575"/>
      <c r="G53" s="575" t="s">
        <v>68</v>
      </c>
      <c r="H53" s="575" t="s">
        <v>85</v>
      </c>
      <c r="I53" s="575" t="s">
        <v>86</v>
      </c>
      <c r="J53" s="575" t="s">
        <v>30</v>
      </c>
      <c r="K53" s="575"/>
    </row>
    <row r="54" spans="1:11" hidden="1">
      <c r="A54" s="803" t="s">
        <v>14</v>
      </c>
      <c r="B54" s="575"/>
      <c r="C54" s="576">
        <v>43427</v>
      </c>
      <c r="D54" s="575" t="s">
        <v>26</v>
      </c>
      <c r="E54" s="575"/>
      <c r="F54" s="575"/>
      <c r="G54" s="575" t="s">
        <v>68</v>
      </c>
      <c r="H54" s="575" t="s">
        <v>87</v>
      </c>
      <c r="I54" s="575" t="s">
        <v>88</v>
      </c>
      <c r="J54" s="575" t="s">
        <v>30</v>
      </c>
      <c r="K54" s="575"/>
    </row>
    <row r="55" spans="1:11" hidden="1">
      <c r="A55" s="803" t="s">
        <v>14</v>
      </c>
      <c r="B55" s="575"/>
      <c r="C55" s="576">
        <v>43427</v>
      </c>
      <c r="D55" s="575" t="s">
        <v>26</v>
      </c>
      <c r="E55" s="575"/>
      <c r="F55" s="575"/>
      <c r="G55" s="575" t="s">
        <v>68</v>
      </c>
      <c r="H55" s="575" t="s">
        <v>89</v>
      </c>
      <c r="I55" s="575" t="s">
        <v>90</v>
      </c>
      <c r="J55" s="575" t="s">
        <v>30</v>
      </c>
      <c r="K55" s="575"/>
    </row>
    <row r="56" spans="1:11" ht="37.5" hidden="1">
      <c r="A56" s="803" t="s">
        <v>14</v>
      </c>
      <c r="B56" s="577" t="s">
        <v>91</v>
      </c>
      <c r="C56" s="804">
        <v>43500</v>
      </c>
      <c r="D56" s="577" t="s">
        <v>92</v>
      </c>
      <c r="E56" s="546" t="s">
        <v>93</v>
      </c>
      <c r="F56" s="546" t="s">
        <v>93</v>
      </c>
      <c r="G56" s="577" t="s">
        <v>94</v>
      </c>
      <c r="H56" s="577"/>
      <c r="I56" s="577" t="s">
        <v>95</v>
      </c>
      <c r="J56" s="546" t="s">
        <v>30</v>
      </c>
      <c r="K56" s="577" t="s">
        <v>96</v>
      </c>
    </row>
    <row r="57" spans="1:11" ht="50.1" hidden="1">
      <c r="A57" s="803" t="s">
        <v>14</v>
      </c>
      <c r="B57" s="577" t="s">
        <v>91</v>
      </c>
      <c r="C57" s="804">
        <v>43528</v>
      </c>
      <c r="D57" s="577" t="s">
        <v>92</v>
      </c>
      <c r="E57" s="546" t="s">
        <v>93</v>
      </c>
      <c r="F57" s="546" t="s">
        <v>93</v>
      </c>
      <c r="G57" s="577" t="s">
        <v>94</v>
      </c>
      <c r="H57" s="497" t="s">
        <v>97</v>
      </c>
      <c r="I57" s="544" t="s">
        <v>98</v>
      </c>
      <c r="J57" s="546" t="s">
        <v>30</v>
      </c>
      <c r="K57" s="546" t="s">
        <v>99</v>
      </c>
    </row>
    <row r="58" spans="1:11" ht="62.45" hidden="1">
      <c r="A58" s="803" t="s">
        <v>14</v>
      </c>
      <c r="B58" s="577" t="s">
        <v>91</v>
      </c>
      <c r="C58" s="804">
        <v>43528</v>
      </c>
      <c r="D58" s="577" t="s">
        <v>92</v>
      </c>
      <c r="E58" s="546" t="s">
        <v>93</v>
      </c>
      <c r="F58" s="546" t="s">
        <v>93</v>
      </c>
      <c r="G58" s="577" t="s">
        <v>94</v>
      </c>
      <c r="H58" s="546" t="s">
        <v>100</v>
      </c>
      <c r="I58" s="544" t="s">
        <v>101</v>
      </c>
      <c r="J58" s="546" t="s">
        <v>30</v>
      </c>
      <c r="K58" s="546" t="s">
        <v>102</v>
      </c>
    </row>
    <row r="59" spans="1:11" ht="24.95" hidden="1">
      <c r="A59" s="803" t="s">
        <v>14</v>
      </c>
      <c r="B59" s="577" t="s">
        <v>91</v>
      </c>
      <c r="C59" s="804">
        <v>43531</v>
      </c>
      <c r="D59" s="577" t="s">
        <v>92</v>
      </c>
      <c r="E59" s="546" t="s">
        <v>93</v>
      </c>
      <c r="F59" s="546" t="s">
        <v>93</v>
      </c>
      <c r="G59" s="577" t="s">
        <v>103</v>
      </c>
      <c r="H59" s="577"/>
      <c r="I59" s="577" t="s">
        <v>104</v>
      </c>
      <c r="J59" s="546" t="s">
        <v>30</v>
      </c>
      <c r="K59" s="577" t="s">
        <v>105</v>
      </c>
    </row>
    <row r="60" spans="1:11" hidden="1">
      <c r="A60" s="803" t="s">
        <v>14</v>
      </c>
      <c r="B60" s="577" t="s">
        <v>91</v>
      </c>
      <c r="C60" s="804">
        <v>43585</v>
      </c>
      <c r="D60" s="577" t="s">
        <v>92</v>
      </c>
      <c r="E60" s="546" t="s">
        <v>93</v>
      </c>
      <c r="F60" s="546" t="s">
        <v>93</v>
      </c>
      <c r="G60" s="577" t="s">
        <v>94</v>
      </c>
      <c r="H60" s="498" t="s">
        <v>106</v>
      </c>
      <c r="I60" s="577" t="s">
        <v>107</v>
      </c>
      <c r="J60" s="577" t="s">
        <v>108</v>
      </c>
      <c r="K60" s="577" t="s">
        <v>109</v>
      </c>
    </row>
    <row r="61" spans="1:11" ht="24.95" hidden="1">
      <c r="A61" s="803" t="s">
        <v>14</v>
      </c>
      <c r="B61" s="577" t="s">
        <v>91</v>
      </c>
      <c r="C61" s="804">
        <v>43637</v>
      </c>
      <c r="D61" s="577" t="s">
        <v>92</v>
      </c>
      <c r="E61" s="546" t="s">
        <v>93</v>
      </c>
      <c r="F61" s="546" t="s">
        <v>93</v>
      </c>
      <c r="G61" s="577" t="s">
        <v>110</v>
      </c>
      <c r="H61" s="577" t="s">
        <v>111</v>
      </c>
      <c r="I61" s="577" t="s">
        <v>112</v>
      </c>
      <c r="J61" s="577" t="s">
        <v>30</v>
      </c>
      <c r="K61" s="577" t="s">
        <v>113</v>
      </c>
    </row>
    <row r="62" spans="1:11" ht="24.95" hidden="1">
      <c r="A62" s="803" t="s">
        <v>14</v>
      </c>
      <c r="B62" s="577" t="s">
        <v>91</v>
      </c>
      <c r="C62" s="804">
        <v>43637</v>
      </c>
      <c r="D62" s="577" t="s">
        <v>92</v>
      </c>
      <c r="E62" s="546" t="s">
        <v>93</v>
      </c>
      <c r="F62" s="546" t="s">
        <v>93</v>
      </c>
      <c r="G62" s="577" t="s">
        <v>110</v>
      </c>
      <c r="H62" s="577" t="s">
        <v>114</v>
      </c>
      <c r="I62" s="543" t="s">
        <v>115</v>
      </c>
      <c r="J62" s="577" t="s">
        <v>30</v>
      </c>
      <c r="K62" s="577" t="s">
        <v>113</v>
      </c>
    </row>
    <row r="63" spans="1:11" s="580" customFormat="1" ht="62.45" hidden="1">
      <c r="A63" s="579" t="s">
        <v>14</v>
      </c>
      <c r="B63" s="577" t="s">
        <v>91</v>
      </c>
      <c r="C63" s="804">
        <v>43805</v>
      </c>
      <c r="D63" s="546" t="s">
        <v>92</v>
      </c>
      <c r="E63" s="546" t="s">
        <v>93</v>
      </c>
      <c r="F63" s="546" t="s">
        <v>93</v>
      </c>
      <c r="G63" s="577" t="s">
        <v>27</v>
      </c>
      <c r="H63" s="546" t="s">
        <v>116</v>
      </c>
      <c r="I63" s="544" t="s">
        <v>117</v>
      </c>
      <c r="J63" s="577" t="s">
        <v>30</v>
      </c>
      <c r="K63" s="546" t="s">
        <v>118</v>
      </c>
    </row>
    <row r="64" spans="1:11" s="580" customFormat="1" ht="62.45" hidden="1">
      <c r="A64" s="579" t="s">
        <v>14</v>
      </c>
      <c r="B64" s="577" t="s">
        <v>91</v>
      </c>
      <c r="C64" s="804">
        <v>43805</v>
      </c>
      <c r="D64" s="546" t="s">
        <v>92</v>
      </c>
      <c r="E64" s="546" t="s">
        <v>93</v>
      </c>
      <c r="F64" s="546" t="s">
        <v>93</v>
      </c>
      <c r="G64" s="577" t="s">
        <v>27</v>
      </c>
      <c r="H64" s="546" t="s">
        <v>119</v>
      </c>
      <c r="I64" s="544" t="s">
        <v>120</v>
      </c>
      <c r="J64" s="577" t="s">
        <v>30</v>
      </c>
      <c r="K64" s="546" t="s">
        <v>121</v>
      </c>
    </row>
    <row r="65" spans="1:11" s="580" customFormat="1" ht="37.5" hidden="1">
      <c r="A65" s="579" t="s">
        <v>14</v>
      </c>
      <c r="B65" s="577" t="s">
        <v>91</v>
      </c>
      <c r="C65" s="804">
        <v>43805</v>
      </c>
      <c r="D65" s="546" t="s">
        <v>92</v>
      </c>
      <c r="E65" s="546" t="s">
        <v>93</v>
      </c>
      <c r="F65" s="546" t="s">
        <v>93</v>
      </c>
      <c r="G65" s="577" t="s">
        <v>27</v>
      </c>
      <c r="H65" s="546" t="s">
        <v>122</v>
      </c>
      <c r="I65" s="544" t="s">
        <v>123</v>
      </c>
      <c r="J65" s="577" t="s">
        <v>30</v>
      </c>
      <c r="K65" s="577" t="s">
        <v>124</v>
      </c>
    </row>
    <row r="66" spans="1:11" s="580" customFormat="1" ht="62.45" hidden="1">
      <c r="A66" s="579" t="s">
        <v>14</v>
      </c>
      <c r="B66" s="577" t="s">
        <v>91</v>
      </c>
      <c r="C66" s="804">
        <v>43805</v>
      </c>
      <c r="D66" s="546" t="s">
        <v>92</v>
      </c>
      <c r="E66" s="546" t="s">
        <v>93</v>
      </c>
      <c r="F66" s="546" t="s">
        <v>93</v>
      </c>
      <c r="G66" s="577" t="s">
        <v>125</v>
      </c>
      <c r="H66" s="546" t="s">
        <v>126</v>
      </c>
      <c r="I66" s="544" t="s">
        <v>127</v>
      </c>
      <c r="J66" s="577" t="s">
        <v>30</v>
      </c>
      <c r="K66" s="546" t="s">
        <v>118</v>
      </c>
    </row>
    <row r="67" spans="1:11" s="580" customFormat="1" ht="50.1" hidden="1">
      <c r="A67" s="579" t="s">
        <v>14</v>
      </c>
      <c r="B67" s="577" t="s">
        <v>91</v>
      </c>
      <c r="C67" s="804">
        <v>43805</v>
      </c>
      <c r="D67" s="546" t="s">
        <v>92</v>
      </c>
      <c r="E67" s="546" t="s">
        <v>93</v>
      </c>
      <c r="F67" s="546" t="s">
        <v>93</v>
      </c>
      <c r="G67" s="577" t="s">
        <v>125</v>
      </c>
      <c r="H67" s="546" t="s">
        <v>128</v>
      </c>
      <c r="I67" s="544" t="s">
        <v>129</v>
      </c>
      <c r="J67" s="577" t="s">
        <v>30</v>
      </c>
      <c r="K67" s="546" t="s">
        <v>121</v>
      </c>
    </row>
    <row r="68" spans="1:11" s="580" customFormat="1" ht="37.5" hidden="1">
      <c r="A68" s="579" t="s">
        <v>14</v>
      </c>
      <c r="B68" s="577" t="s">
        <v>91</v>
      </c>
      <c r="C68" s="804">
        <v>43805</v>
      </c>
      <c r="D68" s="546" t="s">
        <v>92</v>
      </c>
      <c r="E68" s="546" t="s">
        <v>93</v>
      </c>
      <c r="F68" s="546" t="s">
        <v>93</v>
      </c>
      <c r="G68" s="577" t="s">
        <v>125</v>
      </c>
      <c r="H68" s="546" t="s">
        <v>130</v>
      </c>
      <c r="I68" s="544" t="s">
        <v>131</v>
      </c>
      <c r="J68" s="577" t="s">
        <v>30</v>
      </c>
      <c r="K68" s="577" t="s">
        <v>124</v>
      </c>
    </row>
    <row r="69" spans="1:11" s="580" customFormat="1" ht="62.45" hidden="1">
      <c r="A69" s="579" t="s">
        <v>14</v>
      </c>
      <c r="B69" s="577" t="s">
        <v>91</v>
      </c>
      <c r="C69" s="804">
        <v>43805</v>
      </c>
      <c r="D69" s="546" t="s">
        <v>92</v>
      </c>
      <c r="E69" s="546" t="s">
        <v>93</v>
      </c>
      <c r="F69" s="546" t="s">
        <v>93</v>
      </c>
      <c r="G69" s="577" t="s">
        <v>132</v>
      </c>
      <c r="H69" s="546" t="s">
        <v>133</v>
      </c>
      <c r="I69" s="544" t="s">
        <v>134</v>
      </c>
      <c r="J69" s="577" t="s">
        <v>30</v>
      </c>
      <c r="K69" s="546" t="s">
        <v>118</v>
      </c>
    </row>
    <row r="70" spans="1:11" s="580" customFormat="1" ht="50.1" hidden="1">
      <c r="A70" s="579" t="s">
        <v>14</v>
      </c>
      <c r="B70" s="577" t="s">
        <v>91</v>
      </c>
      <c r="C70" s="804">
        <v>43805</v>
      </c>
      <c r="D70" s="546" t="s">
        <v>92</v>
      </c>
      <c r="E70" s="546" t="s">
        <v>93</v>
      </c>
      <c r="F70" s="546" t="s">
        <v>93</v>
      </c>
      <c r="G70" s="577" t="s">
        <v>132</v>
      </c>
      <c r="H70" s="546" t="s">
        <v>135</v>
      </c>
      <c r="I70" s="544" t="s">
        <v>136</v>
      </c>
      <c r="J70" s="577" t="s">
        <v>30</v>
      </c>
      <c r="K70" s="546" t="s">
        <v>121</v>
      </c>
    </row>
    <row r="71" spans="1:11" s="580" customFormat="1" ht="62.45" hidden="1">
      <c r="A71" s="579" t="s">
        <v>14</v>
      </c>
      <c r="B71" s="577" t="s">
        <v>91</v>
      </c>
      <c r="C71" s="804">
        <v>43805</v>
      </c>
      <c r="D71" s="546" t="s">
        <v>92</v>
      </c>
      <c r="E71" s="546" t="s">
        <v>93</v>
      </c>
      <c r="F71" s="546" t="s">
        <v>93</v>
      </c>
      <c r="G71" s="577" t="s">
        <v>137</v>
      </c>
      <c r="H71" s="546" t="s">
        <v>138</v>
      </c>
      <c r="I71" s="544" t="s">
        <v>139</v>
      </c>
      <c r="J71" s="577" t="s">
        <v>30</v>
      </c>
      <c r="K71" s="546" t="s">
        <v>118</v>
      </c>
    </row>
    <row r="72" spans="1:11" s="580" customFormat="1" ht="50.1" hidden="1">
      <c r="A72" s="579" t="s">
        <v>14</v>
      </c>
      <c r="B72" s="577" t="s">
        <v>91</v>
      </c>
      <c r="C72" s="804">
        <v>43805</v>
      </c>
      <c r="D72" s="546" t="s">
        <v>92</v>
      </c>
      <c r="E72" s="546" t="s">
        <v>93</v>
      </c>
      <c r="F72" s="546" t="s">
        <v>93</v>
      </c>
      <c r="G72" s="577" t="s">
        <v>137</v>
      </c>
      <c r="H72" s="546" t="s">
        <v>140</v>
      </c>
      <c r="I72" s="544" t="s">
        <v>141</v>
      </c>
      <c r="J72" s="577" t="s">
        <v>30</v>
      </c>
      <c r="K72" s="546" t="s">
        <v>121</v>
      </c>
    </row>
    <row r="73" spans="1:11" s="580" customFormat="1" ht="62.45" hidden="1">
      <c r="A73" s="579" t="s">
        <v>14</v>
      </c>
      <c r="B73" s="577" t="s">
        <v>91</v>
      </c>
      <c r="C73" s="804">
        <v>43805</v>
      </c>
      <c r="D73" s="546" t="s">
        <v>92</v>
      </c>
      <c r="E73" s="546" t="s">
        <v>93</v>
      </c>
      <c r="F73" s="546" t="s">
        <v>93</v>
      </c>
      <c r="G73" s="577" t="s">
        <v>142</v>
      </c>
      <c r="H73" s="546" t="s">
        <v>143</v>
      </c>
      <c r="I73" s="544" t="s">
        <v>144</v>
      </c>
      <c r="J73" s="577" t="s">
        <v>30</v>
      </c>
      <c r="K73" s="546" t="s">
        <v>118</v>
      </c>
    </row>
    <row r="74" spans="1:11" s="580" customFormat="1" ht="50.1" hidden="1">
      <c r="A74" s="579" t="s">
        <v>14</v>
      </c>
      <c r="B74" s="577" t="s">
        <v>91</v>
      </c>
      <c r="C74" s="804">
        <v>43805</v>
      </c>
      <c r="D74" s="546" t="s">
        <v>92</v>
      </c>
      <c r="E74" s="546" t="s">
        <v>93</v>
      </c>
      <c r="F74" s="546" t="s">
        <v>93</v>
      </c>
      <c r="G74" s="577" t="s">
        <v>142</v>
      </c>
      <c r="H74" s="546" t="s">
        <v>145</v>
      </c>
      <c r="I74" s="544" t="s">
        <v>146</v>
      </c>
      <c r="J74" s="577" t="s">
        <v>30</v>
      </c>
      <c r="K74" s="546" t="s">
        <v>121</v>
      </c>
    </row>
    <row r="75" spans="1:11" s="580" customFormat="1" ht="62.45" hidden="1">
      <c r="A75" s="579" t="s">
        <v>14</v>
      </c>
      <c r="B75" s="577" t="s">
        <v>91</v>
      </c>
      <c r="C75" s="804">
        <v>43805</v>
      </c>
      <c r="D75" s="546" t="s">
        <v>92</v>
      </c>
      <c r="E75" s="546" t="s">
        <v>93</v>
      </c>
      <c r="F75" s="546" t="s">
        <v>93</v>
      </c>
      <c r="G75" s="577" t="s">
        <v>147</v>
      </c>
      <c r="H75" s="546" t="s">
        <v>148</v>
      </c>
      <c r="I75" s="544" t="s">
        <v>149</v>
      </c>
      <c r="J75" s="577" t="s">
        <v>30</v>
      </c>
      <c r="K75" s="546" t="s">
        <v>118</v>
      </c>
    </row>
    <row r="76" spans="1:11" s="580" customFormat="1" ht="50.1" hidden="1">
      <c r="A76" s="579" t="s">
        <v>14</v>
      </c>
      <c r="B76" s="577" t="s">
        <v>91</v>
      </c>
      <c r="C76" s="804">
        <v>43805</v>
      </c>
      <c r="D76" s="546" t="s">
        <v>92</v>
      </c>
      <c r="E76" s="546" t="s">
        <v>93</v>
      </c>
      <c r="F76" s="546" t="s">
        <v>93</v>
      </c>
      <c r="G76" s="577" t="s">
        <v>147</v>
      </c>
      <c r="H76" s="546" t="s">
        <v>150</v>
      </c>
      <c r="I76" s="544" t="s">
        <v>151</v>
      </c>
      <c r="J76" s="577" t="s">
        <v>30</v>
      </c>
      <c r="K76" s="546" t="s">
        <v>121</v>
      </c>
    </row>
    <row r="77" spans="1:11" s="580" customFormat="1" ht="62.45" hidden="1">
      <c r="A77" s="579" t="s">
        <v>14</v>
      </c>
      <c r="B77" s="577" t="s">
        <v>91</v>
      </c>
      <c r="C77" s="804">
        <v>43805</v>
      </c>
      <c r="D77" s="546" t="s">
        <v>92</v>
      </c>
      <c r="E77" s="546" t="s">
        <v>93</v>
      </c>
      <c r="F77" s="546" t="s">
        <v>93</v>
      </c>
      <c r="G77" s="577" t="s">
        <v>152</v>
      </c>
      <c r="H77" s="546" t="s">
        <v>153</v>
      </c>
      <c r="I77" s="544" t="s">
        <v>154</v>
      </c>
      <c r="J77" s="577" t="s">
        <v>30</v>
      </c>
      <c r="K77" s="546" t="s">
        <v>118</v>
      </c>
    </row>
    <row r="78" spans="1:11" s="580" customFormat="1" ht="50.1" hidden="1">
      <c r="A78" s="579" t="s">
        <v>14</v>
      </c>
      <c r="B78" s="577" t="s">
        <v>91</v>
      </c>
      <c r="C78" s="804">
        <v>43805</v>
      </c>
      <c r="D78" s="546" t="s">
        <v>92</v>
      </c>
      <c r="E78" s="546" t="s">
        <v>93</v>
      </c>
      <c r="F78" s="546" t="s">
        <v>93</v>
      </c>
      <c r="G78" s="577" t="s">
        <v>152</v>
      </c>
      <c r="H78" s="546" t="s">
        <v>155</v>
      </c>
      <c r="I78" s="544" t="s">
        <v>156</v>
      </c>
      <c r="J78" s="577" t="s">
        <v>30</v>
      </c>
      <c r="K78" s="546" t="s">
        <v>121</v>
      </c>
    </row>
    <row r="79" spans="1:11" s="580" customFormat="1" ht="62.45" hidden="1">
      <c r="A79" s="579" t="s">
        <v>14</v>
      </c>
      <c r="B79" s="577" t="s">
        <v>91</v>
      </c>
      <c r="C79" s="804">
        <v>43805</v>
      </c>
      <c r="D79" s="546" t="s">
        <v>92</v>
      </c>
      <c r="E79" s="546" t="s">
        <v>93</v>
      </c>
      <c r="F79" s="546" t="s">
        <v>93</v>
      </c>
      <c r="G79" s="577" t="s">
        <v>157</v>
      </c>
      <c r="H79" s="546" t="s">
        <v>158</v>
      </c>
      <c r="I79" s="544" t="s">
        <v>159</v>
      </c>
      <c r="J79" s="577" t="s">
        <v>30</v>
      </c>
      <c r="K79" s="546" t="s">
        <v>118</v>
      </c>
    </row>
    <row r="80" spans="1:11" s="580" customFormat="1" ht="50.1" hidden="1">
      <c r="A80" s="579" t="s">
        <v>14</v>
      </c>
      <c r="B80" s="577" t="s">
        <v>91</v>
      </c>
      <c r="C80" s="804">
        <v>43805</v>
      </c>
      <c r="D80" s="546" t="s">
        <v>92</v>
      </c>
      <c r="E80" s="546" t="s">
        <v>93</v>
      </c>
      <c r="F80" s="546" t="s">
        <v>93</v>
      </c>
      <c r="G80" s="577" t="s">
        <v>157</v>
      </c>
      <c r="H80" s="546" t="s">
        <v>160</v>
      </c>
      <c r="I80" s="544" t="s">
        <v>161</v>
      </c>
      <c r="J80" s="577" t="s">
        <v>30</v>
      </c>
      <c r="K80" s="546" t="s">
        <v>121</v>
      </c>
    </row>
    <row r="81" spans="1:11" s="580" customFormat="1" ht="62.45" hidden="1">
      <c r="A81" s="579" t="s">
        <v>14</v>
      </c>
      <c r="B81" s="577" t="s">
        <v>91</v>
      </c>
      <c r="C81" s="804">
        <v>43805</v>
      </c>
      <c r="D81" s="546" t="s">
        <v>92</v>
      </c>
      <c r="E81" s="546" t="s">
        <v>93</v>
      </c>
      <c r="F81" s="546" t="s">
        <v>93</v>
      </c>
      <c r="G81" s="577" t="s">
        <v>162</v>
      </c>
      <c r="H81" s="546" t="s">
        <v>163</v>
      </c>
      <c r="I81" s="544" t="s">
        <v>164</v>
      </c>
      <c r="J81" s="577" t="s">
        <v>30</v>
      </c>
      <c r="K81" s="546" t="s">
        <v>118</v>
      </c>
    </row>
    <row r="82" spans="1:11" s="580" customFormat="1" ht="50.1" hidden="1">
      <c r="A82" s="579" t="s">
        <v>14</v>
      </c>
      <c r="B82" s="577" t="s">
        <v>91</v>
      </c>
      <c r="C82" s="804">
        <v>43805</v>
      </c>
      <c r="D82" s="546" t="s">
        <v>92</v>
      </c>
      <c r="E82" s="546" t="s">
        <v>93</v>
      </c>
      <c r="F82" s="546" t="s">
        <v>93</v>
      </c>
      <c r="G82" s="577" t="s">
        <v>162</v>
      </c>
      <c r="H82" s="546" t="s">
        <v>165</v>
      </c>
      <c r="I82" s="544" t="s">
        <v>166</v>
      </c>
      <c r="J82" s="577" t="s">
        <v>30</v>
      </c>
      <c r="K82" s="546" t="s">
        <v>121</v>
      </c>
    </row>
    <row r="83" spans="1:11" s="580" customFormat="1" ht="62.45" hidden="1">
      <c r="A83" s="579" t="s">
        <v>14</v>
      </c>
      <c r="B83" s="577" t="s">
        <v>91</v>
      </c>
      <c r="C83" s="804">
        <v>43805</v>
      </c>
      <c r="D83" s="546" t="s">
        <v>92</v>
      </c>
      <c r="E83" s="546" t="s">
        <v>93</v>
      </c>
      <c r="F83" s="546" t="s">
        <v>93</v>
      </c>
      <c r="G83" s="577" t="s">
        <v>167</v>
      </c>
      <c r="H83" s="546" t="s">
        <v>168</v>
      </c>
      <c r="I83" s="544" t="s">
        <v>169</v>
      </c>
      <c r="J83" s="577" t="s">
        <v>30</v>
      </c>
      <c r="K83" s="546" t="s">
        <v>118</v>
      </c>
    </row>
    <row r="84" spans="1:11" s="580" customFormat="1" ht="50.1" hidden="1">
      <c r="A84" s="579" t="s">
        <v>14</v>
      </c>
      <c r="B84" s="577" t="s">
        <v>91</v>
      </c>
      <c r="C84" s="804">
        <v>43805</v>
      </c>
      <c r="D84" s="546" t="s">
        <v>92</v>
      </c>
      <c r="E84" s="546" t="s">
        <v>93</v>
      </c>
      <c r="F84" s="546" t="s">
        <v>93</v>
      </c>
      <c r="G84" s="577" t="s">
        <v>167</v>
      </c>
      <c r="H84" s="546" t="s">
        <v>170</v>
      </c>
      <c r="I84" s="544" t="s">
        <v>171</v>
      </c>
      <c r="J84" s="577" t="s">
        <v>30</v>
      </c>
      <c r="K84" s="546" t="s">
        <v>121</v>
      </c>
    </row>
    <row r="85" spans="1:11" s="580" customFormat="1" ht="62.45" hidden="1">
      <c r="A85" s="579" t="s">
        <v>14</v>
      </c>
      <c r="B85" s="577" t="s">
        <v>91</v>
      </c>
      <c r="C85" s="804">
        <v>43805</v>
      </c>
      <c r="D85" s="546" t="s">
        <v>92</v>
      </c>
      <c r="E85" s="546" t="s">
        <v>93</v>
      </c>
      <c r="F85" s="546" t="s">
        <v>93</v>
      </c>
      <c r="G85" s="577" t="s">
        <v>172</v>
      </c>
      <c r="H85" s="546" t="s">
        <v>173</v>
      </c>
      <c r="I85" s="544" t="s">
        <v>174</v>
      </c>
      <c r="J85" s="577" t="s">
        <v>30</v>
      </c>
      <c r="K85" s="546" t="s">
        <v>118</v>
      </c>
    </row>
    <row r="86" spans="1:11" s="580" customFormat="1" ht="50.1" hidden="1">
      <c r="A86" s="579" t="s">
        <v>14</v>
      </c>
      <c r="B86" s="577" t="s">
        <v>91</v>
      </c>
      <c r="C86" s="804">
        <v>43805</v>
      </c>
      <c r="D86" s="546" t="s">
        <v>92</v>
      </c>
      <c r="E86" s="546" t="s">
        <v>93</v>
      </c>
      <c r="F86" s="546" t="s">
        <v>93</v>
      </c>
      <c r="G86" s="577" t="s">
        <v>172</v>
      </c>
      <c r="H86" s="546" t="s">
        <v>175</v>
      </c>
      <c r="I86" s="544" t="s">
        <v>176</v>
      </c>
      <c r="J86" s="577" t="s">
        <v>30</v>
      </c>
      <c r="K86" s="546" t="s">
        <v>121</v>
      </c>
    </row>
    <row r="87" spans="1:11" s="580" customFormat="1" ht="62.45" hidden="1">
      <c r="A87" s="579" t="s">
        <v>14</v>
      </c>
      <c r="B87" s="577" t="s">
        <v>91</v>
      </c>
      <c r="C87" s="804">
        <v>43805</v>
      </c>
      <c r="D87" s="546" t="s">
        <v>92</v>
      </c>
      <c r="E87" s="546" t="s">
        <v>93</v>
      </c>
      <c r="F87" s="546" t="s">
        <v>93</v>
      </c>
      <c r="G87" s="577" t="s">
        <v>177</v>
      </c>
      <c r="H87" s="546" t="s">
        <v>178</v>
      </c>
      <c r="I87" s="544" t="s">
        <v>179</v>
      </c>
      <c r="J87" s="577" t="s">
        <v>30</v>
      </c>
      <c r="K87" s="546" t="s">
        <v>118</v>
      </c>
    </row>
    <row r="88" spans="1:11" s="580" customFormat="1" ht="50.1" hidden="1">
      <c r="A88" s="579" t="s">
        <v>14</v>
      </c>
      <c r="B88" s="577" t="s">
        <v>91</v>
      </c>
      <c r="C88" s="804">
        <v>43805</v>
      </c>
      <c r="D88" s="546" t="s">
        <v>92</v>
      </c>
      <c r="E88" s="546" t="s">
        <v>93</v>
      </c>
      <c r="F88" s="546" t="s">
        <v>93</v>
      </c>
      <c r="G88" s="577" t="s">
        <v>177</v>
      </c>
      <c r="H88" s="546" t="s">
        <v>180</v>
      </c>
      <c r="I88" s="544" t="s">
        <v>181</v>
      </c>
      <c r="J88" s="577" t="s">
        <v>30</v>
      </c>
      <c r="K88" s="546" t="s">
        <v>121</v>
      </c>
    </row>
    <row r="89" spans="1:11" s="580" customFormat="1" ht="62.45" hidden="1">
      <c r="A89" s="579" t="s">
        <v>14</v>
      </c>
      <c r="B89" s="577" t="s">
        <v>91</v>
      </c>
      <c r="C89" s="804">
        <v>43805</v>
      </c>
      <c r="D89" s="546" t="s">
        <v>92</v>
      </c>
      <c r="E89" s="546" t="s">
        <v>93</v>
      </c>
      <c r="F89" s="546" t="s">
        <v>93</v>
      </c>
      <c r="G89" s="577" t="s">
        <v>182</v>
      </c>
      <c r="H89" s="546" t="s">
        <v>183</v>
      </c>
      <c r="I89" s="544" t="s">
        <v>184</v>
      </c>
      <c r="J89" s="577" t="s">
        <v>30</v>
      </c>
      <c r="K89" s="546" t="s">
        <v>118</v>
      </c>
    </row>
    <row r="90" spans="1:11" s="580" customFormat="1" ht="50.1" hidden="1">
      <c r="A90" s="579" t="s">
        <v>14</v>
      </c>
      <c r="B90" s="577" t="s">
        <v>91</v>
      </c>
      <c r="C90" s="804">
        <v>43805</v>
      </c>
      <c r="D90" s="546" t="s">
        <v>92</v>
      </c>
      <c r="E90" s="546" t="s">
        <v>93</v>
      </c>
      <c r="F90" s="546" t="s">
        <v>93</v>
      </c>
      <c r="G90" s="577" t="s">
        <v>182</v>
      </c>
      <c r="H90" s="546" t="s">
        <v>185</v>
      </c>
      <c r="I90" s="544" t="s">
        <v>186</v>
      </c>
      <c r="J90" s="577" t="s">
        <v>30</v>
      </c>
      <c r="K90" s="546" t="s">
        <v>121</v>
      </c>
    </row>
    <row r="91" spans="1:11" hidden="1">
      <c r="A91" s="579" t="s">
        <v>14</v>
      </c>
      <c r="B91" s="577" t="s">
        <v>91</v>
      </c>
      <c r="C91" s="804">
        <v>43805</v>
      </c>
      <c r="D91" s="546" t="s">
        <v>92</v>
      </c>
      <c r="E91" s="546" t="s">
        <v>93</v>
      </c>
      <c r="F91" s="546" t="s">
        <v>93</v>
      </c>
      <c r="G91" s="577" t="s">
        <v>27</v>
      </c>
      <c r="H91" s="546" t="s">
        <v>187</v>
      </c>
      <c r="I91" s="544" t="s">
        <v>188</v>
      </c>
      <c r="J91" s="577" t="s">
        <v>30</v>
      </c>
      <c r="K91" s="1155" t="s">
        <v>189</v>
      </c>
    </row>
    <row r="92" spans="1:11" ht="24.95" hidden="1">
      <c r="A92" s="579" t="s">
        <v>14</v>
      </c>
      <c r="B92" s="577" t="s">
        <v>91</v>
      </c>
      <c r="C92" s="804">
        <v>43805</v>
      </c>
      <c r="D92" s="546" t="s">
        <v>92</v>
      </c>
      <c r="E92" s="546" t="s">
        <v>93</v>
      </c>
      <c r="F92" s="546" t="s">
        <v>93</v>
      </c>
      <c r="G92" s="577" t="s">
        <v>27</v>
      </c>
      <c r="H92" s="546" t="s">
        <v>190</v>
      </c>
      <c r="I92" s="544" t="s">
        <v>191</v>
      </c>
      <c r="J92" s="577" t="s">
        <v>30</v>
      </c>
      <c r="K92" s="1156"/>
    </row>
    <row r="93" spans="1:11" hidden="1">
      <c r="A93" s="579" t="s">
        <v>14</v>
      </c>
      <c r="B93" s="577" t="s">
        <v>91</v>
      </c>
      <c r="C93" s="804">
        <v>43805</v>
      </c>
      <c r="D93" s="546" t="s">
        <v>92</v>
      </c>
      <c r="E93" s="546" t="s">
        <v>93</v>
      </c>
      <c r="F93" s="546" t="s">
        <v>93</v>
      </c>
      <c r="G93" s="577" t="s">
        <v>125</v>
      </c>
      <c r="H93" s="546" t="s">
        <v>192</v>
      </c>
      <c r="I93" s="544" t="s">
        <v>188</v>
      </c>
      <c r="J93" s="577" t="s">
        <v>30</v>
      </c>
      <c r="K93" s="1156"/>
    </row>
    <row r="94" spans="1:11" ht="24.95" hidden="1">
      <c r="A94" s="579" t="s">
        <v>14</v>
      </c>
      <c r="B94" s="577" t="s">
        <v>91</v>
      </c>
      <c r="C94" s="804">
        <v>43805</v>
      </c>
      <c r="D94" s="546" t="s">
        <v>92</v>
      </c>
      <c r="E94" s="546" t="s">
        <v>93</v>
      </c>
      <c r="F94" s="546" t="s">
        <v>93</v>
      </c>
      <c r="G94" s="577" t="s">
        <v>125</v>
      </c>
      <c r="H94" s="546" t="s">
        <v>193</v>
      </c>
      <c r="I94" s="544" t="s">
        <v>194</v>
      </c>
      <c r="J94" s="577" t="s">
        <v>30</v>
      </c>
      <c r="K94" s="1156"/>
    </row>
    <row r="95" spans="1:11" hidden="1">
      <c r="A95" s="579" t="s">
        <v>14</v>
      </c>
      <c r="B95" s="577" t="s">
        <v>91</v>
      </c>
      <c r="C95" s="804">
        <v>43805</v>
      </c>
      <c r="D95" s="546" t="s">
        <v>92</v>
      </c>
      <c r="E95" s="546" t="s">
        <v>93</v>
      </c>
      <c r="F95" s="546" t="s">
        <v>93</v>
      </c>
      <c r="G95" s="577" t="s">
        <v>132</v>
      </c>
      <c r="H95" s="546" t="s">
        <v>195</v>
      </c>
      <c r="I95" s="544" t="s">
        <v>188</v>
      </c>
      <c r="J95" s="577" t="s">
        <v>30</v>
      </c>
      <c r="K95" s="1156"/>
    </row>
    <row r="96" spans="1:11" ht="24.95" hidden="1">
      <c r="A96" s="579" t="s">
        <v>14</v>
      </c>
      <c r="B96" s="577" t="s">
        <v>91</v>
      </c>
      <c r="C96" s="804">
        <v>43805</v>
      </c>
      <c r="D96" s="546" t="s">
        <v>92</v>
      </c>
      <c r="E96" s="546" t="s">
        <v>93</v>
      </c>
      <c r="F96" s="546" t="s">
        <v>93</v>
      </c>
      <c r="G96" s="577" t="s">
        <v>132</v>
      </c>
      <c r="H96" s="546" t="s">
        <v>196</v>
      </c>
      <c r="I96" s="544" t="s">
        <v>197</v>
      </c>
      <c r="J96" s="577" t="s">
        <v>30</v>
      </c>
      <c r="K96" s="1156"/>
    </row>
    <row r="97" spans="1:11" hidden="1">
      <c r="A97" s="579" t="s">
        <v>14</v>
      </c>
      <c r="B97" s="577" t="s">
        <v>91</v>
      </c>
      <c r="C97" s="804">
        <v>43805</v>
      </c>
      <c r="D97" s="546" t="s">
        <v>92</v>
      </c>
      <c r="E97" s="546" t="s">
        <v>93</v>
      </c>
      <c r="F97" s="546" t="s">
        <v>93</v>
      </c>
      <c r="G97" s="577" t="s">
        <v>137</v>
      </c>
      <c r="H97" s="546" t="s">
        <v>198</v>
      </c>
      <c r="I97" s="544" t="s">
        <v>188</v>
      </c>
      <c r="J97" s="577" t="s">
        <v>30</v>
      </c>
      <c r="K97" s="1156"/>
    </row>
    <row r="98" spans="1:11" ht="24.95" hidden="1">
      <c r="A98" s="579" t="s">
        <v>14</v>
      </c>
      <c r="B98" s="577" t="s">
        <v>91</v>
      </c>
      <c r="C98" s="804">
        <v>43805</v>
      </c>
      <c r="D98" s="546" t="s">
        <v>92</v>
      </c>
      <c r="E98" s="546" t="s">
        <v>93</v>
      </c>
      <c r="F98" s="546" t="s">
        <v>93</v>
      </c>
      <c r="G98" s="577" t="s">
        <v>137</v>
      </c>
      <c r="H98" s="546" t="s">
        <v>148</v>
      </c>
      <c r="I98" s="544" t="s">
        <v>199</v>
      </c>
      <c r="J98" s="577" t="s">
        <v>30</v>
      </c>
      <c r="K98" s="1156"/>
    </row>
    <row r="99" spans="1:11" hidden="1">
      <c r="A99" s="579" t="s">
        <v>14</v>
      </c>
      <c r="B99" s="577" t="s">
        <v>91</v>
      </c>
      <c r="C99" s="804">
        <v>43805</v>
      </c>
      <c r="D99" s="546" t="s">
        <v>92</v>
      </c>
      <c r="E99" s="546" t="s">
        <v>93</v>
      </c>
      <c r="F99" s="546" t="s">
        <v>93</v>
      </c>
      <c r="G99" s="577" t="s">
        <v>142</v>
      </c>
      <c r="H99" s="546" t="s">
        <v>200</v>
      </c>
      <c r="I99" s="544" t="s">
        <v>188</v>
      </c>
      <c r="J99" s="577" t="s">
        <v>30</v>
      </c>
      <c r="K99" s="1156"/>
    </row>
    <row r="100" spans="1:11" ht="24.95" hidden="1">
      <c r="A100" s="579" t="s">
        <v>14</v>
      </c>
      <c r="B100" s="577" t="s">
        <v>91</v>
      </c>
      <c r="C100" s="804">
        <v>43805</v>
      </c>
      <c r="D100" s="546" t="s">
        <v>92</v>
      </c>
      <c r="E100" s="546" t="s">
        <v>93</v>
      </c>
      <c r="F100" s="546" t="s">
        <v>93</v>
      </c>
      <c r="G100" s="577" t="s">
        <v>142</v>
      </c>
      <c r="H100" s="546" t="s">
        <v>201</v>
      </c>
      <c r="I100" s="544" t="s">
        <v>202</v>
      </c>
      <c r="J100" s="577" t="s">
        <v>30</v>
      </c>
      <c r="K100" s="1156"/>
    </row>
    <row r="101" spans="1:11" hidden="1">
      <c r="A101" s="579" t="s">
        <v>14</v>
      </c>
      <c r="B101" s="577" t="s">
        <v>91</v>
      </c>
      <c r="C101" s="804">
        <v>43805</v>
      </c>
      <c r="D101" s="546" t="s">
        <v>92</v>
      </c>
      <c r="E101" s="546" t="s">
        <v>93</v>
      </c>
      <c r="F101" s="546" t="s">
        <v>93</v>
      </c>
      <c r="G101" s="581" t="s">
        <v>147</v>
      </c>
      <c r="H101" s="546" t="s">
        <v>203</v>
      </c>
      <c r="I101" s="544" t="s">
        <v>188</v>
      </c>
      <c r="J101" s="577" t="s">
        <v>30</v>
      </c>
      <c r="K101" s="1156"/>
    </row>
    <row r="102" spans="1:11" ht="24.95" hidden="1">
      <c r="A102" s="579" t="s">
        <v>14</v>
      </c>
      <c r="B102" s="577" t="s">
        <v>91</v>
      </c>
      <c r="C102" s="804">
        <v>43805</v>
      </c>
      <c r="D102" s="546" t="s">
        <v>92</v>
      </c>
      <c r="E102" s="546" t="s">
        <v>93</v>
      </c>
      <c r="F102" s="546" t="s">
        <v>93</v>
      </c>
      <c r="G102" s="577" t="s">
        <v>147</v>
      </c>
      <c r="H102" s="546" t="s">
        <v>204</v>
      </c>
      <c r="I102" s="544" t="s">
        <v>205</v>
      </c>
      <c r="J102" s="577" t="s">
        <v>30</v>
      </c>
      <c r="K102" s="1156"/>
    </row>
    <row r="103" spans="1:11" hidden="1">
      <c r="A103" s="579" t="s">
        <v>14</v>
      </c>
      <c r="B103" s="577" t="s">
        <v>91</v>
      </c>
      <c r="C103" s="804">
        <v>43805</v>
      </c>
      <c r="D103" s="546" t="s">
        <v>92</v>
      </c>
      <c r="E103" s="546" t="s">
        <v>93</v>
      </c>
      <c r="F103" s="546" t="s">
        <v>93</v>
      </c>
      <c r="G103" s="577" t="s">
        <v>152</v>
      </c>
      <c r="H103" s="546" t="s">
        <v>206</v>
      </c>
      <c r="I103" s="544" t="s">
        <v>188</v>
      </c>
      <c r="J103" s="577" t="s">
        <v>30</v>
      </c>
      <c r="K103" s="1156"/>
    </row>
    <row r="104" spans="1:11" ht="24.95" hidden="1">
      <c r="A104" s="579" t="s">
        <v>14</v>
      </c>
      <c r="B104" s="577" t="s">
        <v>91</v>
      </c>
      <c r="C104" s="804">
        <v>43805</v>
      </c>
      <c r="D104" s="546" t="s">
        <v>92</v>
      </c>
      <c r="E104" s="546" t="s">
        <v>93</v>
      </c>
      <c r="F104" s="546" t="s">
        <v>93</v>
      </c>
      <c r="G104" s="577" t="s">
        <v>152</v>
      </c>
      <c r="H104" s="546" t="s">
        <v>207</v>
      </c>
      <c r="I104" s="544" t="s">
        <v>208</v>
      </c>
      <c r="J104" s="577" t="s">
        <v>30</v>
      </c>
      <c r="K104" s="1156"/>
    </row>
    <row r="105" spans="1:11" hidden="1">
      <c r="A105" s="579" t="s">
        <v>14</v>
      </c>
      <c r="B105" s="577" t="s">
        <v>91</v>
      </c>
      <c r="C105" s="804">
        <v>43805</v>
      </c>
      <c r="D105" s="546" t="s">
        <v>92</v>
      </c>
      <c r="E105" s="546" t="s">
        <v>93</v>
      </c>
      <c r="F105" s="546" t="s">
        <v>93</v>
      </c>
      <c r="G105" s="577" t="s">
        <v>157</v>
      </c>
      <c r="H105" s="546" t="s">
        <v>209</v>
      </c>
      <c r="I105" s="544" t="s">
        <v>188</v>
      </c>
      <c r="J105" s="577" t="s">
        <v>30</v>
      </c>
      <c r="K105" s="1156"/>
    </row>
    <row r="106" spans="1:11" ht="24.95" hidden="1">
      <c r="A106" s="579" t="s">
        <v>14</v>
      </c>
      <c r="B106" s="577" t="s">
        <v>91</v>
      </c>
      <c r="C106" s="804">
        <v>43805</v>
      </c>
      <c r="D106" s="546" t="s">
        <v>92</v>
      </c>
      <c r="E106" s="546" t="s">
        <v>93</v>
      </c>
      <c r="F106" s="546" t="s">
        <v>93</v>
      </c>
      <c r="G106" s="577" t="s">
        <v>157</v>
      </c>
      <c r="H106" s="546" t="s">
        <v>210</v>
      </c>
      <c r="I106" s="544" t="s">
        <v>211</v>
      </c>
      <c r="J106" s="577" t="s">
        <v>30</v>
      </c>
      <c r="K106" s="1156"/>
    </row>
    <row r="107" spans="1:11" hidden="1">
      <c r="A107" s="579" t="s">
        <v>14</v>
      </c>
      <c r="B107" s="577" t="s">
        <v>91</v>
      </c>
      <c r="C107" s="804">
        <v>43805</v>
      </c>
      <c r="D107" s="546" t="s">
        <v>92</v>
      </c>
      <c r="E107" s="546" t="s">
        <v>93</v>
      </c>
      <c r="F107" s="546" t="s">
        <v>93</v>
      </c>
      <c r="G107" s="577" t="s">
        <v>162</v>
      </c>
      <c r="H107" s="546" t="s">
        <v>212</v>
      </c>
      <c r="I107" s="544" t="s">
        <v>188</v>
      </c>
      <c r="J107" s="577" t="s">
        <v>30</v>
      </c>
      <c r="K107" s="1156"/>
    </row>
    <row r="108" spans="1:11" ht="24.95" hidden="1">
      <c r="A108" s="579" t="s">
        <v>14</v>
      </c>
      <c r="B108" s="577" t="s">
        <v>91</v>
      </c>
      <c r="C108" s="804">
        <v>43805</v>
      </c>
      <c r="D108" s="546" t="s">
        <v>92</v>
      </c>
      <c r="E108" s="546" t="s">
        <v>93</v>
      </c>
      <c r="F108" s="546" t="s">
        <v>93</v>
      </c>
      <c r="G108" s="577" t="s">
        <v>162</v>
      </c>
      <c r="H108" s="546" t="s">
        <v>213</v>
      </c>
      <c r="I108" s="544" t="s">
        <v>214</v>
      </c>
      <c r="J108" s="577" t="s">
        <v>30</v>
      </c>
      <c r="K108" s="1156"/>
    </row>
    <row r="109" spans="1:11" hidden="1">
      <c r="A109" s="579" t="s">
        <v>14</v>
      </c>
      <c r="B109" s="577" t="s">
        <v>91</v>
      </c>
      <c r="C109" s="804">
        <v>43805</v>
      </c>
      <c r="D109" s="546" t="s">
        <v>92</v>
      </c>
      <c r="E109" s="546" t="s">
        <v>93</v>
      </c>
      <c r="F109" s="546" t="s">
        <v>93</v>
      </c>
      <c r="G109" s="577" t="s">
        <v>167</v>
      </c>
      <c r="H109" s="546" t="s">
        <v>215</v>
      </c>
      <c r="I109" s="544" t="s">
        <v>188</v>
      </c>
      <c r="J109" s="577" t="s">
        <v>30</v>
      </c>
      <c r="K109" s="1156"/>
    </row>
    <row r="110" spans="1:11" ht="24.95" hidden="1">
      <c r="A110" s="579" t="s">
        <v>14</v>
      </c>
      <c r="B110" s="577" t="s">
        <v>91</v>
      </c>
      <c r="C110" s="804">
        <v>43805</v>
      </c>
      <c r="D110" s="546" t="s">
        <v>92</v>
      </c>
      <c r="E110" s="546" t="s">
        <v>93</v>
      </c>
      <c r="F110" s="546" t="s">
        <v>93</v>
      </c>
      <c r="G110" s="577" t="s">
        <v>167</v>
      </c>
      <c r="H110" s="546" t="s">
        <v>216</v>
      </c>
      <c r="I110" s="544" t="s">
        <v>217</v>
      </c>
      <c r="J110" s="577" t="s">
        <v>30</v>
      </c>
      <c r="K110" s="1156"/>
    </row>
    <row r="111" spans="1:11" hidden="1">
      <c r="A111" s="579" t="s">
        <v>14</v>
      </c>
      <c r="B111" s="577" t="s">
        <v>91</v>
      </c>
      <c r="C111" s="804">
        <v>43805</v>
      </c>
      <c r="D111" s="546" t="s">
        <v>92</v>
      </c>
      <c r="E111" s="546" t="s">
        <v>93</v>
      </c>
      <c r="F111" s="546" t="s">
        <v>93</v>
      </c>
      <c r="G111" s="577" t="s">
        <v>172</v>
      </c>
      <c r="H111" s="546" t="s">
        <v>218</v>
      </c>
      <c r="I111" s="544" t="s">
        <v>188</v>
      </c>
      <c r="J111" s="577" t="s">
        <v>30</v>
      </c>
      <c r="K111" s="1156"/>
    </row>
    <row r="112" spans="1:11" ht="24.95" hidden="1">
      <c r="A112" s="579" t="s">
        <v>14</v>
      </c>
      <c r="B112" s="577" t="s">
        <v>91</v>
      </c>
      <c r="C112" s="804">
        <v>43805</v>
      </c>
      <c r="D112" s="546" t="s">
        <v>92</v>
      </c>
      <c r="E112" s="546" t="s">
        <v>93</v>
      </c>
      <c r="F112" s="546" t="s">
        <v>93</v>
      </c>
      <c r="G112" s="577" t="s">
        <v>172</v>
      </c>
      <c r="H112" s="546" t="s">
        <v>219</v>
      </c>
      <c r="I112" s="544" t="s">
        <v>220</v>
      </c>
      <c r="J112" s="577" t="s">
        <v>30</v>
      </c>
      <c r="K112" s="1156"/>
    </row>
    <row r="113" spans="1:11" hidden="1">
      <c r="A113" s="579" t="s">
        <v>14</v>
      </c>
      <c r="B113" s="577" t="s">
        <v>91</v>
      </c>
      <c r="C113" s="804">
        <v>43805</v>
      </c>
      <c r="D113" s="546" t="s">
        <v>92</v>
      </c>
      <c r="E113" s="546" t="s">
        <v>93</v>
      </c>
      <c r="F113" s="546" t="s">
        <v>93</v>
      </c>
      <c r="G113" s="577" t="s">
        <v>177</v>
      </c>
      <c r="H113" s="546" t="s">
        <v>221</v>
      </c>
      <c r="I113" s="544" t="s">
        <v>188</v>
      </c>
      <c r="J113" s="577" t="s">
        <v>30</v>
      </c>
      <c r="K113" s="1156"/>
    </row>
    <row r="114" spans="1:11" ht="24.95" hidden="1">
      <c r="A114" s="579" t="s">
        <v>14</v>
      </c>
      <c r="B114" s="577" t="s">
        <v>91</v>
      </c>
      <c r="C114" s="804">
        <v>43805</v>
      </c>
      <c r="D114" s="546" t="s">
        <v>92</v>
      </c>
      <c r="E114" s="546" t="s">
        <v>93</v>
      </c>
      <c r="F114" s="546" t="s">
        <v>93</v>
      </c>
      <c r="G114" s="577" t="s">
        <v>177</v>
      </c>
      <c r="H114" s="546" t="s">
        <v>222</v>
      </c>
      <c r="I114" s="544" t="s">
        <v>223</v>
      </c>
      <c r="J114" s="577" t="s">
        <v>30</v>
      </c>
      <c r="K114" s="1156"/>
    </row>
    <row r="115" spans="1:11" hidden="1">
      <c r="A115" s="579" t="s">
        <v>14</v>
      </c>
      <c r="B115" s="577" t="s">
        <v>91</v>
      </c>
      <c r="C115" s="804">
        <v>43805</v>
      </c>
      <c r="D115" s="546" t="s">
        <v>92</v>
      </c>
      <c r="E115" s="546" t="s">
        <v>93</v>
      </c>
      <c r="F115" s="546" t="s">
        <v>93</v>
      </c>
      <c r="G115" s="577" t="s">
        <v>182</v>
      </c>
      <c r="H115" s="546" t="s">
        <v>224</v>
      </c>
      <c r="I115" s="544" t="s">
        <v>188</v>
      </c>
      <c r="J115" s="577" t="s">
        <v>30</v>
      </c>
      <c r="K115" s="1156"/>
    </row>
    <row r="116" spans="1:11" ht="24.95" hidden="1">
      <c r="A116" s="579" t="s">
        <v>14</v>
      </c>
      <c r="B116" s="577" t="s">
        <v>91</v>
      </c>
      <c r="C116" s="804">
        <v>43805</v>
      </c>
      <c r="D116" s="546" t="s">
        <v>92</v>
      </c>
      <c r="E116" s="546" t="s">
        <v>93</v>
      </c>
      <c r="F116" s="546" t="s">
        <v>93</v>
      </c>
      <c r="G116" s="577" t="s">
        <v>182</v>
      </c>
      <c r="H116" s="546" t="s">
        <v>225</v>
      </c>
      <c r="I116" s="544" t="s">
        <v>226</v>
      </c>
      <c r="J116" s="577" t="s">
        <v>30</v>
      </c>
      <c r="K116" s="1157"/>
    </row>
    <row r="117" spans="1:11" ht="14.45">
      <c r="B117" s="805"/>
      <c r="C117" s="805"/>
      <c r="D117" s="805"/>
      <c r="E117" s="805"/>
      <c r="F117" s="805"/>
      <c r="G117"/>
      <c r="H117"/>
      <c r="I117"/>
      <c r="J117"/>
      <c r="K117" s="805"/>
    </row>
  </sheetData>
  <sheetProtection algorithmName="SHA-512" hashValue="9meFr3yuMshhgOjy1HuhO4DfnGDBMeuB5XyqlNXLJtzJBS3Fv/9UziSoMEV52etjghr2kdr2COZ2EZ3XZLBH7w==" saltValue="YauRl0JvGFadlNlC87R8WA==" spinCount="100000" sheet="1" selectLockedCells="1" selectUnlockedCells="1"/>
  <autoFilter ref="B20:K90" xr:uid="{00000000-0009-0000-0000-000001000000}"/>
  <customSheetViews>
    <customSheetView guid="{CEACA748-A46A-4C8B-98CF-30E51B671B84}" showGridLines="0" showAutoFilter="1" topLeftCell="A81">
      <selection activeCell="G88" sqref="G88:J113"/>
      <pageMargins left="0" right="0" top="0" bottom="0" header="0" footer="0"/>
      <pageSetup orientation="portrait" r:id="rId1"/>
      <autoFilter ref="B16:K86" xr:uid="{D3FC2247-3FAB-4388-B98E-9D56C7E889B0}"/>
    </customSheetView>
    <customSheetView guid="{2ED91B50-D126-4494-B9B8-889B5F8EA715}" scale="110" showGridLines="0" topLeftCell="A40">
      <selection activeCell="C58" sqref="C58:F60"/>
      <pageMargins left="0" right="0" top="0" bottom="0" header="0" footer="0"/>
    </customSheetView>
  </customSheetViews>
  <mergeCells count="11">
    <mergeCell ref="K91:K116"/>
    <mergeCell ref="B19:K19"/>
    <mergeCell ref="B6:H6"/>
    <mergeCell ref="C8:H8"/>
    <mergeCell ref="C13:H13"/>
    <mergeCell ref="C15:H15"/>
    <mergeCell ref="C14:H14"/>
    <mergeCell ref="C12:H12"/>
    <mergeCell ref="C11:H11"/>
    <mergeCell ref="C10:H10"/>
    <mergeCell ref="C9:H9"/>
  </mergeCell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2157"/>
  <sheetViews>
    <sheetView showGridLines="0" zoomScale="80" zoomScaleNormal="80" workbookViewId="0">
      <pane xSplit="4" ySplit="1" topLeftCell="E2" activePane="bottomRight" state="frozen"/>
      <selection pane="bottomRight" activeCell="C9" sqref="C9"/>
      <selection pane="bottomLeft" activeCell="A2" sqref="A2"/>
      <selection pane="topRight" activeCell="F1" sqref="F1"/>
    </sheetView>
  </sheetViews>
  <sheetFormatPr defaultRowHeight="14.45"/>
  <cols>
    <col min="1" max="1" width="6" style="492" bestFit="1" customWidth="1"/>
    <col min="2" max="2" width="25.5703125" style="491" bestFit="1" customWidth="1"/>
    <col min="3" max="3" width="31.140625" style="490" customWidth="1"/>
    <col min="4" max="4" width="10.42578125" style="491" customWidth="1"/>
    <col min="5" max="5" width="24.85546875" style="490" customWidth="1"/>
    <col min="6" max="6" width="9.42578125" style="492" hidden="1" customWidth="1"/>
    <col min="7" max="7" width="5.85546875" style="493" hidden="1" customWidth="1"/>
    <col min="8" max="8" width="9.28515625" style="492" hidden="1" customWidth="1"/>
    <col min="9" max="9" width="87.140625" style="490" hidden="1" customWidth="1"/>
    <col min="10" max="10" width="20.42578125" style="490" customWidth="1"/>
    <col min="11" max="11" width="7.85546875" style="490" hidden="1" customWidth="1"/>
    <col min="12" max="12" width="15.140625" style="490" customWidth="1"/>
    <col min="13" max="13" width="8.7109375" style="490" hidden="1" customWidth="1"/>
    <col min="14" max="14" width="22.7109375" style="490" bestFit="1" customWidth="1"/>
    <col min="15" max="15" width="8.7109375" style="490" hidden="1" customWidth="1"/>
    <col min="16" max="16" width="10.5703125" style="490" bestFit="1" customWidth="1"/>
    <col min="17" max="17" width="16.5703125" style="490" hidden="1" customWidth="1"/>
    <col min="18" max="18" width="18.42578125" style="490" hidden="1" customWidth="1"/>
    <col min="19" max="20" width="18.5703125" style="490" hidden="1" customWidth="1"/>
    <col min="21" max="21" width="24.42578125" style="490" bestFit="1" customWidth="1"/>
    <col min="22" max="22" width="18.5703125" style="490" hidden="1" customWidth="1"/>
    <col min="23" max="23" width="25.140625" style="490" bestFit="1" customWidth="1"/>
    <col min="24" max="24" width="9.140625" style="490" hidden="1" customWidth="1"/>
    <col min="25" max="25" width="23.5703125" style="490" bestFit="1" customWidth="1"/>
    <col min="26" max="26" width="9.140625" style="490" hidden="1" customWidth="1"/>
    <col min="27" max="27" width="29.85546875" style="490" bestFit="1" customWidth="1"/>
    <col min="28" max="28" width="9.140625" style="490" hidden="1" customWidth="1"/>
    <col min="29" max="29" width="25" style="490" bestFit="1" customWidth="1"/>
    <col min="30" max="30" width="9.140625" style="490" hidden="1" customWidth="1"/>
    <col min="31" max="31" width="30" style="490" bestFit="1" customWidth="1"/>
  </cols>
  <sheetData>
    <row r="1" spans="1:31" s="488" customFormat="1">
      <c r="A1" s="548" t="s">
        <v>1349</v>
      </c>
      <c r="B1" s="549" t="s">
        <v>1350</v>
      </c>
      <c r="C1" s="550" t="s">
        <v>238</v>
      </c>
      <c r="D1" s="550" t="s">
        <v>1351</v>
      </c>
      <c r="E1" s="550" t="s">
        <v>1352</v>
      </c>
      <c r="F1" s="548" t="s">
        <v>1353</v>
      </c>
      <c r="G1" s="548" t="s">
        <v>1349</v>
      </c>
      <c r="H1" s="548" t="s">
        <v>1354</v>
      </c>
      <c r="I1" s="549" t="s">
        <v>1355</v>
      </c>
      <c r="J1" s="495" t="s">
        <v>1356</v>
      </c>
      <c r="K1" s="495" t="s">
        <v>1357</v>
      </c>
      <c r="L1" s="551" t="s">
        <v>1358</v>
      </c>
      <c r="M1" s="550" t="s">
        <v>1357</v>
      </c>
      <c r="N1" s="552" t="s">
        <v>1359</v>
      </c>
      <c r="O1" s="550" t="s">
        <v>1357</v>
      </c>
      <c r="P1" s="552" t="s">
        <v>1360</v>
      </c>
      <c r="Q1" s="495" t="s">
        <v>1361</v>
      </c>
      <c r="R1" s="495" t="s">
        <v>1362</v>
      </c>
      <c r="S1" s="495" t="s">
        <v>1363</v>
      </c>
      <c r="T1" s="495" t="s">
        <v>1364</v>
      </c>
      <c r="U1" s="553" t="s">
        <v>940</v>
      </c>
      <c r="V1" s="495" t="s">
        <v>1364</v>
      </c>
      <c r="W1" s="553" t="s">
        <v>941</v>
      </c>
      <c r="X1" s="550" t="s">
        <v>1365</v>
      </c>
      <c r="Y1" s="554" t="s">
        <v>1366</v>
      </c>
      <c r="Z1" s="550" t="s">
        <v>1365</v>
      </c>
      <c r="AA1" s="554" t="s">
        <v>1367</v>
      </c>
      <c r="AB1" s="550" t="s">
        <v>1365</v>
      </c>
      <c r="AC1" s="554" t="s">
        <v>1368</v>
      </c>
      <c r="AD1" s="550" t="s">
        <v>1365</v>
      </c>
      <c r="AE1" s="554" t="s">
        <v>934</v>
      </c>
    </row>
    <row r="2" spans="1:31">
      <c r="A2" s="957">
        <v>43</v>
      </c>
      <c r="B2" s="566" t="s">
        <v>1007</v>
      </c>
      <c r="C2" s="567" t="s">
        <v>1369</v>
      </c>
      <c r="D2" s="958" t="s">
        <v>1370</v>
      </c>
      <c r="E2" s="959" t="s">
        <v>659</v>
      </c>
      <c r="F2" s="558" t="s">
        <v>1371</v>
      </c>
      <c r="G2" s="558">
        <v>317</v>
      </c>
      <c r="H2" s="558" t="s">
        <v>1010</v>
      </c>
      <c r="I2" s="559" t="s">
        <v>492</v>
      </c>
      <c r="J2" s="567" t="s">
        <v>1372</v>
      </c>
      <c r="K2" s="960" t="s">
        <v>1373</v>
      </c>
      <c r="L2" s="555" t="str">
        <f t="shared" ref="L2:L65" ca="1" si="0">IF(AND(INDIRECT(CONCATENATE($J2,$K2,5))=$B2,ISNUMBER(SEARCH("Please",INDIRECT(CONCATENATE($J2,$K2,2)),1))=FALSE),SUMPRODUCT(MID(0&amp;INDIRECT(CONCATENATE($J2,$K2,2)), LARGE(INDEX(ISNUMBER(--MID(INDIRECT(CONCATENATE($J2,$K2,2)), ROW(INDIRECT("1:"&amp;LEN(INDIRECT(CONCATENATE($J2,$K2,2))))),1))*ROW(INDIRECT("1:"&amp;LEN(INDIRECT(CONCATENATE($J2,$K2,2))))),0), ROW(INDIRECT("1:"&amp;LEN(INDIRECT(CONCATENATE($J2,$K2,2))))))+1,1)*10^ROW(INDIRECT("1:"&amp;LEN(INDIRECT(CONCATENATE($J2,$K2,2)))))/10),"")</f>
        <v/>
      </c>
      <c r="M2" s="494" t="s">
        <v>1374</v>
      </c>
      <c r="N2" s="555" t="str">
        <f t="shared" ref="N2:N65" ca="1" si="1">IF(AND(INDIRECT(CONCATENATE($J2,$K2,5))=$B2,ISNUMBER(SEARCH("Select",INDIRECT(CONCATENATE($J2,$M2,6)),1))=FALSE),INDIRECT(CONCATENATE($J2,$M2,6)),"")</f>
        <v/>
      </c>
      <c r="O2" s="494" t="s">
        <v>1375</v>
      </c>
      <c r="P2" s="555" t="str">
        <f t="shared" ref="P2:P65" ca="1" si="2">IF(AND(INDIRECT(CONCATENATE($J2,$K2,5))=$B2,ISNUMBER(SEARCH("Select",INDIRECT(CONCATENATE($J2,$O2,6)),1))=FALSE),INDIRECT(CONCATENATE($J2,$O2,6)),"")</f>
        <v/>
      </c>
      <c r="Q2" s="494" t="s">
        <v>1376</v>
      </c>
      <c r="R2" s="494" t="str">
        <f>CONCATENATE("I",ROW(J2))</f>
        <v>I2</v>
      </c>
      <c r="S2" s="494" t="s">
        <v>1377</v>
      </c>
      <c r="T2" s="494">
        <v>5</v>
      </c>
      <c r="U2" s="556" t="str">
        <f t="shared" ref="U2:U65" ca="1" si="3">IF(AND($B2=INDIRECT(CONCATENATE($J2,$K2,5)),ISBLANK(INDEX(INDIRECT(CONCATENATE($J2,$Q2)),MATCH(INDIRECT($R2),INDIRECT(CONCATENATE($J2,$S2)),0),T2))=FALSE),INDEX(INDIRECT(CONCATENATE($J2,$Q2)),MATCH(INDIRECT($R2),INDIRECT(CONCATENATE($J2,$S2)),0),T2),"")</f>
        <v/>
      </c>
      <c r="V2" s="494">
        <v>6</v>
      </c>
      <c r="W2" s="556" t="str">
        <f t="shared" ref="W2:W65" ca="1" si="4">IF(AND($B2=INDIRECT(CONCATENATE($J2,$K2,5)),ISBLANK(INDEX(INDIRECT(CONCATENATE($J2,$Q2)),MATCH(INDIRECT($R2),INDIRECT(CONCATENATE($J2,$S2)),0),V2))=FALSE),INDEX(INDIRECT(CONCATENATE($J2,$Q2)),MATCH(INDIRECT($R2),INDIRECT(CONCATENATE($J2,$S2)),0),V2),"")</f>
        <v/>
      </c>
      <c r="X2" s="494" t="s">
        <v>1378</v>
      </c>
      <c r="Y2" s="547" t="str">
        <f t="shared" ref="Y2:Y65" ca="1" si="5">IF(AND(INDIRECT(CONCATENATE($J2,$K2,5))=$B2,ISBLANK(INDIRECT(CONCATENATE($J2,X2)))=FALSE),INDIRECT(CONCATENATE($J2,X2)),"")</f>
        <v/>
      </c>
      <c r="Z2" s="494" t="s">
        <v>1379</v>
      </c>
      <c r="AA2" s="547" t="str">
        <f t="shared" ref="AA2:AA65" ca="1" si="6">IF(AND(INDIRECT(CONCATENATE($J2,$K2,"5"))=$B2,ISBLANK(INDIRECT(CONCATENATE($J2,Z2)))=FALSE),INDIRECT(CONCATENATE($J2,Z2)),"")</f>
        <v/>
      </c>
      <c r="AB2" s="494" t="s">
        <v>1380</v>
      </c>
      <c r="AC2" s="547" t="str">
        <f t="shared" ref="AC2:AC65" ca="1" si="7">IF(AND(INDIRECT(CONCATENATE($J2,$K2,"5"))=$B2,ISBLANK(INDIRECT(CONCATENATE($J2,AB2)))=FALSE),INDIRECT(CONCATENATE($J2,AB2)),"")</f>
        <v/>
      </c>
      <c r="AD2" s="557"/>
      <c r="AE2" s="958"/>
    </row>
    <row r="3" spans="1:31" ht="15" customHeight="1">
      <c r="A3" s="957">
        <v>43</v>
      </c>
      <c r="B3" s="566" t="s">
        <v>1007</v>
      </c>
      <c r="C3" s="567" t="s">
        <v>1369</v>
      </c>
      <c r="D3" s="958" t="s">
        <v>1370</v>
      </c>
      <c r="E3" s="959" t="s">
        <v>659</v>
      </c>
      <c r="F3" s="558" t="s">
        <v>1371</v>
      </c>
      <c r="G3" s="558">
        <v>318</v>
      </c>
      <c r="H3" s="558" t="s">
        <v>1011</v>
      </c>
      <c r="I3" s="559" t="s">
        <v>1012</v>
      </c>
      <c r="J3" s="567" t="s">
        <v>1372</v>
      </c>
      <c r="K3" s="960" t="s">
        <v>1373</v>
      </c>
      <c r="L3" s="555" t="str">
        <f t="shared" ca="1" si="0"/>
        <v/>
      </c>
      <c r="M3" s="494" t="s">
        <v>1374</v>
      </c>
      <c r="N3" s="555" t="str">
        <f t="shared" ca="1" si="1"/>
        <v/>
      </c>
      <c r="O3" s="494" t="s">
        <v>1375</v>
      </c>
      <c r="P3" s="555" t="str">
        <f t="shared" ca="1" si="2"/>
        <v/>
      </c>
      <c r="Q3" s="494" t="s">
        <v>1376</v>
      </c>
      <c r="R3" s="494" t="str">
        <f t="shared" ref="R3:R66" si="8">CONCATENATE("I",ROW(J3))</f>
        <v>I3</v>
      </c>
      <c r="S3" s="494" t="s">
        <v>1377</v>
      </c>
      <c r="T3" s="494">
        <v>5</v>
      </c>
      <c r="U3" s="556" t="str">
        <f t="shared" ca="1" si="3"/>
        <v/>
      </c>
      <c r="V3" s="494">
        <v>6</v>
      </c>
      <c r="W3" s="556" t="str">
        <f t="shared" ca="1" si="4"/>
        <v/>
      </c>
      <c r="X3" s="494" t="s">
        <v>1378</v>
      </c>
      <c r="Y3" s="547" t="str">
        <f t="shared" ca="1" si="5"/>
        <v/>
      </c>
      <c r="Z3" s="494" t="s">
        <v>1379</v>
      </c>
      <c r="AA3" s="547" t="str">
        <f t="shared" ca="1" si="6"/>
        <v/>
      </c>
      <c r="AB3" s="494" t="s">
        <v>1380</v>
      </c>
      <c r="AC3" s="547" t="str">
        <f t="shared" ca="1" si="7"/>
        <v/>
      </c>
      <c r="AD3" s="557"/>
      <c r="AE3" s="958"/>
    </row>
    <row r="4" spans="1:31" ht="15" customHeight="1">
      <c r="A4" s="957">
        <v>43</v>
      </c>
      <c r="B4" s="566" t="s">
        <v>1007</v>
      </c>
      <c r="C4" s="567" t="s">
        <v>1369</v>
      </c>
      <c r="D4" s="958" t="s">
        <v>1370</v>
      </c>
      <c r="E4" s="959" t="s">
        <v>659</v>
      </c>
      <c r="F4" s="558" t="s">
        <v>1371</v>
      </c>
      <c r="G4" s="558">
        <v>318</v>
      </c>
      <c r="H4" s="558" t="s">
        <v>1011</v>
      </c>
      <c r="I4" s="559" t="s">
        <v>1381</v>
      </c>
      <c r="J4" s="567" t="s">
        <v>1372</v>
      </c>
      <c r="K4" s="960" t="s">
        <v>1373</v>
      </c>
      <c r="L4" s="555" t="str">
        <f t="shared" ca="1" si="0"/>
        <v/>
      </c>
      <c r="M4" s="494" t="s">
        <v>1374</v>
      </c>
      <c r="N4" s="555" t="str">
        <f t="shared" ca="1" si="1"/>
        <v/>
      </c>
      <c r="O4" s="494" t="s">
        <v>1375</v>
      </c>
      <c r="P4" s="555" t="str">
        <f t="shared" ca="1" si="2"/>
        <v/>
      </c>
      <c r="Q4" s="494" t="s">
        <v>1376</v>
      </c>
      <c r="R4" s="494" t="str">
        <f t="shared" si="8"/>
        <v>I4</v>
      </c>
      <c r="S4" s="494" t="s">
        <v>1377</v>
      </c>
      <c r="T4" s="494">
        <v>5</v>
      </c>
      <c r="U4" s="556" t="str">
        <f t="shared" ca="1" si="3"/>
        <v/>
      </c>
      <c r="V4" s="494">
        <v>6</v>
      </c>
      <c r="W4" s="556" t="str">
        <f t="shared" ca="1" si="4"/>
        <v/>
      </c>
      <c r="X4" s="494" t="s">
        <v>1378</v>
      </c>
      <c r="Y4" s="547" t="str">
        <f t="shared" ca="1" si="5"/>
        <v/>
      </c>
      <c r="Z4" s="494" t="s">
        <v>1379</v>
      </c>
      <c r="AA4" s="547" t="str">
        <f t="shared" ca="1" si="6"/>
        <v/>
      </c>
      <c r="AB4" s="494" t="s">
        <v>1380</v>
      </c>
      <c r="AC4" s="547" t="str">
        <f t="shared" ca="1" si="7"/>
        <v/>
      </c>
      <c r="AD4" s="557"/>
      <c r="AE4" s="958"/>
    </row>
    <row r="5" spans="1:31" ht="15" customHeight="1">
      <c r="A5" s="957">
        <v>43</v>
      </c>
      <c r="B5" s="566" t="s">
        <v>1007</v>
      </c>
      <c r="C5" s="567" t="s">
        <v>1369</v>
      </c>
      <c r="D5" s="958" t="s">
        <v>1370</v>
      </c>
      <c r="E5" s="959" t="s">
        <v>659</v>
      </c>
      <c r="F5" s="558" t="s">
        <v>1371</v>
      </c>
      <c r="G5" s="558">
        <v>318</v>
      </c>
      <c r="H5" s="558" t="s">
        <v>1011</v>
      </c>
      <c r="I5" s="559" t="s">
        <v>1382</v>
      </c>
      <c r="J5" s="567" t="s">
        <v>1372</v>
      </c>
      <c r="K5" s="960" t="s">
        <v>1373</v>
      </c>
      <c r="L5" s="555" t="str">
        <f t="shared" ca="1" si="0"/>
        <v/>
      </c>
      <c r="M5" s="494" t="s">
        <v>1374</v>
      </c>
      <c r="N5" s="555" t="str">
        <f t="shared" ca="1" si="1"/>
        <v/>
      </c>
      <c r="O5" s="494" t="s">
        <v>1375</v>
      </c>
      <c r="P5" s="555" t="str">
        <f t="shared" ca="1" si="2"/>
        <v/>
      </c>
      <c r="Q5" s="494" t="s">
        <v>1376</v>
      </c>
      <c r="R5" s="494" t="str">
        <f t="shared" si="8"/>
        <v>I5</v>
      </c>
      <c r="S5" s="494" t="s">
        <v>1377</v>
      </c>
      <c r="T5" s="494">
        <v>5</v>
      </c>
      <c r="U5" s="556" t="str">
        <f t="shared" ca="1" si="3"/>
        <v/>
      </c>
      <c r="V5" s="494">
        <v>6</v>
      </c>
      <c r="W5" s="556" t="str">
        <f t="shared" ca="1" si="4"/>
        <v/>
      </c>
      <c r="X5" s="494" t="s">
        <v>1378</v>
      </c>
      <c r="Y5" s="547" t="str">
        <f t="shared" ca="1" si="5"/>
        <v/>
      </c>
      <c r="Z5" s="494" t="s">
        <v>1379</v>
      </c>
      <c r="AA5" s="547" t="str">
        <f t="shared" ca="1" si="6"/>
        <v/>
      </c>
      <c r="AB5" s="494" t="s">
        <v>1380</v>
      </c>
      <c r="AC5" s="547" t="str">
        <f t="shared" ca="1" si="7"/>
        <v/>
      </c>
      <c r="AD5" s="557"/>
      <c r="AE5" s="958"/>
    </row>
    <row r="6" spans="1:31" ht="15" customHeight="1">
      <c r="A6" s="957">
        <v>43</v>
      </c>
      <c r="B6" s="566" t="s">
        <v>1007</v>
      </c>
      <c r="C6" s="567" t="s">
        <v>1369</v>
      </c>
      <c r="D6" s="958" t="s">
        <v>1370</v>
      </c>
      <c r="E6" s="959" t="s">
        <v>659</v>
      </c>
      <c r="F6" s="558" t="s">
        <v>1371</v>
      </c>
      <c r="G6" s="558">
        <v>319</v>
      </c>
      <c r="H6" s="558" t="s">
        <v>1013</v>
      </c>
      <c r="I6" s="559" t="s">
        <v>675</v>
      </c>
      <c r="J6" s="567" t="s">
        <v>1372</v>
      </c>
      <c r="K6" s="960" t="s">
        <v>1373</v>
      </c>
      <c r="L6" s="555" t="str">
        <f t="shared" ca="1" si="0"/>
        <v/>
      </c>
      <c r="M6" s="494" t="s">
        <v>1374</v>
      </c>
      <c r="N6" s="555" t="str">
        <f t="shared" ca="1" si="1"/>
        <v/>
      </c>
      <c r="O6" s="494" t="s">
        <v>1375</v>
      </c>
      <c r="P6" s="555" t="str">
        <f t="shared" ca="1" si="2"/>
        <v/>
      </c>
      <c r="Q6" s="494" t="s">
        <v>1376</v>
      </c>
      <c r="R6" s="494" t="str">
        <f t="shared" si="8"/>
        <v>I6</v>
      </c>
      <c r="S6" s="494" t="s">
        <v>1377</v>
      </c>
      <c r="T6" s="494">
        <v>5</v>
      </c>
      <c r="U6" s="556" t="str">
        <f t="shared" ca="1" si="3"/>
        <v/>
      </c>
      <c r="V6" s="494">
        <v>6</v>
      </c>
      <c r="W6" s="556" t="str">
        <f t="shared" ca="1" si="4"/>
        <v/>
      </c>
      <c r="X6" s="494" t="s">
        <v>1378</v>
      </c>
      <c r="Y6" s="547" t="str">
        <f t="shared" ca="1" si="5"/>
        <v/>
      </c>
      <c r="Z6" s="494" t="s">
        <v>1379</v>
      </c>
      <c r="AA6" s="547" t="str">
        <f t="shared" ca="1" si="6"/>
        <v/>
      </c>
      <c r="AB6" s="494" t="s">
        <v>1380</v>
      </c>
      <c r="AC6" s="547" t="str">
        <f t="shared" ca="1" si="7"/>
        <v/>
      </c>
      <c r="AD6" s="557"/>
      <c r="AE6" s="958"/>
    </row>
    <row r="7" spans="1:31" ht="15" customHeight="1">
      <c r="A7" s="957">
        <v>43</v>
      </c>
      <c r="B7" s="566" t="s">
        <v>1007</v>
      </c>
      <c r="C7" s="567" t="s">
        <v>1369</v>
      </c>
      <c r="D7" s="958" t="s">
        <v>1370</v>
      </c>
      <c r="E7" s="959" t="s">
        <v>659</v>
      </c>
      <c r="F7" s="558" t="s">
        <v>1371</v>
      </c>
      <c r="G7" s="558">
        <v>319</v>
      </c>
      <c r="H7" s="558" t="s">
        <v>1013</v>
      </c>
      <c r="I7" s="559" t="s">
        <v>1014</v>
      </c>
      <c r="J7" s="567" t="s">
        <v>1372</v>
      </c>
      <c r="K7" s="960" t="s">
        <v>1373</v>
      </c>
      <c r="L7" s="555" t="str">
        <f t="shared" ca="1" si="0"/>
        <v/>
      </c>
      <c r="M7" s="494" t="s">
        <v>1374</v>
      </c>
      <c r="N7" s="555" t="str">
        <f t="shared" ca="1" si="1"/>
        <v/>
      </c>
      <c r="O7" s="494" t="s">
        <v>1375</v>
      </c>
      <c r="P7" s="555" t="str">
        <f t="shared" ca="1" si="2"/>
        <v/>
      </c>
      <c r="Q7" s="494" t="s">
        <v>1376</v>
      </c>
      <c r="R7" s="494" t="str">
        <f t="shared" si="8"/>
        <v>I7</v>
      </c>
      <c r="S7" s="494" t="s">
        <v>1377</v>
      </c>
      <c r="T7" s="494">
        <v>5</v>
      </c>
      <c r="U7" s="556" t="str">
        <f t="shared" ca="1" si="3"/>
        <v/>
      </c>
      <c r="V7" s="494">
        <v>6</v>
      </c>
      <c r="W7" s="556" t="str">
        <f t="shared" ca="1" si="4"/>
        <v/>
      </c>
      <c r="X7" s="494" t="s">
        <v>1378</v>
      </c>
      <c r="Y7" s="547" t="str">
        <f t="shared" ca="1" si="5"/>
        <v/>
      </c>
      <c r="Z7" s="494" t="s">
        <v>1379</v>
      </c>
      <c r="AA7" s="547" t="str">
        <f t="shared" ca="1" si="6"/>
        <v/>
      </c>
      <c r="AB7" s="494" t="s">
        <v>1380</v>
      </c>
      <c r="AC7" s="547" t="str">
        <f t="shared" ca="1" si="7"/>
        <v/>
      </c>
      <c r="AD7" s="557"/>
      <c r="AE7" s="958"/>
    </row>
    <row r="8" spans="1:31" ht="15" customHeight="1">
      <c r="A8" s="957">
        <v>43</v>
      </c>
      <c r="B8" s="566" t="s">
        <v>1007</v>
      </c>
      <c r="C8" s="567" t="s">
        <v>1369</v>
      </c>
      <c r="D8" s="958" t="s">
        <v>1370</v>
      </c>
      <c r="E8" s="959" t="s">
        <v>659</v>
      </c>
      <c r="F8" s="558" t="s">
        <v>1371</v>
      </c>
      <c r="G8" s="558">
        <v>319</v>
      </c>
      <c r="H8" s="558" t="s">
        <v>1013</v>
      </c>
      <c r="I8" s="559" t="s">
        <v>1015</v>
      </c>
      <c r="J8" s="567" t="s">
        <v>1372</v>
      </c>
      <c r="K8" s="960" t="s">
        <v>1373</v>
      </c>
      <c r="L8" s="555" t="str">
        <f t="shared" ca="1" si="0"/>
        <v/>
      </c>
      <c r="M8" s="494" t="s">
        <v>1374</v>
      </c>
      <c r="N8" s="555" t="str">
        <f t="shared" ca="1" si="1"/>
        <v/>
      </c>
      <c r="O8" s="494" t="s">
        <v>1375</v>
      </c>
      <c r="P8" s="555" t="str">
        <f t="shared" ca="1" si="2"/>
        <v/>
      </c>
      <c r="Q8" s="494" t="s">
        <v>1376</v>
      </c>
      <c r="R8" s="494" t="str">
        <f t="shared" si="8"/>
        <v>I8</v>
      </c>
      <c r="S8" s="494" t="s">
        <v>1377</v>
      </c>
      <c r="T8" s="494">
        <v>5</v>
      </c>
      <c r="U8" s="556" t="str">
        <f t="shared" ca="1" si="3"/>
        <v/>
      </c>
      <c r="V8" s="494">
        <v>6</v>
      </c>
      <c r="W8" s="556" t="str">
        <f t="shared" ca="1" si="4"/>
        <v/>
      </c>
      <c r="X8" s="494" t="s">
        <v>1378</v>
      </c>
      <c r="Y8" s="547" t="str">
        <f t="shared" ca="1" si="5"/>
        <v/>
      </c>
      <c r="Z8" s="494" t="s">
        <v>1379</v>
      </c>
      <c r="AA8" s="547" t="str">
        <f t="shared" ca="1" si="6"/>
        <v/>
      </c>
      <c r="AB8" s="494" t="s">
        <v>1380</v>
      </c>
      <c r="AC8" s="547" t="str">
        <f t="shared" ca="1" si="7"/>
        <v/>
      </c>
      <c r="AD8" s="557"/>
      <c r="AE8" s="958"/>
    </row>
    <row r="9" spans="1:31" ht="15" customHeight="1">
      <c r="A9" s="957">
        <v>43</v>
      </c>
      <c r="B9" s="566" t="s">
        <v>1007</v>
      </c>
      <c r="C9" s="567" t="s">
        <v>1369</v>
      </c>
      <c r="D9" s="958" t="s">
        <v>1370</v>
      </c>
      <c r="E9" s="959" t="s">
        <v>659</v>
      </c>
      <c r="F9" s="558" t="s">
        <v>1371</v>
      </c>
      <c r="G9" s="558">
        <v>320</v>
      </c>
      <c r="H9" s="558" t="s">
        <v>1016</v>
      </c>
      <c r="I9" s="559" t="s">
        <v>665</v>
      </c>
      <c r="J9" s="567" t="s">
        <v>1372</v>
      </c>
      <c r="K9" s="960" t="s">
        <v>1373</v>
      </c>
      <c r="L9" s="555" t="str">
        <f t="shared" ca="1" si="0"/>
        <v/>
      </c>
      <c r="M9" s="494" t="s">
        <v>1374</v>
      </c>
      <c r="N9" s="555" t="str">
        <f t="shared" ca="1" si="1"/>
        <v/>
      </c>
      <c r="O9" s="494" t="s">
        <v>1375</v>
      </c>
      <c r="P9" s="555" t="str">
        <f t="shared" ca="1" si="2"/>
        <v/>
      </c>
      <c r="Q9" s="494" t="s">
        <v>1376</v>
      </c>
      <c r="R9" s="494" t="str">
        <f t="shared" si="8"/>
        <v>I9</v>
      </c>
      <c r="S9" s="494" t="s">
        <v>1377</v>
      </c>
      <c r="T9" s="494">
        <v>5</v>
      </c>
      <c r="U9" s="556" t="str">
        <f t="shared" ca="1" si="3"/>
        <v/>
      </c>
      <c r="V9" s="494">
        <v>6</v>
      </c>
      <c r="W9" s="556" t="str">
        <f t="shared" ca="1" si="4"/>
        <v/>
      </c>
      <c r="X9" s="494" t="s">
        <v>1378</v>
      </c>
      <c r="Y9" s="547" t="str">
        <f t="shared" ca="1" si="5"/>
        <v/>
      </c>
      <c r="Z9" s="494" t="s">
        <v>1379</v>
      </c>
      <c r="AA9" s="547" t="str">
        <f t="shared" ca="1" si="6"/>
        <v/>
      </c>
      <c r="AB9" s="494" t="s">
        <v>1380</v>
      </c>
      <c r="AC9" s="547" t="str">
        <f t="shared" ca="1" si="7"/>
        <v/>
      </c>
      <c r="AD9" s="557"/>
      <c r="AE9" s="958"/>
    </row>
    <row r="10" spans="1:31" ht="15" customHeight="1">
      <c r="A10" s="957">
        <v>43</v>
      </c>
      <c r="B10" s="566" t="s">
        <v>1007</v>
      </c>
      <c r="C10" s="567" t="s">
        <v>1369</v>
      </c>
      <c r="D10" s="958" t="s">
        <v>1370</v>
      </c>
      <c r="E10" s="959" t="s">
        <v>659</v>
      </c>
      <c r="F10" s="558" t="s">
        <v>1371</v>
      </c>
      <c r="G10" s="558">
        <v>320</v>
      </c>
      <c r="H10" s="558" t="s">
        <v>1016</v>
      </c>
      <c r="I10" s="559" t="s">
        <v>666</v>
      </c>
      <c r="J10" s="567" t="s">
        <v>1372</v>
      </c>
      <c r="K10" s="960" t="s">
        <v>1373</v>
      </c>
      <c r="L10" s="555" t="str">
        <f t="shared" ca="1" si="0"/>
        <v/>
      </c>
      <c r="M10" s="494" t="s">
        <v>1374</v>
      </c>
      <c r="N10" s="555" t="str">
        <f t="shared" ca="1" si="1"/>
        <v/>
      </c>
      <c r="O10" s="494" t="s">
        <v>1375</v>
      </c>
      <c r="P10" s="555" t="str">
        <f t="shared" ca="1" si="2"/>
        <v/>
      </c>
      <c r="Q10" s="494" t="s">
        <v>1376</v>
      </c>
      <c r="R10" s="494" t="str">
        <f t="shared" si="8"/>
        <v>I10</v>
      </c>
      <c r="S10" s="494" t="s">
        <v>1377</v>
      </c>
      <c r="T10" s="494">
        <v>5</v>
      </c>
      <c r="U10" s="556" t="str">
        <f t="shared" ca="1" si="3"/>
        <v/>
      </c>
      <c r="V10" s="494">
        <v>6</v>
      </c>
      <c r="W10" s="556" t="str">
        <f t="shared" ca="1" si="4"/>
        <v/>
      </c>
      <c r="X10" s="494" t="s">
        <v>1378</v>
      </c>
      <c r="Y10" s="547" t="str">
        <f t="shared" ca="1" si="5"/>
        <v/>
      </c>
      <c r="Z10" s="494" t="s">
        <v>1379</v>
      </c>
      <c r="AA10" s="547" t="str">
        <f t="shared" ca="1" si="6"/>
        <v/>
      </c>
      <c r="AB10" s="494" t="s">
        <v>1380</v>
      </c>
      <c r="AC10" s="547" t="str">
        <f t="shared" ca="1" si="7"/>
        <v/>
      </c>
      <c r="AD10" s="557"/>
      <c r="AE10" s="958"/>
    </row>
    <row r="11" spans="1:31" ht="15" customHeight="1">
      <c r="A11" s="957">
        <v>43</v>
      </c>
      <c r="B11" s="566" t="s">
        <v>1007</v>
      </c>
      <c r="C11" s="567" t="s">
        <v>1369</v>
      </c>
      <c r="D11" s="958" t="s">
        <v>1370</v>
      </c>
      <c r="E11" s="959" t="s">
        <v>659</v>
      </c>
      <c r="F11" s="558" t="s">
        <v>1371</v>
      </c>
      <c r="G11" s="558">
        <v>320</v>
      </c>
      <c r="H11" s="558" t="s">
        <v>1016</v>
      </c>
      <c r="I11" s="559" t="s">
        <v>1017</v>
      </c>
      <c r="J11" s="567" t="s">
        <v>1372</v>
      </c>
      <c r="K11" s="960" t="s">
        <v>1373</v>
      </c>
      <c r="L11" s="555" t="str">
        <f t="shared" ca="1" si="0"/>
        <v/>
      </c>
      <c r="M11" s="494" t="s">
        <v>1374</v>
      </c>
      <c r="N11" s="555" t="str">
        <f t="shared" ca="1" si="1"/>
        <v/>
      </c>
      <c r="O11" s="494" t="s">
        <v>1375</v>
      </c>
      <c r="P11" s="555" t="str">
        <f t="shared" ca="1" si="2"/>
        <v/>
      </c>
      <c r="Q11" s="494" t="s">
        <v>1376</v>
      </c>
      <c r="R11" s="494" t="str">
        <f t="shared" si="8"/>
        <v>I11</v>
      </c>
      <c r="S11" s="494" t="s">
        <v>1377</v>
      </c>
      <c r="T11" s="494">
        <v>5</v>
      </c>
      <c r="U11" s="556" t="str">
        <f t="shared" ca="1" si="3"/>
        <v/>
      </c>
      <c r="V11" s="494">
        <v>6</v>
      </c>
      <c r="W11" s="556" t="str">
        <f t="shared" ca="1" si="4"/>
        <v/>
      </c>
      <c r="X11" s="494" t="s">
        <v>1378</v>
      </c>
      <c r="Y11" s="547" t="str">
        <f t="shared" ca="1" si="5"/>
        <v/>
      </c>
      <c r="Z11" s="494" t="s">
        <v>1379</v>
      </c>
      <c r="AA11" s="547" t="str">
        <f t="shared" ca="1" si="6"/>
        <v/>
      </c>
      <c r="AB11" s="494" t="s">
        <v>1380</v>
      </c>
      <c r="AC11" s="547" t="str">
        <f t="shared" ca="1" si="7"/>
        <v/>
      </c>
      <c r="AD11" s="557"/>
      <c r="AE11" s="958"/>
    </row>
    <row r="12" spans="1:31" ht="15" customHeight="1">
      <c r="A12" s="957">
        <v>43</v>
      </c>
      <c r="B12" s="566" t="s">
        <v>1007</v>
      </c>
      <c r="C12" s="567" t="s">
        <v>1369</v>
      </c>
      <c r="D12" s="958" t="s">
        <v>1370</v>
      </c>
      <c r="E12" s="959" t="s">
        <v>659</v>
      </c>
      <c r="F12" s="558" t="s">
        <v>1371</v>
      </c>
      <c r="G12" s="558">
        <v>321</v>
      </c>
      <c r="H12" s="558" t="s">
        <v>1018</v>
      </c>
      <c r="I12" s="559" t="s">
        <v>678</v>
      </c>
      <c r="J12" s="567" t="s">
        <v>1372</v>
      </c>
      <c r="K12" s="960" t="s">
        <v>1373</v>
      </c>
      <c r="L12" s="555" t="str">
        <f t="shared" ca="1" si="0"/>
        <v/>
      </c>
      <c r="M12" s="494" t="s">
        <v>1374</v>
      </c>
      <c r="N12" s="555" t="str">
        <f t="shared" ca="1" si="1"/>
        <v/>
      </c>
      <c r="O12" s="494" t="s">
        <v>1375</v>
      </c>
      <c r="P12" s="555" t="str">
        <f t="shared" ca="1" si="2"/>
        <v/>
      </c>
      <c r="Q12" s="494" t="s">
        <v>1376</v>
      </c>
      <c r="R12" s="494" t="str">
        <f t="shared" si="8"/>
        <v>I12</v>
      </c>
      <c r="S12" s="494" t="s">
        <v>1377</v>
      </c>
      <c r="T12" s="494">
        <v>5</v>
      </c>
      <c r="U12" s="556" t="str">
        <f t="shared" ca="1" si="3"/>
        <v/>
      </c>
      <c r="V12" s="494">
        <v>6</v>
      </c>
      <c r="W12" s="556" t="str">
        <f t="shared" ca="1" si="4"/>
        <v/>
      </c>
      <c r="X12" s="494" t="s">
        <v>1378</v>
      </c>
      <c r="Y12" s="547" t="str">
        <f t="shared" ca="1" si="5"/>
        <v/>
      </c>
      <c r="Z12" s="494" t="s">
        <v>1379</v>
      </c>
      <c r="AA12" s="547" t="str">
        <f t="shared" ca="1" si="6"/>
        <v/>
      </c>
      <c r="AB12" s="494" t="s">
        <v>1380</v>
      </c>
      <c r="AC12" s="547" t="str">
        <f t="shared" ca="1" si="7"/>
        <v/>
      </c>
      <c r="AD12" s="557"/>
      <c r="AE12" s="958"/>
    </row>
    <row r="13" spans="1:31" ht="15" customHeight="1">
      <c r="A13" s="957">
        <v>43</v>
      </c>
      <c r="B13" s="566" t="s">
        <v>1007</v>
      </c>
      <c r="C13" s="567" t="s">
        <v>1369</v>
      </c>
      <c r="D13" s="958" t="s">
        <v>1370</v>
      </c>
      <c r="E13" s="959" t="s">
        <v>659</v>
      </c>
      <c r="F13" s="558" t="s">
        <v>1371</v>
      </c>
      <c r="G13" s="558">
        <v>321</v>
      </c>
      <c r="H13" s="558" t="s">
        <v>1018</v>
      </c>
      <c r="I13" s="559" t="s">
        <v>679</v>
      </c>
      <c r="J13" s="567" t="s">
        <v>1372</v>
      </c>
      <c r="K13" s="960" t="s">
        <v>1373</v>
      </c>
      <c r="L13" s="555" t="str">
        <f t="shared" ca="1" si="0"/>
        <v/>
      </c>
      <c r="M13" s="494" t="s">
        <v>1374</v>
      </c>
      <c r="N13" s="555" t="str">
        <f t="shared" ca="1" si="1"/>
        <v/>
      </c>
      <c r="O13" s="494" t="s">
        <v>1375</v>
      </c>
      <c r="P13" s="555" t="str">
        <f t="shared" ca="1" si="2"/>
        <v/>
      </c>
      <c r="Q13" s="494" t="s">
        <v>1376</v>
      </c>
      <c r="R13" s="494" t="str">
        <f t="shared" si="8"/>
        <v>I13</v>
      </c>
      <c r="S13" s="494" t="s">
        <v>1377</v>
      </c>
      <c r="T13" s="494">
        <v>5</v>
      </c>
      <c r="U13" s="556" t="str">
        <f t="shared" ca="1" si="3"/>
        <v/>
      </c>
      <c r="V13" s="494">
        <v>6</v>
      </c>
      <c r="W13" s="556" t="str">
        <f t="shared" ca="1" si="4"/>
        <v/>
      </c>
      <c r="X13" s="494" t="s">
        <v>1378</v>
      </c>
      <c r="Y13" s="547" t="str">
        <f t="shared" ca="1" si="5"/>
        <v/>
      </c>
      <c r="Z13" s="494" t="s">
        <v>1379</v>
      </c>
      <c r="AA13" s="547" t="str">
        <f t="shared" ca="1" si="6"/>
        <v/>
      </c>
      <c r="AB13" s="494" t="s">
        <v>1380</v>
      </c>
      <c r="AC13" s="547" t="str">
        <f t="shared" ca="1" si="7"/>
        <v/>
      </c>
      <c r="AD13" s="557"/>
      <c r="AE13" s="958"/>
    </row>
    <row r="14" spans="1:31" ht="15" customHeight="1">
      <c r="A14" s="957">
        <v>43</v>
      </c>
      <c r="B14" s="566" t="s">
        <v>1007</v>
      </c>
      <c r="C14" s="567" t="s">
        <v>1369</v>
      </c>
      <c r="D14" s="958" t="s">
        <v>1370</v>
      </c>
      <c r="E14" s="959" t="s">
        <v>659</v>
      </c>
      <c r="F14" s="558" t="s">
        <v>1371</v>
      </c>
      <c r="G14" s="558">
        <v>322</v>
      </c>
      <c r="H14" s="558" t="s">
        <v>1020</v>
      </c>
      <c r="I14" s="559" t="s">
        <v>667</v>
      </c>
      <c r="J14" s="567" t="s">
        <v>1372</v>
      </c>
      <c r="K14" s="960" t="s">
        <v>1373</v>
      </c>
      <c r="L14" s="555" t="str">
        <f t="shared" ca="1" si="0"/>
        <v/>
      </c>
      <c r="M14" s="494" t="s">
        <v>1374</v>
      </c>
      <c r="N14" s="555" t="str">
        <f t="shared" ca="1" si="1"/>
        <v/>
      </c>
      <c r="O14" s="494" t="s">
        <v>1375</v>
      </c>
      <c r="P14" s="555" t="str">
        <f t="shared" ca="1" si="2"/>
        <v/>
      </c>
      <c r="Q14" s="494" t="s">
        <v>1376</v>
      </c>
      <c r="R14" s="494" t="str">
        <f t="shared" si="8"/>
        <v>I14</v>
      </c>
      <c r="S14" s="494" t="s">
        <v>1377</v>
      </c>
      <c r="T14" s="494">
        <v>5</v>
      </c>
      <c r="U14" s="556" t="str">
        <f t="shared" ca="1" si="3"/>
        <v/>
      </c>
      <c r="V14" s="494">
        <v>6</v>
      </c>
      <c r="W14" s="556" t="str">
        <f t="shared" ca="1" si="4"/>
        <v/>
      </c>
      <c r="X14" s="494" t="s">
        <v>1378</v>
      </c>
      <c r="Y14" s="547" t="str">
        <f t="shared" ca="1" si="5"/>
        <v/>
      </c>
      <c r="Z14" s="494" t="s">
        <v>1379</v>
      </c>
      <c r="AA14" s="547" t="str">
        <f t="shared" ca="1" si="6"/>
        <v/>
      </c>
      <c r="AB14" s="494" t="s">
        <v>1380</v>
      </c>
      <c r="AC14" s="547" t="str">
        <f t="shared" ca="1" si="7"/>
        <v/>
      </c>
      <c r="AD14" s="557"/>
      <c r="AE14" s="958"/>
    </row>
    <row r="15" spans="1:31" ht="15" customHeight="1">
      <c r="A15" s="957">
        <v>43</v>
      </c>
      <c r="B15" s="566" t="s">
        <v>1007</v>
      </c>
      <c r="C15" s="567" t="s">
        <v>1369</v>
      </c>
      <c r="D15" s="958" t="s">
        <v>1370</v>
      </c>
      <c r="E15" s="959" t="s">
        <v>659</v>
      </c>
      <c r="F15" s="558" t="s">
        <v>1371</v>
      </c>
      <c r="G15" s="558">
        <v>322</v>
      </c>
      <c r="H15" s="558" t="s">
        <v>1020</v>
      </c>
      <c r="I15" s="559" t="s">
        <v>668</v>
      </c>
      <c r="J15" s="567" t="s">
        <v>1372</v>
      </c>
      <c r="K15" s="960" t="s">
        <v>1373</v>
      </c>
      <c r="L15" s="555" t="str">
        <f t="shared" ca="1" si="0"/>
        <v/>
      </c>
      <c r="M15" s="494" t="s">
        <v>1374</v>
      </c>
      <c r="N15" s="555" t="str">
        <f t="shared" ca="1" si="1"/>
        <v/>
      </c>
      <c r="O15" s="494" t="s">
        <v>1375</v>
      </c>
      <c r="P15" s="555" t="str">
        <f t="shared" ca="1" si="2"/>
        <v/>
      </c>
      <c r="Q15" s="494" t="s">
        <v>1376</v>
      </c>
      <c r="R15" s="494" t="str">
        <f t="shared" si="8"/>
        <v>I15</v>
      </c>
      <c r="S15" s="494" t="s">
        <v>1377</v>
      </c>
      <c r="T15" s="494">
        <v>5</v>
      </c>
      <c r="U15" s="556" t="str">
        <f t="shared" ca="1" si="3"/>
        <v/>
      </c>
      <c r="V15" s="494">
        <v>6</v>
      </c>
      <c r="W15" s="556" t="str">
        <f t="shared" ca="1" si="4"/>
        <v/>
      </c>
      <c r="X15" s="494" t="s">
        <v>1378</v>
      </c>
      <c r="Y15" s="547" t="str">
        <f t="shared" ca="1" si="5"/>
        <v/>
      </c>
      <c r="Z15" s="494" t="s">
        <v>1379</v>
      </c>
      <c r="AA15" s="547" t="str">
        <f t="shared" ca="1" si="6"/>
        <v/>
      </c>
      <c r="AB15" s="494" t="s">
        <v>1380</v>
      </c>
      <c r="AC15" s="547" t="str">
        <f t="shared" ca="1" si="7"/>
        <v/>
      </c>
      <c r="AD15" s="557"/>
      <c r="AE15" s="958"/>
    </row>
    <row r="16" spans="1:31" ht="15" customHeight="1">
      <c r="A16" s="957">
        <v>43</v>
      </c>
      <c r="B16" s="566" t="s">
        <v>1007</v>
      </c>
      <c r="C16" s="567" t="s">
        <v>1369</v>
      </c>
      <c r="D16" s="958" t="s">
        <v>1370</v>
      </c>
      <c r="E16" s="959" t="s">
        <v>659</v>
      </c>
      <c r="F16" s="558" t="s">
        <v>1371</v>
      </c>
      <c r="G16" s="558">
        <v>323</v>
      </c>
      <c r="H16" s="558" t="s">
        <v>1021</v>
      </c>
      <c r="I16" s="559" t="s">
        <v>298</v>
      </c>
      <c r="J16" s="567" t="s">
        <v>1372</v>
      </c>
      <c r="K16" s="960" t="s">
        <v>1373</v>
      </c>
      <c r="L16" s="555" t="str">
        <f t="shared" ca="1" si="0"/>
        <v/>
      </c>
      <c r="M16" s="494" t="s">
        <v>1374</v>
      </c>
      <c r="N16" s="555" t="str">
        <f t="shared" ca="1" si="1"/>
        <v/>
      </c>
      <c r="O16" s="494" t="s">
        <v>1375</v>
      </c>
      <c r="P16" s="555" t="str">
        <f t="shared" ca="1" si="2"/>
        <v/>
      </c>
      <c r="Q16" s="494" t="s">
        <v>1376</v>
      </c>
      <c r="R16" s="494" t="str">
        <f t="shared" si="8"/>
        <v>I16</v>
      </c>
      <c r="S16" s="494" t="s">
        <v>1377</v>
      </c>
      <c r="T16" s="494">
        <v>5</v>
      </c>
      <c r="U16" s="556" t="str">
        <f t="shared" ca="1" si="3"/>
        <v/>
      </c>
      <c r="V16" s="494">
        <v>6</v>
      </c>
      <c r="W16" s="556" t="str">
        <f t="shared" ca="1" si="4"/>
        <v/>
      </c>
      <c r="X16" s="494" t="s">
        <v>1378</v>
      </c>
      <c r="Y16" s="547" t="str">
        <f t="shared" ca="1" si="5"/>
        <v/>
      </c>
      <c r="Z16" s="494" t="s">
        <v>1379</v>
      </c>
      <c r="AA16" s="547" t="str">
        <f t="shared" ca="1" si="6"/>
        <v/>
      </c>
      <c r="AB16" s="494" t="s">
        <v>1380</v>
      </c>
      <c r="AC16" s="547" t="str">
        <f t="shared" ca="1" si="7"/>
        <v/>
      </c>
      <c r="AD16" s="557"/>
      <c r="AE16" s="958"/>
    </row>
    <row r="17" spans="1:31" ht="15" customHeight="1">
      <c r="A17" s="957">
        <v>43</v>
      </c>
      <c r="B17" s="566" t="s">
        <v>1007</v>
      </c>
      <c r="C17" s="567" t="s">
        <v>1369</v>
      </c>
      <c r="D17" s="958" t="s">
        <v>1370</v>
      </c>
      <c r="E17" s="959" t="s">
        <v>659</v>
      </c>
      <c r="F17" s="558" t="s">
        <v>1371</v>
      </c>
      <c r="G17" s="558">
        <v>323</v>
      </c>
      <c r="H17" s="558" t="s">
        <v>1021</v>
      </c>
      <c r="I17" s="559" t="s">
        <v>682</v>
      </c>
      <c r="J17" s="567" t="s">
        <v>1372</v>
      </c>
      <c r="K17" s="960" t="s">
        <v>1373</v>
      </c>
      <c r="L17" s="555" t="str">
        <f t="shared" ca="1" si="0"/>
        <v/>
      </c>
      <c r="M17" s="494" t="s">
        <v>1374</v>
      </c>
      <c r="N17" s="555" t="str">
        <f t="shared" ca="1" si="1"/>
        <v/>
      </c>
      <c r="O17" s="494" t="s">
        <v>1375</v>
      </c>
      <c r="P17" s="555" t="str">
        <f t="shared" ca="1" si="2"/>
        <v/>
      </c>
      <c r="Q17" s="494" t="s">
        <v>1376</v>
      </c>
      <c r="R17" s="494" t="str">
        <f t="shared" si="8"/>
        <v>I17</v>
      </c>
      <c r="S17" s="494" t="s">
        <v>1377</v>
      </c>
      <c r="T17" s="494">
        <v>5</v>
      </c>
      <c r="U17" s="556" t="str">
        <f t="shared" ca="1" si="3"/>
        <v/>
      </c>
      <c r="V17" s="494">
        <v>6</v>
      </c>
      <c r="W17" s="556" t="str">
        <f t="shared" ca="1" si="4"/>
        <v/>
      </c>
      <c r="X17" s="494" t="s">
        <v>1378</v>
      </c>
      <c r="Y17" s="547" t="str">
        <f t="shared" ca="1" si="5"/>
        <v/>
      </c>
      <c r="Z17" s="494" t="s">
        <v>1379</v>
      </c>
      <c r="AA17" s="547" t="str">
        <f t="shared" ca="1" si="6"/>
        <v/>
      </c>
      <c r="AB17" s="494" t="s">
        <v>1380</v>
      </c>
      <c r="AC17" s="547" t="str">
        <f t="shared" ca="1" si="7"/>
        <v/>
      </c>
      <c r="AD17" s="557"/>
      <c r="AE17" s="958"/>
    </row>
    <row r="18" spans="1:31" ht="15" customHeight="1">
      <c r="A18" s="957">
        <v>43</v>
      </c>
      <c r="B18" s="566" t="s">
        <v>1007</v>
      </c>
      <c r="C18" s="567" t="s">
        <v>1369</v>
      </c>
      <c r="D18" s="958" t="s">
        <v>1370</v>
      </c>
      <c r="E18" s="959" t="s">
        <v>1022</v>
      </c>
      <c r="F18" s="558" t="s">
        <v>1383</v>
      </c>
      <c r="G18" s="558">
        <v>313</v>
      </c>
      <c r="H18" s="558" t="s">
        <v>1023</v>
      </c>
      <c r="I18" s="559" t="s">
        <v>780</v>
      </c>
      <c r="J18" s="567" t="s">
        <v>1372</v>
      </c>
      <c r="K18" s="960" t="s">
        <v>1373</v>
      </c>
      <c r="L18" s="555" t="str">
        <f t="shared" ca="1" si="0"/>
        <v/>
      </c>
      <c r="M18" s="494" t="s">
        <v>1374</v>
      </c>
      <c r="N18" s="555" t="str">
        <f t="shared" ca="1" si="1"/>
        <v/>
      </c>
      <c r="O18" s="494" t="s">
        <v>1375</v>
      </c>
      <c r="P18" s="555" t="str">
        <f t="shared" ca="1" si="2"/>
        <v/>
      </c>
      <c r="Q18" s="494" t="s">
        <v>1376</v>
      </c>
      <c r="R18" s="494" t="str">
        <f t="shared" si="8"/>
        <v>I18</v>
      </c>
      <c r="S18" s="494" t="s">
        <v>1377</v>
      </c>
      <c r="T18" s="494">
        <v>5</v>
      </c>
      <c r="U18" s="556" t="str">
        <f t="shared" ca="1" si="3"/>
        <v/>
      </c>
      <c r="V18" s="494">
        <v>6</v>
      </c>
      <c r="W18" s="556" t="str">
        <f t="shared" ca="1" si="4"/>
        <v/>
      </c>
      <c r="X18" s="494" t="s">
        <v>1378</v>
      </c>
      <c r="Y18" s="547" t="str">
        <f t="shared" ca="1" si="5"/>
        <v/>
      </c>
      <c r="Z18" s="494" t="s">
        <v>1379</v>
      </c>
      <c r="AA18" s="547" t="str">
        <f t="shared" ca="1" si="6"/>
        <v/>
      </c>
      <c r="AB18" s="494" t="s">
        <v>1380</v>
      </c>
      <c r="AC18" s="547" t="str">
        <f t="shared" ca="1" si="7"/>
        <v/>
      </c>
      <c r="AD18" s="557"/>
      <c r="AE18" s="958"/>
    </row>
    <row r="19" spans="1:31" ht="15" customHeight="1">
      <c r="A19" s="957">
        <v>43</v>
      </c>
      <c r="B19" s="566" t="s">
        <v>1007</v>
      </c>
      <c r="C19" s="567" t="s">
        <v>1369</v>
      </c>
      <c r="D19" s="958" t="s">
        <v>1370</v>
      </c>
      <c r="E19" s="959" t="s">
        <v>1022</v>
      </c>
      <c r="F19" s="558" t="s">
        <v>1383</v>
      </c>
      <c r="G19" s="558">
        <v>313</v>
      </c>
      <c r="H19" s="558" t="s">
        <v>1023</v>
      </c>
      <c r="I19" s="559" t="s">
        <v>1384</v>
      </c>
      <c r="J19" s="567" t="s">
        <v>1372</v>
      </c>
      <c r="K19" s="960" t="s">
        <v>1373</v>
      </c>
      <c r="L19" s="555" t="str">
        <f t="shared" ca="1" si="0"/>
        <v/>
      </c>
      <c r="M19" s="494" t="s">
        <v>1374</v>
      </c>
      <c r="N19" s="555" t="str">
        <f t="shared" ca="1" si="1"/>
        <v/>
      </c>
      <c r="O19" s="494" t="s">
        <v>1375</v>
      </c>
      <c r="P19" s="555" t="str">
        <f t="shared" ca="1" si="2"/>
        <v/>
      </c>
      <c r="Q19" s="494" t="s">
        <v>1376</v>
      </c>
      <c r="R19" s="494" t="str">
        <f t="shared" si="8"/>
        <v>I19</v>
      </c>
      <c r="S19" s="494" t="s">
        <v>1377</v>
      </c>
      <c r="T19" s="494">
        <v>5</v>
      </c>
      <c r="U19" s="556" t="str">
        <f t="shared" ca="1" si="3"/>
        <v/>
      </c>
      <c r="V19" s="494">
        <v>6</v>
      </c>
      <c r="W19" s="556" t="str">
        <f t="shared" ca="1" si="4"/>
        <v/>
      </c>
      <c r="X19" s="494" t="s">
        <v>1378</v>
      </c>
      <c r="Y19" s="547" t="str">
        <f t="shared" ca="1" si="5"/>
        <v/>
      </c>
      <c r="Z19" s="494" t="s">
        <v>1379</v>
      </c>
      <c r="AA19" s="547" t="str">
        <f t="shared" ca="1" si="6"/>
        <v/>
      </c>
      <c r="AB19" s="494" t="s">
        <v>1380</v>
      </c>
      <c r="AC19" s="547" t="str">
        <f t="shared" ca="1" si="7"/>
        <v/>
      </c>
      <c r="AD19" s="557"/>
      <c r="AE19" s="958"/>
    </row>
    <row r="20" spans="1:31" ht="15" customHeight="1">
      <c r="A20" s="957">
        <v>43</v>
      </c>
      <c r="B20" s="566" t="s">
        <v>1007</v>
      </c>
      <c r="C20" s="567" t="s">
        <v>1369</v>
      </c>
      <c r="D20" s="958" t="s">
        <v>1370</v>
      </c>
      <c r="E20" s="959" t="s">
        <v>1022</v>
      </c>
      <c r="F20" s="558" t="s">
        <v>1383</v>
      </c>
      <c r="G20" s="558">
        <v>314</v>
      </c>
      <c r="H20" s="558" t="s">
        <v>1024</v>
      </c>
      <c r="I20" s="559" t="s">
        <v>1385</v>
      </c>
      <c r="J20" s="567" t="s">
        <v>1372</v>
      </c>
      <c r="K20" s="960" t="s">
        <v>1373</v>
      </c>
      <c r="L20" s="555" t="str">
        <f t="shared" ca="1" si="0"/>
        <v/>
      </c>
      <c r="M20" s="494" t="s">
        <v>1374</v>
      </c>
      <c r="N20" s="555" t="str">
        <f t="shared" ca="1" si="1"/>
        <v/>
      </c>
      <c r="O20" s="494" t="s">
        <v>1375</v>
      </c>
      <c r="P20" s="555" t="str">
        <f t="shared" ca="1" si="2"/>
        <v/>
      </c>
      <c r="Q20" s="494" t="s">
        <v>1376</v>
      </c>
      <c r="R20" s="494" t="str">
        <f t="shared" si="8"/>
        <v>I20</v>
      </c>
      <c r="S20" s="494" t="s">
        <v>1377</v>
      </c>
      <c r="T20" s="494">
        <v>5</v>
      </c>
      <c r="U20" s="556" t="str">
        <f t="shared" ca="1" si="3"/>
        <v/>
      </c>
      <c r="V20" s="494">
        <v>6</v>
      </c>
      <c r="W20" s="556" t="str">
        <f t="shared" ca="1" si="4"/>
        <v/>
      </c>
      <c r="X20" s="494" t="s">
        <v>1378</v>
      </c>
      <c r="Y20" s="547" t="str">
        <f t="shared" ca="1" si="5"/>
        <v/>
      </c>
      <c r="Z20" s="494" t="s">
        <v>1379</v>
      </c>
      <c r="AA20" s="547" t="str">
        <f t="shared" ca="1" si="6"/>
        <v/>
      </c>
      <c r="AB20" s="494" t="s">
        <v>1380</v>
      </c>
      <c r="AC20" s="547" t="str">
        <f t="shared" ca="1" si="7"/>
        <v/>
      </c>
      <c r="AD20" s="557"/>
      <c r="AE20" s="958"/>
    </row>
    <row r="21" spans="1:31" ht="15" customHeight="1">
      <c r="A21" s="957">
        <v>43</v>
      </c>
      <c r="B21" s="566" t="s">
        <v>1007</v>
      </c>
      <c r="C21" s="567" t="s">
        <v>1369</v>
      </c>
      <c r="D21" s="958" t="s">
        <v>1370</v>
      </c>
      <c r="E21" s="959" t="s">
        <v>1022</v>
      </c>
      <c r="F21" s="558" t="s">
        <v>1383</v>
      </c>
      <c r="G21" s="558">
        <v>315</v>
      </c>
      <c r="H21" s="558" t="s">
        <v>1025</v>
      </c>
      <c r="I21" s="559" t="s">
        <v>661</v>
      </c>
      <c r="J21" s="567" t="s">
        <v>1372</v>
      </c>
      <c r="K21" s="960" t="s">
        <v>1373</v>
      </c>
      <c r="L21" s="555" t="str">
        <f t="shared" ca="1" si="0"/>
        <v/>
      </c>
      <c r="M21" s="494" t="s">
        <v>1374</v>
      </c>
      <c r="N21" s="555" t="str">
        <f t="shared" ca="1" si="1"/>
        <v/>
      </c>
      <c r="O21" s="494" t="s">
        <v>1375</v>
      </c>
      <c r="P21" s="555" t="str">
        <f t="shared" ca="1" si="2"/>
        <v/>
      </c>
      <c r="Q21" s="494" t="s">
        <v>1376</v>
      </c>
      <c r="R21" s="494" t="str">
        <f t="shared" si="8"/>
        <v>I21</v>
      </c>
      <c r="S21" s="494" t="s">
        <v>1377</v>
      </c>
      <c r="T21" s="494">
        <v>5</v>
      </c>
      <c r="U21" s="556" t="str">
        <f t="shared" ca="1" si="3"/>
        <v/>
      </c>
      <c r="V21" s="494">
        <v>6</v>
      </c>
      <c r="W21" s="556" t="str">
        <f t="shared" ca="1" si="4"/>
        <v/>
      </c>
      <c r="X21" s="494" t="s">
        <v>1378</v>
      </c>
      <c r="Y21" s="547" t="str">
        <f t="shared" ca="1" si="5"/>
        <v/>
      </c>
      <c r="Z21" s="494" t="s">
        <v>1379</v>
      </c>
      <c r="AA21" s="547" t="str">
        <f t="shared" ca="1" si="6"/>
        <v/>
      </c>
      <c r="AB21" s="494" t="s">
        <v>1380</v>
      </c>
      <c r="AC21" s="547" t="str">
        <f t="shared" ca="1" si="7"/>
        <v/>
      </c>
      <c r="AD21" s="557"/>
      <c r="AE21" s="958"/>
    </row>
    <row r="22" spans="1:31" ht="15" customHeight="1">
      <c r="A22" s="957">
        <v>43</v>
      </c>
      <c r="B22" s="566" t="s">
        <v>1007</v>
      </c>
      <c r="C22" s="567" t="s">
        <v>1369</v>
      </c>
      <c r="D22" s="958" t="s">
        <v>1370</v>
      </c>
      <c r="E22" s="959" t="s">
        <v>1022</v>
      </c>
      <c r="F22" s="558" t="s">
        <v>1383</v>
      </c>
      <c r="G22" s="558">
        <v>316</v>
      </c>
      <c r="H22" s="558" t="s">
        <v>1026</v>
      </c>
      <c r="I22" s="559" t="s">
        <v>662</v>
      </c>
      <c r="J22" s="567" t="s">
        <v>1372</v>
      </c>
      <c r="K22" s="960" t="s">
        <v>1373</v>
      </c>
      <c r="L22" s="555" t="str">
        <f t="shared" ca="1" si="0"/>
        <v/>
      </c>
      <c r="M22" s="494" t="s">
        <v>1374</v>
      </c>
      <c r="N22" s="555" t="str">
        <f t="shared" ca="1" si="1"/>
        <v/>
      </c>
      <c r="O22" s="494" t="s">
        <v>1375</v>
      </c>
      <c r="P22" s="555" t="str">
        <f t="shared" ca="1" si="2"/>
        <v/>
      </c>
      <c r="Q22" s="494" t="s">
        <v>1376</v>
      </c>
      <c r="R22" s="494" t="str">
        <f t="shared" si="8"/>
        <v>I22</v>
      </c>
      <c r="S22" s="494" t="s">
        <v>1377</v>
      </c>
      <c r="T22" s="494">
        <v>5</v>
      </c>
      <c r="U22" s="556" t="str">
        <f t="shared" ca="1" si="3"/>
        <v/>
      </c>
      <c r="V22" s="494">
        <v>6</v>
      </c>
      <c r="W22" s="556" t="str">
        <f t="shared" ca="1" si="4"/>
        <v/>
      </c>
      <c r="X22" s="494" t="s">
        <v>1378</v>
      </c>
      <c r="Y22" s="547" t="str">
        <f t="shared" ca="1" si="5"/>
        <v/>
      </c>
      <c r="Z22" s="494" t="s">
        <v>1379</v>
      </c>
      <c r="AA22" s="547" t="str">
        <f t="shared" ca="1" si="6"/>
        <v/>
      </c>
      <c r="AB22" s="494" t="s">
        <v>1380</v>
      </c>
      <c r="AC22" s="547" t="str">
        <f t="shared" ca="1" si="7"/>
        <v/>
      </c>
      <c r="AD22" s="557"/>
      <c r="AE22" s="958"/>
    </row>
    <row r="23" spans="1:31" ht="15" customHeight="1">
      <c r="A23" s="957">
        <v>43</v>
      </c>
      <c r="B23" s="566" t="s">
        <v>1007</v>
      </c>
      <c r="C23" s="567" t="s">
        <v>1369</v>
      </c>
      <c r="D23" s="958" t="s">
        <v>1370</v>
      </c>
      <c r="E23" s="959" t="s">
        <v>683</v>
      </c>
      <c r="F23" s="558" t="s">
        <v>1386</v>
      </c>
      <c r="G23" s="558">
        <v>287</v>
      </c>
      <c r="H23" s="558" t="s">
        <v>1028</v>
      </c>
      <c r="I23" s="559" t="s">
        <v>1029</v>
      </c>
      <c r="J23" s="567" t="s">
        <v>1372</v>
      </c>
      <c r="K23" s="960" t="s">
        <v>1373</v>
      </c>
      <c r="L23" s="555" t="str">
        <f t="shared" ca="1" si="0"/>
        <v/>
      </c>
      <c r="M23" s="494" t="s">
        <v>1374</v>
      </c>
      <c r="N23" s="555" t="str">
        <f t="shared" ca="1" si="1"/>
        <v/>
      </c>
      <c r="O23" s="494" t="s">
        <v>1375</v>
      </c>
      <c r="P23" s="555" t="str">
        <f t="shared" ca="1" si="2"/>
        <v/>
      </c>
      <c r="Q23" s="494" t="s">
        <v>1376</v>
      </c>
      <c r="R23" s="494" t="str">
        <f t="shared" si="8"/>
        <v>I23</v>
      </c>
      <c r="S23" s="494" t="s">
        <v>1377</v>
      </c>
      <c r="T23" s="494">
        <v>5</v>
      </c>
      <c r="U23" s="556" t="str">
        <f t="shared" ca="1" si="3"/>
        <v/>
      </c>
      <c r="V23" s="494">
        <v>6</v>
      </c>
      <c r="W23" s="556" t="str">
        <f t="shared" ca="1" si="4"/>
        <v/>
      </c>
      <c r="X23" s="494" t="s">
        <v>1378</v>
      </c>
      <c r="Y23" s="547" t="str">
        <f t="shared" ca="1" si="5"/>
        <v/>
      </c>
      <c r="Z23" s="494" t="s">
        <v>1379</v>
      </c>
      <c r="AA23" s="547" t="str">
        <f t="shared" ca="1" si="6"/>
        <v/>
      </c>
      <c r="AB23" s="494" t="s">
        <v>1380</v>
      </c>
      <c r="AC23" s="547" t="str">
        <f t="shared" ca="1" si="7"/>
        <v/>
      </c>
      <c r="AD23" s="557"/>
      <c r="AE23" s="958"/>
    </row>
    <row r="24" spans="1:31" ht="15" customHeight="1">
      <c r="A24" s="957">
        <v>43</v>
      </c>
      <c r="B24" s="566" t="s">
        <v>1007</v>
      </c>
      <c r="C24" s="567" t="s">
        <v>1369</v>
      </c>
      <c r="D24" s="958" t="s">
        <v>1370</v>
      </c>
      <c r="E24" s="959" t="s">
        <v>683</v>
      </c>
      <c r="F24" s="558" t="s">
        <v>1386</v>
      </c>
      <c r="G24" s="558">
        <v>288</v>
      </c>
      <c r="H24" s="558" t="s">
        <v>1030</v>
      </c>
      <c r="I24" s="559" t="s">
        <v>692</v>
      </c>
      <c r="J24" s="567" t="s">
        <v>1372</v>
      </c>
      <c r="K24" s="960" t="s">
        <v>1373</v>
      </c>
      <c r="L24" s="555" t="str">
        <f t="shared" ca="1" si="0"/>
        <v/>
      </c>
      <c r="M24" s="494" t="s">
        <v>1374</v>
      </c>
      <c r="N24" s="555" t="str">
        <f t="shared" ca="1" si="1"/>
        <v/>
      </c>
      <c r="O24" s="494" t="s">
        <v>1375</v>
      </c>
      <c r="P24" s="555" t="str">
        <f t="shared" ca="1" si="2"/>
        <v/>
      </c>
      <c r="Q24" s="494" t="s">
        <v>1376</v>
      </c>
      <c r="R24" s="494" t="str">
        <f t="shared" si="8"/>
        <v>I24</v>
      </c>
      <c r="S24" s="494" t="s">
        <v>1377</v>
      </c>
      <c r="T24" s="494">
        <v>5</v>
      </c>
      <c r="U24" s="556" t="str">
        <f t="shared" ca="1" si="3"/>
        <v/>
      </c>
      <c r="V24" s="494">
        <v>6</v>
      </c>
      <c r="W24" s="556" t="str">
        <f t="shared" ca="1" si="4"/>
        <v/>
      </c>
      <c r="X24" s="494" t="s">
        <v>1378</v>
      </c>
      <c r="Y24" s="547" t="str">
        <f t="shared" ca="1" si="5"/>
        <v/>
      </c>
      <c r="Z24" s="494" t="s">
        <v>1379</v>
      </c>
      <c r="AA24" s="547" t="str">
        <f t="shared" ca="1" si="6"/>
        <v/>
      </c>
      <c r="AB24" s="494" t="s">
        <v>1380</v>
      </c>
      <c r="AC24" s="547" t="str">
        <f t="shared" ca="1" si="7"/>
        <v/>
      </c>
      <c r="AD24" s="557"/>
      <c r="AE24" s="958"/>
    </row>
    <row r="25" spans="1:31" ht="15" customHeight="1">
      <c r="A25" s="957">
        <v>43</v>
      </c>
      <c r="B25" s="566" t="s">
        <v>1007</v>
      </c>
      <c r="C25" s="567" t="s">
        <v>1369</v>
      </c>
      <c r="D25" s="958" t="s">
        <v>1370</v>
      </c>
      <c r="E25" s="959" t="s">
        <v>683</v>
      </c>
      <c r="F25" s="558" t="s">
        <v>1386</v>
      </c>
      <c r="G25" s="558">
        <v>288</v>
      </c>
      <c r="H25" s="558" t="s">
        <v>1030</v>
      </c>
      <c r="I25" s="559" t="s">
        <v>693</v>
      </c>
      <c r="J25" s="567" t="s">
        <v>1372</v>
      </c>
      <c r="K25" s="960" t="s">
        <v>1373</v>
      </c>
      <c r="L25" s="555" t="str">
        <f t="shared" ca="1" si="0"/>
        <v/>
      </c>
      <c r="M25" s="494" t="s">
        <v>1374</v>
      </c>
      <c r="N25" s="555" t="str">
        <f t="shared" ca="1" si="1"/>
        <v/>
      </c>
      <c r="O25" s="494" t="s">
        <v>1375</v>
      </c>
      <c r="P25" s="555" t="str">
        <f t="shared" ca="1" si="2"/>
        <v/>
      </c>
      <c r="Q25" s="494" t="s">
        <v>1376</v>
      </c>
      <c r="R25" s="494" t="str">
        <f t="shared" si="8"/>
        <v>I25</v>
      </c>
      <c r="S25" s="494" t="s">
        <v>1377</v>
      </c>
      <c r="T25" s="494">
        <v>5</v>
      </c>
      <c r="U25" s="556" t="str">
        <f t="shared" ca="1" si="3"/>
        <v/>
      </c>
      <c r="V25" s="494">
        <v>6</v>
      </c>
      <c r="W25" s="556" t="str">
        <f t="shared" ca="1" si="4"/>
        <v/>
      </c>
      <c r="X25" s="494" t="s">
        <v>1378</v>
      </c>
      <c r="Y25" s="547" t="str">
        <f t="shared" ca="1" si="5"/>
        <v/>
      </c>
      <c r="Z25" s="494" t="s">
        <v>1379</v>
      </c>
      <c r="AA25" s="547" t="str">
        <f t="shared" ca="1" si="6"/>
        <v/>
      </c>
      <c r="AB25" s="494" t="s">
        <v>1380</v>
      </c>
      <c r="AC25" s="547" t="str">
        <f t="shared" ca="1" si="7"/>
        <v/>
      </c>
      <c r="AD25" s="557"/>
      <c r="AE25" s="958"/>
    </row>
    <row r="26" spans="1:31" ht="15" customHeight="1">
      <c r="A26" s="957">
        <v>43</v>
      </c>
      <c r="B26" s="566" t="s">
        <v>1007</v>
      </c>
      <c r="C26" s="567" t="s">
        <v>1369</v>
      </c>
      <c r="D26" s="958" t="s">
        <v>1370</v>
      </c>
      <c r="E26" s="959" t="s">
        <v>683</v>
      </c>
      <c r="F26" s="558" t="s">
        <v>1386</v>
      </c>
      <c r="G26" s="558">
        <v>288</v>
      </c>
      <c r="H26" s="558" t="s">
        <v>1030</v>
      </c>
      <c r="I26" s="559" t="s">
        <v>694</v>
      </c>
      <c r="J26" s="567" t="s">
        <v>1372</v>
      </c>
      <c r="K26" s="960" t="s">
        <v>1373</v>
      </c>
      <c r="L26" s="555" t="str">
        <f t="shared" ca="1" si="0"/>
        <v/>
      </c>
      <c r="M26" s="494" t="s">
        <v>1374</v>
      </c>
      <c r="N26" s="555" t="str">
        <f t="shared" ca="1" si="1"/>
        <v/>
      </c>
      <c r="O26" s="494" t="s">
        <v>1375</v>
      </c>
      <c r="P26" s="555" t="str">
        <f t="shared" ca="1" si="2"/>
        <v/>
      </c>
      <c r="Q26" s="494" t="s">
        <v>1376</v>
      </c>
      <c r="R26" s="494" t="str">
        <f t="shared" si="8"/>
        <v>I26</v>
      </c>
      <c r="S26" s="494" t="s">
        <v>1377</v>
      </c>
      <c r="T26" s="494">
        <v>5</v>
      </c>
      <c r="U26" s="556" t="str">
        <f t="shared" ca="1" si="3"/>
        <v/>
      </c>
      <c r="V26" s="494">
        <v>6</v>
      </c>
      <c r="W26" s="556" t="str">
        <f t="shared" ca="1" si="4"/>
        <v/>
      </c>
      <c r="X26" s="494" t="s">
        <v>1378</v>
      </c>
      <c r="Y26" s="547" t="str">
        <f t="shared" ca="1" si="5"/>
        <v/>
      </c>
      <c r="Z26" s="494" t="s">
        <v>1379</v>
      </c>
      <c r="AA26" s="547" t="str">
        <f t="shared" ca="1" si="6"/>
        <v/>
      </c>
      <c r="AB26" s="494" t="s">
        <v>1380</v>
      </c>
      <c r="AC26" s="547" t="str">
        <f t="shared" ca="1" si="7"/>
        <v/>
      </c>
      <c r="AD26" s="557"/>
      <c r="AE26" s="958"/>
    </row>
    <row r="27" spans="1:31" ht="15" customHeight="1">
      <c r="A27" s="957">
        <v>43</v>
      </c>
      <c r="B27" s="566" t="s">
        <v>1007</v>
      </c>
      <c r="C27" s="567" t="s">
        <v>1369</v>
      </c>
      <c r="D27" s="958" t="s">
        <v>1370</v>
      </c>
      <c r="E27" s="959" t="s">
        <v>683</v>
      </c>
      <c r="F27" s="558" t="s">
        <v>1386</v>
      </c>
      <c r="G27" s="558">
        <v>288</v>
      </c>
      <c r="H27" s="558" t="s">
        <v>1030</v>
      </c>
      <c r="I27" s="559" t="s">
        <v>695</v>
      </c>
      <c r="J27" s="567" t="s">
        <v>1372</v>
      </c>
      <c r="K27" s="960" t="s">
        <v>1373</v>
      </c>
      <c r="L27" s="555" t="str">
        <f t="shared" ca="1" si="0"/>
        <v/>
      </c>
      <c r="M27" s="494" t="s">
        <v>1374</v>
      </c>
      <c r="N27" s="555" t="str">
        <f t="shared" ca="1" si="1"/>
        <v/>
      </c>
      <c r="O27" s="494" t="s">
        <v>1375</v>
      </c>
      <c r="P27" s="555" t="str">
        <f t="shared" ca="1" si="2"/>
        <v/>
      </c>
      <c r="Q27" s="494" t="s">
        <v>1376</v>
      </c>
      <c r="R27" s="494" t="str">
        <f t="shared" si="8"/>
        <v>I27</v>
      </c>
      <c r="S27" s="494" t="s">
        <v>1377</v>
      </c>
      <c r="T27" s="494">
        <v>5</v>
      </c>
      <c r="U27" s="556" t="str">
        <f t="shared" ca="1" si="3"/>
        <v/>
      </c>
      <c r="V27" s="494">
        <v>6</v>
      </c>
      <c r="W27" s="556" t="str">
        <f t="shared" ca="1" si="4"/>
        <v/>
      </c>
      <c r="X27" s="494" t="s">
        <v>1378</v>
      </c>
      <c r="Y27" s="547" t="str">
        <f t="shared" ca="1" si="5"/>
        <v/>
      </c>
      <c r="Z27" s="494" t="s">
        <v>1379</v>
      </c>
      <c r="AA27" s="547" t="str">
        <f t="shared" ca="1" si="6"/>
        <v/>
      </c>
      <c r="AB27" s="494" t="s">
        <v>1380</v>
      </c>
      <c r="AC27" s="547" t="str">
        <f t="shared" ca="1" si="7"/>
        <v/>
      </c>
      <c r="AD27" s="557"/>
      <c r="AE27" s="958"/>
    </row>
    <row r="28" spans="1:31" ht="15" customHeight="1">
      <c r="A28" s="957">
        <v>43</v>
      </c>
      <c r="B28" s="566" t="s">
        <v>1007</v>
      </c>
      <c r="C28" s="567" t="s">
        <v>1369</v>
      </c>
      <c r="D28" s="958" t="s">
        <v>1370</v>
      </c>
      <c r="E28" s="959" t="s">
        <v>683</v>
      </c>
      <c r="F28" s="558" t="s">
        <v>1386</v>
      </c>
      <c r="G28" s="558">
        <v>288</v>
      </c>
      <c r="H28" s="558" t="s">
        <v>1030</v>
      </c>
      <c r="I28" s="559" t="s">
        <v>696</v>
      </c>
      <c r="J28" s="567" t="s">
        <v>1372</v>
      </c>
      <c r="K28" s="960" t="s">
        <v>1373</v>
      </c>
      <c r="L28" s="555" t="str">
        <f t="shared" ca="1" si="0"/>
        <v/>
      </c>
      <c r="M28" s="494" t="s">
        <v>1374</v>
      </c>
      <c r="N28" s="555" t="str">
        <f t="shared" ca="1" si="1"/>
        <v/>
      </c>
      <c r="O28" s="494" t="s">
        <v>1375</v>
      </c>
      <c r="P28" s="555" t="str">
        <f t="shared" ca="1" si="2"/>
        <v/>
      </c>
      <c r="Q28" s="494" t="s">
        <v>1376</v>
      </c>
      <c r="R28" s="494" t="str">
        <f t="shared" si="8"/>
        <v>I28</v>
      </c>
      <c r="S28" s="494" t="s">
        <v>1377</v>
      </c>
      <c r="T28" s="494">
        <v>5</v>
      </c>
      <c r="U28" s="556" t="str">
        <f t="shared" ca="1" si="3"/>
        <v/>
      </c>
      <c r="V28" s="494">
        <v>6</v>
      </c>
      <c r="W28" s="556" t="str">
        <f t="shared" ca="1" si="4"/>
        <v/>
      </c>
      <c r="X28" s="494" t="s">
        <v>1378</v>
      </c>
      <c r="Y28" s="547" t="str">
        <f t="shared" ca="1" si="5"/>
        <v/>
      </c>
      <c r="Z28" s="494" t="s">
        <v>1379</v>
      </c>
      <c r="AA28" s="547" t="str">
        <f t="shared" ca="1" si="6"/>
        <v/>
      </c>
      <c r="AB28" s="494" t="s">
        <v>1380</v>
      </c>
      <c r="AC28" s="547" t="str">
        <f t="shared" ca="1" si="7"/>
        <v/>
      </c>
      <c r="AD28" s="557"/>
      <c r="AE28" s="958"/>
    </row>
    <row r="29" spans="1:31" ht="15" customHeight="1">
      <c r="A29" s="957">
        <v>43</v>
      </c>
      <c r="B29" s="566" t="s">
        <v>1007</v>
      </c>
      <c r="C29" s="567" t="s">
        <v>1369</v>
      </c>
      <c r="D29" s="958" t="s">
        <v>1370</v>
      </c>
      <c r="E29" s="959" t="s">
        <v>683</v>
      </c>
      <c r="F29" s="558" t="s">
        <v>1386</v>
      </c>
      <c r="G29" s="558">
        <v>289</v>
      </c>
      <c r="H29" s="558" t="s">
        <v>1031</v>
      </c>
      <c r="I29" s="559" t="s">
        <v>686</v>
      </c>
      <c r="J29" s="567" t="s">
        <v>1372</v>
      </c>
      <c r="K29" s="960" t="s">
        <v>1373</v>
      </c>
      <c r="L29" s="555" t="str">
        <f t="shared" ca="1" si="0"/>
        <v/>
      </c>
      <c r="M29" s="494" t="s">
        <v>1374</v>
      </c>
      <c r="N29" s="555" t="str">
        <f t="shared" ca="1" si="1"/>
        <v/>
      </c>
      <c r="O29" s="494" t="s">
        <v>1375</v>
      </c>
      <c r="P29" s="555" t="str">
        <f t="shared" ca="1" si="2"/>
        <v/>
      </c>
      <c r="Q29" s="494" t="s">
        <v>1376</v>
      </c>
      <c r="R29" s="494" t="str">
        <f t="shared" si="8"/>
        <v>I29</v>
      </c>
      <c r="S29" s="494" t="s">
        <v>1377</v>
      </c>
      <c r="T29" s="494">
        <v>5</v>
      </c>
      <c r="U29" s="556" t="str">
        <f t="shared" ca="1" si="3"/>
        <v/>
      </c>
      <c r="V29" s="494">
        <v>6</v>
      </c>
      <c r="W29" s="556" t="str">
        <f t="shared" ca="1" si="4"/>
        <v/>
      </c>
      <c r="X29" s="494" t="s">
        <v>1378</v>
      </c>
      <c r="Y29" s="547" t="str">
        <f t="shared" ca="1" si="5"/>
        <v/>
      </c>
      <c r="Z29" s="494" t="s">
        <v>1379</v>
      </c>
      <c r="AA29" s="547" t="str">
        <f t="shared" ca="1" si="6"/>
        <v/>
      </c>
      <c r="AB29" s="494" t="s">
        <v>1380</v>
      </c>
      <c r="AC29" s="547" t="str">
        <f t="shared" ca="1" si="7"/>
        <v/>
      </c>
      <c r="AD29" s="557"/>
      <c r="AE29" s="958"/>
    </row>
    <row r="30" spans="1:31" ht="15" customHeight="1">
      <c r="A30" s="957">
        <v>43</v>
      </c>
      <c r="B30" s="566" t="s">
        <v>1007</v>
      </c>
      <c r="C30" s="567" t="s">
        <v>1369</v>
      </c>
      <c r="D30" s="958" t="s">
        <v>1370</v>
      </c>
      <c r="E30" s="959" t="s">
        <v>683</v>
      </c>
      <c r="F30" s="558" t="s">
        <v>1386</v>
      </c>
      <c r="G30" s="558">
        <v>289</v>
      </c>
      <c r="H30" s="558" t="s">
        <v>1031</v>
      </c>
      <c r="I30" s="559" t="s">
        <v>1387</v>
      </c>
      <c r="J30" s="567" t="s">
        <v>1372</v>
      </c>
      <c r="K30" s="960" t="s">
        <v>1373</v>
      </c>
      <c r="L30" s="555" t="str">
        <f t="shared" ca="1" si="0"/>
        <v/>
      </c>
      <c r="M30" s="494" t="s">
        <v>1374</v>
      </c>
      <c r="N30" s="555" t="str">
        <f t="shared" ca="1" si="1"/>
        <v/>
      </c>
      <c r="O30" s="494" t="s">
        <v>1375</v>
      </c>
      <c r="P30" s="555" t="str">
        <f t="shared" ca="1" si="2"/>
        <v/>
      </c>
      <c r="Q30" s="494" t="s">
        <v>1376</v>
      </c>
      <c r="R30" s="494" t="str">
        <f t="shared" si="8"/>
        <v>I30</v>
      </c>
      <c r="S30" s="494" t="s">
        <v>1377</v>
      </c>
      <c r="T30" s="494">
        <v>5</v>
      </c>
      <c r="U30" s="556" t="str">
        <f t="shared" ca="1" si="3"/>
        <v/>
      </c>
      <c r="V30" s="494">
        <v>6</v>
      </c>
      <c r="W30" s="556" t="str">
        <f t="shared" ca="1" si="4"/>
        <v/>
      </c>
      <c r="X30" s="494" t="s">
        <v>1378</v>
      </c>
      <c r="Y30" s="547" t="str">
        <f t="shared" ca="1" si="5"/>
        <v/>
      </c>
      <c r="Z30" s="494" t="s">
        <v>1379</v>
      </c>
      <c r="AA30" s="547" t="str">
        <f t="shared" ca="1" si="6"/>
        <v/>
      </c>
      <c r="AB30" s="494" t="s">
        <v>1380</v>
      </c>
      <c r="AC30" s="547" t="str">
        <f t="shared" ca="1" si="7"/>
        <v/>
      </c>
      <c r="AD30" s="557"/>
      <c r="AE30" s="958"/>
    </row>
    <row r="31" spans="1:31" ht="15" customHeight="1">
      <c r="A31" s="957">
        <v>43</v>
      </c>
      <c r="B31" s="566" t="s">
        <v>1007</v>
      </c>
      <c r="C31" s="567" t="s">
        <v>1369</v>
      </c>
      <c r="D31" s="958" t="s">
        <v>1370</v>
      </c>
      <c r="E31" s="959" t="s">
        <v>683</v>
      </c>
      <c r="F31" s="558" t="s">
        <v>1386</v>
      </c>
      <c r="G31" s="558">
        <v>289</v>
      </c>
      <c r="H31" s="558" t="s">
        <v>1031</v>
      </c>
      <c r="I31" s="559" t="s">
        <v>688</v>
      </c>
      <c r="J31" s="567" t="s">
        <v>1372</v>
      </c>
      <c r="K31" s="960" t="s">
        <v>1373</v>
      </c>
      <c r="L31" s="555" t="str">
        <f t="shared" ca="1" si="0"/>
        <v/>
      </c>
      <c r="M31" s="494" t="s">
        <v>1374</v>
      </c>
      <c r="N31" s="555" t="str">
        <f t="shared" ca="1" si="1"/>
        <v/>
      </c>
      <c r="O31" s="494" t="s">
        <v>1375</v>
      </c>
      <c r="P31" s="555" t="str">
        <f t="shared" ca="1" si="2"/>
        <v/>
      </c>
      <c r="Q31" s="494" t="s">
        <v>1376</v>
      </c>
      <c r="R31" s="494" t="str">
        <f t="shared" si="8"/>
        <v>I31</v>
      </c>
      <c r="S31" s="494" t="s">
        <v>1377</v>
      </c>
      <c r="T31" s="494">
        <v>5</v>
      </c>
      <c r="U31" s="556" t="str">
        <f t="shared" ca="1" si="3"/>
        <v/>
      </c>
      <c r="V31" s="494">
        <v>6</v>
      </c>
      <c r="W31" s="556" t="str">
        <f t="shared" ca="1" si="4"/>
        <v/>
      </c>
      <c r="X31" s="494" t="s">
        <v>1378</v>
      </c>
      <c r="Y31" s="547" t="str">
        <f t="shared" ca="1" si="5"/>
        <v/>
      </c>
      <c r="Z31" s="494" t="s">
        <v>1379</v>
      </c>
      <c r="AA31" s="547" t="str">
        <f t="shared" ca="1" si="6"/>
        <v/>
      </c>
      <c r="AB31" s="494" t="s">
        <v>1380</v>
      </c>
      <c r="AC31" s="547" t="str">
        <f t="shared" ca="1" si="7"/>
        <v/>
      </c>
      <c r="AD31" s="557"/>
      <c r="AE31" s="958"/>
    </row>
    <row r="32" spans="1:31" ht="15" customHeight="1">
      <c r="A32" s="957">
        <v>43</v>
      </c>
      <c r="B32" s="566" t="s">
        <v>1007</v>
      </c>
      <c r="C32" s="567" t="s">
        <v>1369</v>
      </c>
      <c r="D32" s="958" t="s">
        <v>1370</v>
      </c>
      <c r="E32" s="959" t="s">
        <v>683</v>
      </c>
      <c r="F32" s="558" t="s">
        <v>1386</v>
      </c>
      <c r="G32" s="558">
        <v>289</v>
      </c>
      <c r="H32" s="558" t="s">
        <v>1031</v>
      </c>
      <c r="I32" s="559" t="s">
        <v>689</v>
      </c>
      <c r="J32" s="567" t="s">
        <v>1372</v>
      </c>
      <c r="K32" s="960" t="s">
        <v>1373</v>
      </c>
      <c r="L32" s="555" t="str">
        <f t="shared" ca="1" si="0"/>
        <v/>
      </c>
      <c r="M32" s="494" t="s">
        <v>1374</v>
      </c>
      <c r="N32" s="555" t="str">
        <f t="shared" ca="1" si="1"/>
        <v/>
      </c>
      <c r="O32" s="494" t="s">
        <v>1375</v>
      </c>
      <c r="P32" s="555" t="str">
        <f t="shared" ca="1" si="2"/>
        <v/>
      </c>
      <c r="Q32" s="494" t="s">
        <v>1376</v>
      </c>
      <c r="R32" s="494" t="str">
        <f t="shared" si="8"/>
        <v>I32</v>
      </c>
      <c r="S32" s="494" t="s">
        <v>1377</v>
      </c>
      <c r="T32" s="494">
        <v>5</v>
      </c>
      <c r="U32" s="556" t="str">
        <f t="shared" ca="1" si="3"/>
        <v/>
      </c>
      <c r="V32" s="494">
        <v>6</v>
      </c>
      <c r="W32" s="556" t="str">
        <f t="shared" ca="1" si="4"/>
        <v/>
      </c>
      <c r="X32" s="494" t="s">
        <v>1378</v>
      </c>
      <c r="Y32" s="547" t="str">
        <f t="shared" ca="1" si="5"/>
        <v/>
      </c>
      <c r="Z32" s="494" t="s">
        <v>1379</v>
      </c>
      <c r="AA32" s="547" t="str">
        <f t="shared" ca="1" si="6"/>
        <v/>
      </c>
      <c r="AB32" s="494" t="s">
        <v>1380</v>
      </c>
      <c r="AC32" s="547" t="str">
        <f t="shared" ca="1" si="7"/>
        <v/>
      </c>
      <c r="AD32" s="557"/>
      <c r="AE32" s="958"/>
    </row>
    <row r="33" spans="1:31" ht="15" customHeight="1">
      <c r="A33" s="957">
        <v>43</v>
      </c>
      <c r="B33" s="566" t="s">
        <v>1007</v>
      </c>
      <c r="C33" s="567" t="s">
        <v>1369</v>
      </c>
      <c r="D33" s="958" t="s">
        <v>1370</v>
      </c>
      <c r="E33" s="959" t="s">
        <v>683</v>
      </c>
      <c r="F33" s="558" t="s">
        <v>1386</v>
      </c>
      <c r="G33" s="558">
        <v>290</v>
      </c>
      <c r="H33" s="558" t="s">
        <v>1032</v>
      </c>
      <c r="I33" s="559" t="s">
        <v>706</v>
      </c>
      <c r="J33" s="567" t="s">
        <v>1372</v>
      </c>
      <c r="K33" s="960" t="s">
        <v>1373</v>
      </c>
      <c r="L33" s="555" t="str">
        <f t="shared" ca="1" si="0"/>
        <v/>
      </c>
      <c r="M33" s="494" t="s">
        <v>1374</v>
      </c>
      <c r="N33" s="555" t="str">
        <f t="shared" ca="1" si="1"/>
        <v/>
      </c>
      <c r="O33" s="494" t="s">
        <v>1375</v>
      </c>
      <c r="P33" s="555" t="str">
        <f t="shared" ca="1" si="2"/>
        <v/>
      </c>
      <c r="Q33" s="494" t="s">
        <v>1376</v>
      </c>
      <c r="R33" s="494" t="str">
        <f t="shared" si="8"/>
        <v>I33</v>
      </c>
      <c r="S33" s="494" t="s">
        <v>1377</v>
      </c>
      <c r="T33" s="494">
        <v>5</v>
      </c>
      <c r="U33" s="556" t="str">
        <f t="shared" ca="1" si="3"/>
        <v/>
      </c>
      <c r="V33" s="494">
        <v>6</v>
      </c>
      <c r="W33" s="556" t="str">
        <f t="shared" ca="1" si="4"/>
        <v/>
      </c>
      <c r="X33" s="494" t="s">
        <v>1378</v>
      </c>
      <c r="Y33" s="547" t="str">
        <f t="shared" ca="1" si="5"/>
        <v/>
      </c>
      <c r="Z33" s="494" t="s">
        <v>1379</v>
      </c>
      <c r="AA33" s="547" t="str">
        <f t="shared" ca="1" si="6"/>
        <v/>
      </c>
      <c r="AB33" s="494" t="s">
        <v>1380</v>
      </c>
      <c r="AC33" s="547" t="str">
        <f t="shared" ca="1" si="7"/>
        <v/>
      </c>
      <c r="AD33" s="557"/>
      <c r="AE33" s="958"/>
    </row>
    <row r="34" spans="1:31" ht="15" customHeight="1">
      <c r="A34" s="957">
        <v>43</v>
      </c>
      <c r="B34" s="566" t="s">
        <v>1007</v>
      </c>
      <c r="C34" s="567" t="s">
        <v>1369</v>
      </c>
      <c r="D34" s="958" t="s">
        <v>1370</v>
      </c>
      <c r="E34" s="959" t="s">
        <v>683</v>
      </c>
      <c r="F34" s="558" t="s">
        <v>1386</v>
      </c>
      <c r="G34" s="558">
        <v>290</v>
      </c>
      <c r="H34" s="558" t="s">
        <v>1032</v>
      </c>
      <c r="I34" s="559" t="s">
        <v>708</v>
      </c>
      <c r="J34" s="567" t="s">
        <v>1372</v>
      </c>
      <c r="K34" s="960" t="s">
        <v>1373</v>
      </c>
      <c r="L34" s="555" t="str">
        <f t="shared" ca="1" si="0"/>
        <v/>
      </c>
      <c r="M34" s="494" t="s">
        <v>1374</v>
      </c>
      <c r="N34" s="555" t="str">
        <f t="shared" ca="1" si="1"/>
        <v/>
      </c>
      <c r="O34" s="494" t="s">
        <v>1375</v>
      </c>
      <c r="P34" s="555" t="str">
        <f t="shared" ca="1" si="2"/>
        <v/>
      </c>
      <c r="Q34" s="494" t="s">
        <v>1376</v>
      </c>
      <c r="R34" s="494" t="str">
        <f t="shared" si="8"/>
        <v>I34</v>
      </c>
      <c r="S34" s="494" t="s">
        <v>1377</v>
      </c>
      <c r="T34" s="494">
        <v>5</v>
      </c>
      <c r="U34" s="556" t="str">
        <f t="shared" ca="1" si="3"/>
        <v/>
      </c>
      <c r="V34" s="494">
        <v>6</v>
      </c>
      <c r="W34" s="556" t="str">
        <f t="shared" ca="1" si="4"/>
        <v/>
      </c>
      <c r="X34" s="494" t="s">
        <v>1378</v>
      </c>
      <c r="Y34" s="547" t="str">
        <f t="shared" ca="1" si="5"/>
        <v/>
      </c>
      <c r="Z34" s="494" t="s">
        <v>1379</v>
      </c>
      <c r="AA34" s="547" t="str">
        <f t="shared" ca="1" si="6"/>
        <v/>
      </c>
      <c r="AB34" s="494" t="s">
        <v>1380</v>
      </c>
      <c r="AC34" s="547" t="str">
        <f t="shared" ca="1" si="7"/>
        <v/>
      </c>
      <c r="AD34" s="557"/>
      <c r="AE34" s="958"/>
    </row>
    <row r="35" spans="1:31" ht="15" customHeight="1">
      <c r="A35" s="957">
        <v>43</v>
      </c>
      <c r="B35" s="566" t="s">
        <v>1007</v>
      </c>
      <c r="C35" s="567" t="s">
        <v>1369</v>
      </c>
      <c r="D35" s="958" t="s">
        <v>1370</v>
      </c>
      <c r="E35" s="959" t="s">
        <v>683</v>
      </c>
      <c r="F35" s="558" t="s">
        <v>1386</v>
      </c>
      <c r="G35" s="558">
        <v>291</v>
      </c>
      <c r="H35" s="558" t="s">
        <v>1033</v>
      </c>
      <c r="I35" s="559" t="s">
        <v>711</v>
      </c>
      <c r="J35" s="567" t="s">
        <v>1372</v>
      </c>
      <c r="K35" s="960" t="s">
        <v>1373</v>
      </c>
      <c r="L35" s="555" t="str">
        <f t="shared" ca="1" si="0"/>
        <v/>
      </c>
      <c r="M35" s="494" t="s">
        <v>1374</v>
      </c>
      <c r="N35" s="555" t="str">
        <f t="shared" ca="1" si="1"/>
        <v/>
      </c>
      <c r="O35" s="494" t="s">
        <v>1375</v>
      </c>
      <c r="P35" s="555" t="str">
        <f t="shared" ca="1" si="2"/>
        <v/>
      </c>
      <c r="Q35" s="494" t="s">
        <v>1376</v>
      </c>
      <c r="R35" s="494" t="str">
        <f t="shared" si="8"/>
        <v>I35</v>
      </c>
      <c r="S35" s="494" t="s">
        <v>1377</v>
      </c>
      <c r="T35" s="494">
        <v>5</v>
      </c>
      <c r="U35" s="556" t="str">
        <f t="shared" ca="1" si="3"/>
        <v/>
      </c>
      <c r="V35" s="494">
        <v>6</v>
      </c>
      <c r="W35" s="556" t="str">
        <f t="shared" ca="1" si="4"/>
        <v/>
      </c>
      <c r="X35" s="494" t="s">
        <v>1378</v>
      </c>
      <c r="Y35" s="547" t="str">
        <f t="shared" ca="1" si="5"/>
        <v/>
      </c>
      <c r="Z35" s="494" t="s">
        <v>1379</v>
      </c>
      <c r="AA35" s="547" t="str">
        <f t="shared" ca="1" si="6"/>
        <v/>
      </c>
      <c r="AB35" s="494" t="s">
        <v>1380</v>
      </c>
      <c r="AC35" s="547" t="str">
        <f t="shared" ca="1" si="7"/>
        <v/>
      </c>
      <c r="AD35" s="557"/>
      <c r="AE35" s="958"/>
    </row>
    <row r="36" spans="1:31" ht="15" customHeight="1">
      <c r="A36" s="957">
        <v>43</v>
      </c>
      <c r="B36" s="566" t="s">
        <v>1007</v>
      </c>
      <c r="C36" s="567" t="s">
        <v>1369</v>
      </c>
      <c r="D36" s="958" t="s">
        <v>1370</v>
      </c>
      <c r="E36" s="959" t="s">
        <v>683</v>
      </c>
      <c r="F36" s="558" t="s">
        <v>1386</v>
      </c>
      <c r="G36" s="558">
        <v>291</v>
      </c>
      <c r="H36" s="558" t="s">
        <v>1033</v>
      </c>
      <c r="I36" s="559" t="s">
        <v>712</v>
      </c>
      <c r="J36" s="567" t="s">
        <v>1372</v>
      </c>
      <c r="K36" s="960" t="s">
        <v>1373</v>
      </c>
      <c r="L36" s="555" t="str">
        <f t="shared" ca="1" si="0"/>
        <v/>
      </c>
      <c r="M36" s="494" t="s">
        <v>1374</v>
      </c>
      <c r="N36" s="555" t="str">
        <f t="shared" ca="1" si="1"/>
        <v/>
      </c>
      <c r="O36" s="494" t="s">
        <v>1375</v>
      </c>
      <c r="P36" s="555" t="str">
        <f t="shared" ca="1" si="2"/>
        <v/>
      </c>
      <c r="Q36" s="494" t="s">
        <v>1376</v>
      </c>
      <c r="R36" s="494" t="str">
        <f t="shared" si="8"/>
        <v>I36</v>
      </c>
      <c r="S36" s="494" t="s">
        <v>1377</v>
      </c>
      <c r="T36" s="494">
        <v>5</v>
      </c>
      <c r="U36" s="556" t="str">
        <f t="shared" ca="1" si="3"/>
        <v/>
      </c>
      <c r="V36" s="494">
        <v>6</v>
      </c>
      <c r="W36" s="556" t="str">
        <f t="shared" ca="1" si="4"/>
        <v/>
      </c>
      <c r="X36" s="494" t="s">
        <v>1378</v>
      </c>
      <c r="Y36" s="547" t="str">
        <f t="shared" ca="1" si="5"/>
        <v/>
      </c>
      <c r="Z36" s="494" t="s">
        <v>1379</v>
      </c>
      <c r="AA36" s="547" t="str">
        <f t="shared" ca="1" si="6"/>
        <v/>
      </c>
      <c r="AB36" s="494" t="s">
        <v>1380</v>
      </c>
      <c r="AC36" s="547" t="str">
        <f t="shared" ca="1" si="7"/>
        <v/>
      </c>
      <c r="AD36" s="557"/>
      <c r="AE36" s="958"/>
    </row>
    <row r="37" spans="1:31" ht="15" customHeight="1">
      <c r="A37" s="957">
        <v>43</v>
      </c>
      <c r="B37" s="566" t="s">
        <v>1007</v>
      </c>
      <c r="C37" s="567" t="s">
        <v>1369</v>
      </c>
      <c r="D37" s="958" t="s">
        <v>1370</v>
      </c>
      <c r="E37" s="959" t="s">
        <v>683</v>
      </c>
      <c r="F37" s="558" t="s">
        <v>1386</v>
      </c>
      <c r="G37" s="558">
        <v>292</v>
      </c>
      <c r="H37" s="558" t="s">
        <v>1034</v>
      </c>
      <c r="I37" s="559" t="s">
        <v>1388</v>
      </c>
      <c r="J37" s="567" t="s">
        <v>1372</v>
      </c>
      <c r="K37" s="960" t="s">
        <v>1373</v>
      </c>
      <c r="L37" s="555" t="str">
        <f t="shared" ca="1" si="0"/>
        <v/>
      </c>
      <c r="M37" s="494" t="s">
        <v>1374</v>
      </c>
      <c r="N37" s="555" t="str">
        <f t="shared" ca="1" si="1"/>
        <v/>
      </c>
      <c r="O37" s="494" t="s">
        <v>1375</v>
      </c>
      <c r="P37" s="555" t="str">
        <f t="shared" ca="1" si="2"/>
        <v/>
      </c>
      <c r="Q37" s="494" t="s">
        <v>1376</v>
      </c>
      <c r="R37" s="494" t="str">
        <f t="shared" si="8"/>
        <v>I37</v>
      </c>
      <c r="S37" s="494" t="s">
        <v>1377</v>
      </c>
      <c r="T37" s="494">
        <v>5</v>
      </c>
      <c r="U37" s="556" t="str">
        <f t="shared" ca="1" si="3"/>
        <v/>
      </c>
      <c r="V37" s="494">
        <v>6</v>
      </c>
      <c r="W37" s="556" t="str">
        <f t="shared" ca="1" si="4"/>
        <v/>
      </c>
      <c r="X37" s="494" t="s">
        <v>1378</v>
      </c>
      <c r="Y37" s="547" t="str">
        <f t="shared" ca="1" si="5"/>
        <v/>
      </c>
      <c r="Z37" s="494" t="s">
        <v>1379</v>
      </c>
      <c r="AA37" s="547" t="str">
        <f t="shared" ca="1" si="6"/>
        <v/>
      </c>
      <c r="AB37" s="494" t="s">
        <v>1380</v>
      </c>
      <c r="AC37" s="547" t="str">
        <f t="shared" ca="1" si="7"/>
        <v/>
      </c>
      <c r="AD37" s="557"/>
      <c r="AE37" s="958"/>
    </row>
    <row r="38" spans="1:31" ht="15" customHeight="1">
      <c r="A38" s="957">
        <v>43</v>
      </c>
      <c r="B38" s="566" t="s">
        <v>1007</v>
      </c>
      <c r="C38" s="567" t="s">
        <v>1369</v>
      </c>
      <c r="D38" s="958" t="s">
        <v>1370</v>
      </c>
      <c r="E38" s="959" t="s">
        <v>683</v>
      </c>
      <c r="F38" s="558" t="s">
        <v>1386</v>
      </c>
      <c r="G38" s="558">
        <v>292</v>
      </c>
      <c r="H38" s="558" t="s">
        <v>1034</v>
      </c>
      <c r="I38" s="559" t="s">
        <v>1389</v>
      </c>
      <c r="J38" s="567" t="s">
        <v>1372</v>
      </c>
      <c r="K38" s="960" t="s">
        <v>1373</v>
      </c>
      <c r="L38" s="555" t="str">
        <f t="shared" ca="1" si="0"/>
        <v/>
      </c>
      <c r="M38" s="494" t="s">
        <v>1374</v>
      </c>
      <c r="N38" s="555" t="str">
        <f t="shared" ca="1" si="1"/>
        <v/>
      </c>
      <c r="O38" s="494" t="s">
        <v>1375</v>
      </c>
      <c r="P38" s="555" t="str">
        <f t="shared" ca="1" si="2"/>
        <v/>
      </c>
      <c r="Q38" s="494" t="s">
        <v>1376</v>
      </c>
      <c r="R38" s="494" t="str">
        <f t="shared" si="8"/>
        <v>I38</v>
      </c>
      <c r="S38" s="494" t="s">
        <v>1377</v>
      </c>
      <c r="T38" s="494">
        <v>5</v>
      </c>
      <c r="U38" s="556" t="str">
        <f t="shared" ca="1" si="3"/>
        <v/>
      </c>
      <c r="V38" s="494">
        <v>6</v>
      </c>
      <c r="W38" s="556" t="str">
        <f t="shared" ca="1" si="4"/>
        <v/>
      </c>
      <c r="X38" s="494" t="s">
        <v>1378</v>
      </c>
      <c r="Y38" s="547" t="str">
        <f t="shared" ca="1" si="5"/>
        <v/>
      </c>
      <c r="Z38" s="494" t="s">
        <v>1379</v>
      </c>
      <c r="AA38" s="547" t="str">
        <f t="shared" ca="1" si="6"/>
        <v/>
      </c>
      <c r="AB38" s="494" t="s">
        <v>1380</v>
      </c>
      <c r="AC38" s="547" t="str">
        <f t="shared" ca="1" si="7"/>
        <v/>
      </c>
      <c r="AD38" s="557"/>
      <c r="AE38" s="958"/>
    </row>
    <row r="39" spans="1:31" ht="15" customHeight="1">
      <c r="A39" s="957">
        <v>43</v>
      </c>
      <c r="B39" s="566" t="s">
        <v>1007</v>
      </c>
      <c r="C39" s="567" t="s">
        <v>1369</v>
      </c>
      <c r="D39" s="958" t="s">
        <v>1370</v>
      </c>
      <c r="E39" s="959" t="s">
        <v>683</v>
      </c>
      <c r="F39" s="558" t="s">
        <v>1386</v>
      </c>
      <c r="G39" s="558">
        <v>292</v>
      </c>
      <c r="H39" s="558" t="s">
        <v>1034</v>
      </c>
      <c r="I39" s="559" t="s">
        <v>1390</v>
      </c>
      <c r="J39" s="567" t="s">
        <v>1372</v>
      </c>
      <c r="K39" s="960" t="s">
        <v>1373</v>
      </c>
      <c r="L39" s="555" t="str">
        <f t="shared" ca="1" si="0"/>
        <v/>
      </c>
      <c r="M39" s="494" t="s">
        <v>1374</v>
      </c>
      <c r="N39" s="555" t="str">
        <f t="shared" ca="1" si="1"/>
        <v/>
      </c>
      <c r="O39" s="494" t="s">
        <v>1375</v>
      </c>
      <c r="P39" s="555" t="str">
        <f t="shared" ca="1" si="2"/>
        <v/>
      </c>
      <c r="Q39" s="494" t="s">
        <v>1376</v>
      </c>
      <c r="R39" s="494" t="str">
        <f t="shared" si="8"/>
        <v>I39</v>
      </c>
      <c r="S39" s="494" t="s">
        <v>1377</v>
      </c>
      <c r="T39" s="494">
        <v>5</v>
      </c>
      <c r="U39" s="556" t="str">
        <f t="shared" ca="1" si="3"/>
        <v/>
      </c>
      <c r="V39" s="494">
        <v>6</v>
      </c>
      <c r="W39" s="556" t="str">
        <f t="shared" ca="1" si="4"/>
        <v/>
      </c>
      <c r="X39" s="494" t="s">
        <v>1378</v>
      </c>
      <c r="Y39" s="547" t="str">
        <f t="shared" ca="1" si="5"/>
        <v/>
      </c>
      <c r="Z39" s="494" t="s">
        <v>1379</v>
      </c>
      <c r="AA39" s="547" t="str">
        <f t="shared" ca="1" si="6"/>
        <v/>
      </c>
      <c r="AB39" s="494" t="s">
        <v>1380</v>
      </c>
      <c r="AC39" s="547" t="str">
        <f t="shared" ca="1" si="7"/>
        <v/>
      </c>
      <c r="AD39" s="557"/>
      <c r="AE39" s="958"/>
    </row>
    <row r="40" spans="1:31" ht="15" customHeight="1">
      <c r="A40" s="957">
        <v>43</v>
      </c>
      <c r="B40" s="566" t="s">
        <v>1007</v>
      </c>
      <c r="C40" s="567" t="s">
        <v>1369</v>
      </c>
      <c r="D40" s="958" t="s">
        <v>1370</v>
      </c>
      <c r="E40" s="959" t="s">
        <v>683</v>
      </c>
      <c r="F40" s="558" t="s">
        <v>1386</v>
      </c>
      <c r="G40" s="558">
        <v>293</v>
      </c>
      <c r="H40" s="558" t="s">
        <v>1391</v>
      </c>
      <c r="I40" s="559" t="s">
        <v>1036</v>
      </c>
      <c r="J40" s="567" t="s">
        <v>1372</v>
      </c>
      <c r="K40" s="960" t="s">
        <v>1373</v>
      </c>
      <c r="L40" s="555" t="str">
        <f t="shared" ca="1" si="0"/>
        <v/>
      </c>
      <c r="M40" s="494" t="s">
        <v>1374</v>
      </c>
      <c r="N40" s="555" t="str">
        <f t="shared" ca="1" si="1"/>
        <v/>
      </c>
      <c r="O40" s="494" t="s">
        <v>1375</v>
      </c>
      <c r="P40" s="555" t="str">
        <f t="shared" ca="1" si="2"/>
        <v/>
      </c>
      <c r="Q40" s="494" t="s">
        <v>1376</v>
      </c>
      <c r="R40" s="494" t="str">
        <f t="shared" si="8"/>
        <v>I40</v>
      </c>
      <c r="S40" s="494" t="s">
        <v>1377</v>
      </c>
      <c r="T40" s="494">
        <v>5</v>
      </c>
      <c r="U40" s="556" t="str">
        <f t="shared" ca="1" si="3"/>
        <v/>
      </c>
      <c r="V40" s="494">
        <v>6</v>
      </c>
      <c r="W40" s="556" t="str">
        <f t="shared" ca="1" si="4"/>
        <v/>
      </c>
      <c r="X40" s="494" t="s">
        <v>1378</v>
      </c>
      <c r="Y40" s="547" t="str">
        <f t="shared" ca="1" si="5"/>
        <v/>
      </c>
      <c r="Z40" s="494" t="s">
        <v>1379</v>
      </c>
      <c r="AA40" s="547" t="str">
        <f t="shared" ca="1" si="6"/>
        <v/>
      </c>
      <c r="AB40" s="494" t="s">
        <v>1380</v>
      </c>
      <c r="AC40" s="547" t="str">
        <f t="shared" ca="1" si="7"/>
        <v/>
      </c>
      <c r="AD40" s="557"/>
      <c r="AE40" s="958"/>
    </row>
    <row r="41" spans="1:31" ht="15" customHeight="1">
      <c r="A41" s="957">
        <v>43</v>
      </c>
      <c r="B41" s="566" t="s">
        <v>1007</v>
      </c>
      <c r="C41" s="567" t="s">
        <v>1369</v>
      </c>
      <c r="D41" s="958" t="s">
        <v>1370</v>
      </c>
      <c r="E41" s="959" t="s">
        <v>683</v>
      </c>
      <c r="F41" s="558" t="s">
        <v>1386</v>
      </c>
      <c r="G41" s="558">
        <v>293</v>
      </c>
      <c r="H41" s="558" t="s">
        <v>1391</v>
      </c>
      <c r="I41" s="559" t="s">
        <v>1037</v>
      </c>
      <c r="J41" s="567" t="s">
        <v>1372</v>
      </c>
      <c r="K41" s="960" t="s">
        <v>1373</v>
      </c>
      <c r="L41" s="555" t="str">
        <f t="shared" ca="1" si="0"/>
        <v/>
      </c>
      <c r="M41" s="494" t="s">
        <v>1374</v>
      </c>
      <c r="N41" s="555" t="str">
        <f t="shared" ca="1" si="1"/>
        <v/>
      </c>
      <c r="O41" s="494" t="s">
        <v>1375</v>
      </c>
      <c r="P41" s="555" t="str">
        <f t="shared" ca="1" si="2"/>
        <v/>
      </c>
      <c r="Q41" s="494" t="s">
        <v>1376</v>
      </c>
      <c r="R41" s="494" t="str">
        <f t="shared" si="8"/>
        <v>I41</v>
      </c>
      <c r="S41" s="494" t="s">
        <v>1377</v>
      </c>
      <c r="T41" s="494">
        <v>5</v>
      </c>
      <c r="U41" s="556" t="str">
        <f t="shared" ca="1" si="3"/>
        <v/>
      </c>
      <c r="V41" s="494">
        <v>6</v>
      </c>
      <c r="W41" s="556" t="str">
        <f t="shared" ca="1" si="4"/>
        <v/>
      </c>
      <c r="X41" s="494" t="s">
        <v>1378</v>
      </c>
      <c r="Y41" s="547" t="str">
        <f t="shared" ca="1" si="5"/>
        <v/>
      </c>
      <c r="Z41" s="494" t="s">
        <v>1379</v>
      </c>
      <c r="AA41" s="547" t="str">
        <f t="shared" ca="1" si="6"/>
        <v/>
      </c>
      <c r="AB41" s="494" t="s">
        <v>1380</v>
      </c>
      <c r="AC41" s="547" t="str">
        <f t="shared" ca="1" si="7"/>
        <v/>
      </c>
      <c r="AD41" s="557"/>
      <c r="AE41" s="958"/>
    </row>
    <row r="42" spans="1:31" ht="15" customHeight="1">
      <c r="A42" s="957">
        <v>43</v>
      </c>
      <c r="B42" s="566" t="s">
        <v>1007</v>
      </c>
      <c r="C42" s="567" t="s">
        <v>1369</v>
      </c>
      <c r="D42" s="958" t="s">
        <v>1370</v>
      </c>
      <c r="E42" s="959" t="s">
        <v>713</v>
      </c>
      <c r="F42" s="558" t="s">
        <v>1392</v>
      </c>
      <c r="G42" s="558">
        <v>294</v>
      </c>
      <c r="H42" s="558" t="s">
        <v>1039</v>
      </c>
      <c r="I42" s="559" t="s">
        <v>1040</v>
      </c>
      <c r="J42" s="567" t="s">
        <v>1372</v>
      </c>
      <c r="K42" s="960" t="s">
        <v>1373</v>
      </c>
      <c r="L42" s="555" t="str">
        <f t="shared" ca="1" si="0"/>
        <v/>
      </c>
      <c r="M42" s="494" t="s">
        <v>1374</v>
      </c>
      <c r="N42" s="555" t="str">
        <f t="shared" ca="1" si="1"/>
        <v/>
      </c>
      <c r="O42" s="494" t="s">
        <v>1375</v>
      </c>
      <c r="P42" s="555" t="str">
        <f t="shared" ca="1" si="2"/>
        <v/>
      </c>
      <c r="Q42" s="494" t="s">
        <v>1376</v>
      </c>
      <c r="R42" s="494" t="str">
        <f t="shared" si="8"/>
        <v>I42</v>
      </c>
      <c r="S42" s="494" t="s">
        <v>1377</v>
      </c>
      <c r="T42" s="494">
        <v>5</v>
      </c>
      <c r="U42" s="556" t="str">
        <f t="shared" ca="1" si="3"/>
        <v/>
      </c>
      <c r="V42" s="494">
        <v>6</v>
      </c>
      <c r="W42" s="556" t="str">
        <f t="shared" ca="1" si="4"/>
        <v/>
      </c>
      <c r="X42" s="494" t="s">
        <v>1378</v>
      </c>
      <c r="Y42" s="547" t="str">
        <f t="shared" ca="1" si="5"/>
        <v/>
      </c>
      <c r="Z42" s="494" t="s">
        <v>1379</v>
      </c>
      <c r="AA42" s="547" t="str">
        <f t="shared" ca="1" si="6"/>
        <v/>
      </c>
      <c r="AB42" s="494" t="s">
        <v>1380</v>
      </c>
      <c r="AC42" s="547" t="str">
        <f t="shared" ca="1" si="7"/>
        <v/>
      </c>
      <c r="AD42" s="557"/>
      <c r="AE42" s="958"/>
    </row>
    <row r="43" spans="1:31" ht="15" customHeight="1">
      <c r="A43" s="957">
        <v>43</v>
      </c>
      <c r="B43" s="566" t="s">
        <v>1007</v>
      </c>
      <c r="C43" s="567" t="s">
        <v>1369</v>
      </c>
      <c r="D43" s="958" t="s">
        <v>1370</v>
      </c>
      <c r="E43" s="959" t="s">
        <v>713</v>
      </c>
      <c r="F43" s="558" t="s">
        <v>1392</v>
      </c>
      <c r="G43" s="558">
        <v>294</v>
      </c>
      <c r="H43" s="558" t="s">
        <v>1039</v>
      </c>
      <c r="I43" s="559" t="s">
        <v>1041</v>
      </c>
      <c r="J43" s="567" t="s">
        <v>1372</v>
      </c>
      <c r="K43" s="960" t="s">
        <v>1373</v>
      </c>
      <c r="L43" s="555" t="str">
        <f t="shared" ca="1" si="0"/>
        <v/>
      </c>
      <c r="M43" s="494" t="s">
        <v>1374</v>
      </c>
      <c r="N43" s="555" t="str">
        <f t="shared" ca="1" si="1"/>
        <v/>
      </c>
      <c r="O43" s="494" t="s">
        <v>1375</v>
      </c>
      <c r="P43" s="555" t="str">
        <f t="shared" ca="1" si="2"/>
        <v/>
      </c>
      <c r="Q43" s="494" t="s">
        <v>1376</v>
      </c>
      <c r="R43" s="494" t="str">
        <f t="shared" si="8"/>
        <v>I43</v>
      </c>
      <c r="S43" s="494" t="s">
        <v>1377</v>
      </c>
      <c r="T43" s="494">
        <v>5</v>
      </c>
      <c r="U43" s="556" t="str">
        <f t="shared" ca="1" si="3"/>
        <v/>
      </c>
      <c r="V43" s="494">
        <v>6</v>
      </c>
      <c r="W43" s="556" t="str">
        <f t="shared" ca="1" si="4"/>
        <v/>
      </c>
      <c r="X43" s="494" t="s">
        <v>1378</v>
      </c>
      <c r="Y43" s="547" t="str">
        <f t="shared" ca="1" si="5"/>
        <v/>
      </c>
      <c r="Z43" s="494" t="s">
        <v>1379</v>
      </c>
      <c r="AA43" s="547" t="str">
        <f t="shared" ca="1" si="6"/>
        <v/>
      </c>
      <c r="AB43" s="494" t="s">
        <v>1380</v>
      </c>
      <c r="AC43" s="547" t="str">
        <f t="shared" ca="1" si="7"/>
        <v/>
      </c>
      <c r="AD43" s="557"/>
      <c r="AE43" s="958"/>
    </row>
    <row r="44" spans="1:31" ht="15" customHeight="1">
      <c r="A44" s="957">
        <v>43</v>
      </c>
      <c r="B44" s="566" t="s">
        <v>1007</v>
      </c>
      <c r="C44" s="567" t="s">
        <v>1369</v>
      </c>
      <c r="D44" s="958" t="s">
        <v>1370</v>
      </c>
      <c r="E44" s="959" t="s">
        <v>713</v>
      </c>
      <c r="F44" s="558" t="s">
        <v>1392</v>
      </c>
      <c r="G44" s="558">
        <v>294</v>
      </c>
      <c r="H44" s="558" t="s">
        <v>1039</v>
      </c>
      <c r="I44" s="559" t="s">
        <v>1393</v>
      </c>
      <c r="J44" s="567" t="s">
        <v>1372</v>
      </c>
      <c r="K44" s="960" t="s">
        <v>1373</v>
      </c>
      <c r="L44" s="555" t="str">
        <f t="shared" ca="1" si="0"/>
        <v/>
      </c>
      <c r="M44" s="494" t="s">
        <v>1374</v>
      </c>
      <c r="N44" s="555" t="str">
        <f t="shared" ca="1" si="1"/>
        <v/>
      </c>
      <c r="O44" s="494" t="s">
        <v>1375</v>
      </c>
      <c r="P44" s="555" t="str">
        <f t="shared" ca="1" si="2"/>
        <v/>
      </c>
      <c r="Q44" s="494" t="s">
        <v>1376</v>
      </c>
      <c r="R44" s="494" t="str">
        <f t="shared" si="8"/>
        <v>I44</v>
      </c>
      <c r="S44" s="494" t="s">
        <v>1377</v>
      </c>
      <c r="T44" s="494">
        <v>5</v>
      </c>
      <c r="U44" s="556" t="str">
        <f t="shared" ca="1" si="3"/>
        <v/>
      </c>
      <c r="V44" s="494">
        <v>6</v>
      </c>
      <c r="W44" s="556" t="str">
        <f t="shared" ca="1" si="4"/>
        <v/>
      </c>
      <c r="X44" s="494" t="s">
        <v>1378</v>
      </c>
      <c r="Y44" s="547" t="str">
        <f t="shared" ca="1" si="5"/>
        <v/>
      </c>
      <c r="Z44" s="494" t="s">
        <v>1379</v>
      </c>
      <c r="AA44" s="547" t="str">
        <f t="shared" ca="1" si="6"/>
        <v/>
      </c>
      <c r="AB44" s="494" t="s">
        <v>1380</v>
      </c>
      <c r="AC44" s="547" t="str">
        <f t="shared" ca="1" si="7"/>
        <v/>
      </c>
      <c r="AD44" s="557"/>
      <c r="AE44" s="958"/>
    </row>
    <row r="45" spans="1:31" ht="15" customHeight="1">
      <c r="A45" s="957">
        <v>43</v>
      </c>
      <c r="B45" s="566" t="s">
        <v>1007</v>
      </c>
      <c r="C45" s="567" t="s">
        <v>1369</v>
      </c>
      <c r="D45" s="958" t="s">
        <v>1370</v>
      </c>
      <c r="E45" s="959" t="s">
        <v>713</v>
      </c>
      <c r="F45" s="558" t="s">
        <v>1392</v>
      </c>
      <c r="G45" s="558">
        <v>294</v>
      </c>
      <c r="H45" s="558" t="s">
        <v>1039</v>
      </c>
      <c r="I45" s="559" t="s">
        <v>1394</v>
      </c>
      <c r="J45" s="567" t="s">
        <v>1372</v>
      </c>
      <c r="K45" s="960" t="s">
        <v>1373</v>
      </c>
      <c r="L45" s="555" t="str">
        <f t="shared" ca="1" si="0"/>
        <v/>
      </c>
      <c r="M45" s="494" t="s">
        <v>1374</v>
      </c>
      <c r="N45" s="555" t="str">
        <f t="shared" ca="1" si="1"/>
        <v/>
      </c>
      <c r="O45" s="494" t="s">
        <v>1375</v>
      </c>
      <c r="P45" s="555" t="str">
        <f t="shared" ca="1" si="2"/>
        <v/>
      </c>
      <c r="Q45" s="494" t="s">
        <v>1376</v>
      </c>
      <c r="R45" s="494" t="str">
        <f t="shared" si="8"/>
        <v>I45</v>
      </c>
      <c r="S45" s="494" t="s">
        <v>1377</v>
      </c>
      <c r="T45" s="494">
        <v>5</v>
      </c>
      <c r="U45" s="556" t="str">
        <f t="shared" ca="1" si="3"/>
        <v/>
      </c>
      <c r="V45" s="494">
        <v>6</v>
      </c>
      <c r="W45" s="556" t="str">
        <f t="shared" ca="1" si="4"/>
        <v/>
      </c>
      <c r="X45" s="494" t="s">
        <v>1378</v>
      </c>
      <c r="Y45" s="547" t="str">
        <f t="shared" ca="1" si="5"/>
        <v/>
      </c>
      <c r="Z45" s="494" t="s">
        <v>1379</v>
      </c>
      <c r="AA45" s="547" t="str">
        <f t="shared" ca="1" si="6"/>
        <v/>
      </c>
      <c r="AB45" s="494" t="s">
        <v>1380</v>
      </c>
      <c r="AC45" s="547" t="str">
        <f t="shared" ca="1" si="7"/>
        <v/>
      </c>
      <c r="AD45" s="557"/>
      <c r="AE45" s="958"/>
    </row>
    <row r="46" spans="1:31" ht="15" customHeight="1">
      <c r="A46" s="957">
        <v>43</v>
      </c>
      <c r="B46" s="566" t="s">
        <v>1007</v>
      </c>
      <c r="C46" s="567" t="s">
        <v>1369</v>
      </c>
      <c r="D46" s="958" t="s">
        <v>1370</v>
      </c>
      <c r="E46" s="959" t="s">
        <v>713</v>
      </c>
      <c r="F46" s="558" t="s">
        <v>1392</v>
      </c>
      <c r="G46" s="558">
        <v>294</v>
      </c>
      <c r="H46" s="558" t="s">
        <v>1039</v>
      </c>
      <c r="I46" s="559" t="s">
        <v>1395</v>
      </c>
      <c r="J46" s="567" t="s">
        <v>1372</v>
      </c>
      <c r="K46" s="960" t="s">
        <v>1373</v>
      </c>
      <c r="L46" s="555" t="str">
        <f t="shared" ca="1" si="0"/>
        <v/>
      </c>
      <c r="M46" s="494" t="s">
        <v>1374</v>
      </c>
      <c r="N46" s="555" t="str">
        <f t="shared" ca="1" si="1"/>
        <v/>
      </c>
      <c r="O46" s="494" t="s">
        <v>1375</v>
      </c>
      <c r="P46" s="555" t="str">
        <f t="shared" ca="1" si="2"/>
        <v/>
      </c>
      <c r="Q46" s="494" t="s">
        <v>1376</v>
      </c>
      <c r="R46" s="494" t="str">
        <f t="shared" si="8"/>
        <v>I46</v>
      </c>
      <c r="S46" s="494" t="s">
        <v>1377</v>
      </c>
      <c r="T46" s="494">
        <v>5</v>
      </c>
      <c r="U46" s="556" t="str">
        <f t="shared" ca="1" si="3"/>
        <v/>
      </c>
      <c r="V46" s="494">
        <v>6</v>
      </c>
      <c r="W46" s="556" t="str">
        <f t="shared" ca="1" si="4"/>
        <v/>
      </c>
      <c r="X46" s="494" t="s">
        <v>1378</v>
      </c>
      <c r="Y46" s="547" t="str">
        <f t="shared" ca="1" si="5"/>
        <v/>
      </c>
      <c r="Z46" s="494" t="s">
        <v>1379</v>
      </c>
      <c r="AA46" s="547" t="str">
        <f t="shared" ca="1" si="6"/>
        <v/>
      </c>
      <c r="AB46" s="494" t="s">
        <v>1380</v>
      </c>
      <c r="AC46" s="547" t="str">
        <f t="shared" ca="1" si="7"/>
        <v/>
      </c>
      <c r="AD46" s="557"/>
      <c r="AE46" s="958"/>
    </row>
    <row r="47" spans="1:31" ht="15" customHeight="1">
      <c r="A47" s="957">
        <v>43</v>
      </c>
      <c r="B47" s="566" t="s">
        <v>1007</v>
      </c>
      <c r="C47" s="567" t="s">
        <v>1369</v>
      </c>
      <c r="D47" s="958" t="s">
        <v>1370</v>
      </c>
      <c r="E47" s="959" t="s">
        <v>713</v>
      </c>
      <c r="F47" s="558" t="s">
        <v>1392</v>
      </c>
      <c r="G47" s="558">
        <v>295</v>
      </c>
      <c r="H47" s="558" t="s">
        <v>1045</v>
      </c>
      <c r="I47" s="559" t="s">
        <v>734</v>
      </c>
      <c r="J47" s="567" t="s">
        <v>1372</v>
      </c>
      <c r="K47" s="960" t="s">
        <v>1373</v>
      </c>
      <c r="L47" s="555" t="str">
        <f t="shared" ca="1" si="0"/>
        <v/>
      </c>
      <c r="M47" s="494" t="s">
        <v>1374</v>
      </c>
      <c r="N47" s="555" t="str">
        <f t="shared" ca="1" si="1"/>
        <v/>
      </c>
      <c r="O47" s="494" t="s">
        <v>1375</v>
      </c>
      <c r="P47" s="555" t="str">
        <f t="shared" ca="1" si="2"/>
        <v/>
      </c>
      <c r="Q47" s="494" t="s">
        <v>1376</v>
      </c>
      <c r="R47" s="494" t="str">
        <f t="shared" si="8"/>
        <v>I47</v>
      </c>
      <c r="S47" s="494" t="s">
        <v>1377</v>
      </c>
      <c r="T47" s="494">
        <v>5</v>
      </c>
      <c r="U47" s="556" t="str">
        <f t="shared" ca="1" si="3"/>
        <v/>
      </c>
      <c r="V47" s="494">
        <v>6</v>
      </c>
      <c r="W47" s="556" t="str">
        <f t="shared" ca="1" si="4"/>
        <v/>
      </c>
      <c r="X47" s="494" t="s">
        <v>1378</v>
      </c>
      <c r="Y47" s="547" t="str">
        <f t="shared" ca="1" si="5"/>
        <v/>
      </c>
      <c r="Z47" s="494" t="s">
        <v>1379</v>
      </c>
      <c r="AA47" s="547" t="str">
        <f t="shared" ca="1" si="6"/>
        <v/>
      </c>
      <c r="AB47" s="494" t="s">
        <v>1380</v>
      </c>
      <c r="AC47" s="547" t="str">
        <f t="shared" ca="1" si="7"/>
        <v/>
      </c>
      <c r="AD47" s="557"/>
      <c r="AE47" s="958"/>
    </row>
    <row r="48" spans="1:31" ht="15" customHeight="1">
      <c r="A48" s="957">
        <v>43</v>
      </c>
      <c r="B48" s="566" t="s">
        <v>1007</v>
      </c>
      <c r="C48" s="567" t="s">
        <v>1369</v>
      </c>
      <c r="D48" s="958" t="s">
        <v>1370</v>
      </c>
      <c r="E48" s="959" t="s">
        <v>713</v>
      </c>
      <c r="F48" s="558" t="s">
        <v>1392</v>
      </c>
      <c r="G48" s="558">
        <v>295</v>
      </c>
      <c r="H48" s="558" t="s">
        <v>1045</v>
      </c>
      <c r="I48" s="559" t="s">
        <v>735</v>
      </c>
      <c r="J48" s="567" t="s">
        <v>1372</v>
      </c>
      <c r="K48" s="960" t="s">
        <v>1373</v>
      </c>
      <c r="L48" s="555" t="str">
        <f t="shared" ca="1" si="0"/>
        <v/>
      </c>
      <c r="M48" s="494" t="s">
        <v>1374</v>
      </c>
      <c r="N48" s="555" t="str">
        <f t="shared" ca="1" si="1"/>
        <v/>
      </c>
      <c r="O48" s="494" t="s">
        <v>1375</v>
      </c>
      <c r="P48" s="555" t="str">
        <f t="shared" ca="1" si="2"/>
        <v/>
      </c>
      <c r="Q48" s="494" t="s">
        <v>1376</v>
      </c>
      <c r="R48" s="494" t="str">
        <f t="shared" si="8"/>
        <v>I48</v>
      </c>
      <c r="S48" s="494" t="s">
        <v>1377</v>
      </c>
      <c r="T48" s="494">
        <v>5</v>
      </c>
      <c r="U48" s="556" t="str">
        <f t="shared" ca="1" si="3"/>
        <v/>
      </c>
      <c r="V48" s="494">
        <v>6</v>
      </c>
      <c r="W48" s="556" t="str">
        <f t="shared" ca="1" si="4"/>
        <v/>
      </c>
      <c r="X48" s="494" t="s">
        <v>1378</v>
      </c>
      <c r="Y48" s="547" t="str">
        <f t="shared" ca="1" si="5"/>
        <v/>
      </c>
      <c r="Z48" s="494" t="s">
        <v>1379</v>
      </c>
      <c r="AA48" s="547" t="str">
        <f t="shared" ca="1" si="6"/>
        <v/>
      </c>
      <c r="AB48" s="494" t="s">
        <v>1380</v>
      </c>
      <c r="AC48" s="547" t="str">
        <f t="shared" ca="1" si="7"/>
        <v/>
      </c>
      <c r="AD48" s="557"/>
      <c r="AE48" s="958"/>
    </row>
    <row r="49" spans="1:31" ht="15" customHeight="1">
      <c r="A49" s="957">
        <v>43</v>
      </c>
      <c r="B49" s="566" t="s">
        <v>1007</v>
      </c>
      <c r="C49" s="567" t="s">
        <v>1369</v>
      </c>
      <c r="D49" s="958" t="s">
        <v>1370</v>
      </c>
      <c r="E49" s="959" t="s">
        <v>713</v>
      </c>
      <c r="F49" s="558" t="s">
        <v>1392</v>
      </c>
      <c r="G49" s="558">
        <v>296</v>
      </c>
      <c r="H49" s="558" t="s">
        <v>1046</v>
      </c>
      <c r="I49" s="559" t="s">
        <v>739</v>
      </c>
      <c r="J49" s="567" t="s">
        <v>1372</v>
      </c>
      <c r="K49" s="960" t="s">
        <v>1373</v>
      </c>
      <c r="L49" s="555" t="str">
        <f t="shared" ca="1" si="0"/>
        <v/>
      </c>
      <c r="M49" s="494" t="s">
        <v>1374</v>
      </c>
      <c r="N49" s="555" t="str">
        <f t="shared" ca="1" si="1"/>
        <v/>
      </c>
      <c r="O49" s="494" t="s">
        <v>1375</v>
      </c>
      <c r="P49" s="555" t="str">
        <f t="shared" ca="1" si="2"/>
        <v/>
      </c>
      <c r="Q49" s="494" t="s">
        <v>1376</v>
      </c>
      <c r="R49" s="494" t="str">
        <f t="shared" si="8"/>
        <v>I49</v>
      </c>
      <c r="S49" s="494" t="s">
        <v>1377</v>
      </c>
      <c r="T49" s="494">
        <v>5</v>
      </c>
      <c r="U49" s="556" t="str">
        <f t="shared" ca="1" si="3"/>
        <v/>
      </c>
      <c r="V49" s="494">
        <v>6</v>
      </c>
      <c r="W49" s="556" t="str">
        <f t="shared" ca="1" si="4"/>
        <v/>
      </c>
      <c r="X49" s="494" t="s">
        <v>1378</v>
      </c>
      <c r="Y49" s="547" t="str">
        <f t="shared" ca="1" si="5"/>
        <v/>
      </c>
      <c r="Z49" s="494" t="s">
        <v>1379</v>
      </c>
      <c r="AA49" s="547" t="str">
        <f t="shared" ca="1" si="6"/>
        <v/>
      </c>
      <c r="AB49" s="494" t="s">
        <v>1380</v>
      </c>
      <c r="AC49" s="547" t="str">
        <f t="shared" ca="1" si="7"/>
        <v/>
      </c>
      <c r="AD49" s="557"/>
      <c r="AE49" s="958"/>
    </row>
    <row r="50" spans="1:31" ht="15" customHeight="1">
      <c r="A50" s="957">
        <v>43</v>
      </c>
      <c r="B50" s="566" t="s">
        <v>1007</v>
      </c>
      <c r="C50" s="567" t="s">
        <v>1369</v>
      </c>
      <c r="D50" s="958" t="s">
        <v>1370</v>
      </c>
      <c r="E50" s="959" t="s">
        <v>713</v>
      </c>
      <c r="F50" s="558" t="s">
        <v>1392</v>
      </c>
      <c r="G50" s="558">
        <v>296</v>
      </c>
      <c r="H50" s="558" t="s">
        <v>1046</v>
      </c>
      <c r="I50" s="559" t="s">
        <v>740</v>
      </c>
      <c r="J50" s="567" t="s">
        <v>1372</v>
      </c>
      <c r="K50" s="960" t="s">
        <v>1373</v>
      </c>
      <c r="L50" s="555" t="str">
        <f t="shared" ca="1" si="0"/>
        <v/>
      </c>
      <c r="M50" s="494" t="s">
        <v>1374</v>
      </c>
      <c r="N50" s="555" t="str">
        <f t="shared" ca="1" si="1"/>
        <v/>
      </c>
      <c r="O50" s="494" t="s">
        <v>1375</v>
      </c>
      <c r="P50" s="555" t="str">
        <f t="shared" ca="1" si="2"/>
        <v/>
      </c>
      <c r="Q50" s="494" t="s">
        <v>1376</v>
      </c>
      <c r="R50" s="494" t="str">
        <f t="shared" si="8"/>
        <v>I50</v>
      </c>
      <c r="S50" s="494" t="s">
        <v>1377</v>
      </c>
      <c r="T50" s="494">
        <v>5</v>
      </c>
      <c r="U50" s="556" t="str">
        <f t="shared" ca="1" si="3"/>
        <v/>
      </c>
      <c r="V50" s="494">
        <v>6</v>
      </c>
      <c r="W50" s="556" t="str">
        <f t="shared" ca="1" si="4"/>
        <v/>
      </c>
      <c r="X50" s="494" t="s">
        <v>1378</v>
      </c>
      <c r="Y50" s="547" t="str">
        <f t="shared" ca="1" si="5"/>
        <v/>
      </c>
      <c r="Z50" s="494" t="s">
        <v>1379</v>
      </c>
      <c r="AA50" s="547" t="str">
        <f t="shared" ca="1" si="6"/>
        <v/>
      </c>
      <c r="AB50" s="494" t="s">
        <v>1380</v>
      </c>
      <c r="AC50" s="547" t="str">
        <f t="shared" ca="1" si="7"/>
        <v/>
      </c>
      <c r="AD50" s="557"/>
      <c r="AE50" s="958"/>
    </row>
    <row r="51" spans="1:31" ht="15" customHeight="1">
      <c r="A51" s="957">
        <v>43</v>
      </c>
      <c r="B51" s="566" t="s">
        <v>1007</v>
      </c>
      <c r="C51" s="567" t="s">
        <v>1369</v>
      </c>
      <c r="D51" s="958" t="s">
        <v>1370</v>
      </c>
      <c r="E51" s="959" t="s">
        <v>713</v>
      </c>
      <c r="F51" s="558" t="s">
        <v>1392</v>
      </c>
      <c r="G51" s="558">
        <v>297</v>
      </c>
      <c r="H51" s="558" t="s">
        <v>1047</v>
      </c>
      <c r="I51" s="559" t="s">
        <v>714</v>
      </c>
      <c r="J51" s="567" t="s">
        <v>1372</v>
      </c>
      <c r="K51" s="960" t="s">
        <v>1373</v>
      </c>
      <c r="L51" s="555" t="str">
        <f t="shared" ca="1" si="0"/>
        <v/>
      </c>
      <c r="M51" s="494" t="s">
        <v>1374</v>
      </c>
      <c r="N51" s="555" t="str">
        <f t="shared" ca="1" si="1"/>
        <v/>
      </c>
      <c r="O51" s="494" t="s">
        <v>1375</v>
      </c>
      <c r="P51" s="555" t="str">
        <f t="shared" ca="1" si="2"/>
        <v/>
      </c>
      <c r="Q51" s="494" t="s">
        <v>1376</v>
      </c>
      <c r="R51" s="494" t="str">
        <f t="shared" si="8"/>
        <v>I51</v>
      </c>
      <c r="S51" s="494" t="s">
        <v>1377</v>
      </c>
      <c r="T51" s="494">
        <v>5</v>
      </c>
      <c r="U51" s="556" t="str">
        <f t="shared" ca="1" si="3"/>
        <v/>
      </c>
      <c r="V51" s="494">
        <v>6</v>
      </c>
      <c r="W51" s="556" t="str">
        <f t="shared" ca="1" si="4"/>
        <v/>
      </c>
      <c r="X51" s="494" t="s">
        <v>1378</v>
      </c>
      <c r="Y51" s="547" t="str">
        <f t="shared" ca="1" si="5"/>
        <v/>
      </c>
      <c r="Z51" s="494" t="s">
        <v>1379</v>
      </c>
      <c r="AA51" s="547" t="str">
        <f t="shared" ca="1" si="6"/>
        <v/>
      </c>
      <c r="AB51" s="494" t="s">
        <v>1380</v>
      </c>
      <c r="AC51" s="547" t="str">
        <f t="shared" ca="1" si="7"/>
        <v/>
      </c>
      <c r="AD51" s="557"/>
      <c r="AE51" s="958"/>
    </row>
    <row r="52" spans="1:31" ht="15" customHeight="1">
      <c r="A52" s="957">
        <v>43</v>
      </c>
      <c r="B52" s="566" t="s">
        <v>1007</v>
      </c>
      <c r="C52" s="567" t="s">
        <v>1369</v>
      </c>
      <c r="D52" s="958" t="s">
        <v>1370</v>
      </c>
      <c r="E52" s="959" t="s">
        <v>713</v>
      </c>
      <c r="F52" s="558" t="s">
        <v>1392</v>
      </c>
      <c r="G52" s="558">
        <v>298</v>
      </c>
      <c r="H52" s="558" t="s">
        <v>1047</v>
      </c>
      <c r="I52" s="559" t="s">
        <v>1396</v>
      </c>
      <c r="J52" s="567" t="s">
        <v>1372</v>
      </c>
      <c r="K52" s="960" t="s">
        <v>1373</v>
      </c>
      <c r="L52" s="555" t="str">
        <f t="shared" ca="1" si="0"/>
        <v/>
      </c>
      <c r="M52" s="494" t="s">
        <v>1374</v>
      </c>
      <c r="N52" s="555" t="str">
        <f t="shared" ca="1" si="1"/>
        <v/>
      </c>
      <c r="O52" s="494" t="s">
        <v>1375</v>
      </c>
      <c r="P52" s="555" t="str">
        <f t="shared" ca="1" si="2"/>
        <v/>
      </c>
      <c r="Q52" s="494" t="s">
        <v>1376</v>
      </c>
      <c r="R52" s="494" t="str">
        <f t="shared" si="8"/>
        <v>I52</v>
      </c>
      <c r="S52" s="494" t="s">
        <v>1377</v>
      </c>
      <c r="T52" s="494">
        <v>5</v>
      </c>
      <c r="U52" s="556" t="str">
        <f t="shared" ca="1" si="3"/>
        <v/>
      </c>
      <c r="V52" s="494">
        <v>6</v>
      </c>
      <c r="W52" s="556" t="str">
        <f t="shared" ca="1" si="4"/>
        <v/>
      </c>
      <c r="X52" s="494" t="s">
        <v>1378</v>
      </c>
      <c r="Y52" s="547" t="str">
        <f t="shared" ca="1" si="5"/>
        <v/>
      </c>
      <c r="Z52" s="494" t="s">
        <v>1379</v>
      </c>
      <c r="AA52" s="547" t="str">
        <f t="shared" ca="1" si="6"/>
        <v/>
      </c>
      <c r="AB52" s="494" t="s">
        <v>1380</v>
      </c>
      <c r="AC52" s="547" t="str">
        <f t="shared" ca="1" si="7"/>
        <v/>
      </c>
      <c r="AD52" s="557"/>
      <c r="AE52" s="958"/>
    </row>
    <row r="53" spans="1:31" ht="15" customHeight="1">
      <c r="A53" s="957">
        <v>43</v>
      </c>
      <c r="B53" s="566" t="s">
        <v>1007</v>
      </c>
      <c r="C53" s="567" t="s">
        <v>1369</v>
      </c>
      <c r="D53" s="958" t="s">
        <v>1370</v>
      </c>
      <c r="E53" s="959" t="s">
        <v>713</v>
      </c>
      <c r="F53" s="558" t="s">
        <v>1392</v>
      </c>
      <c r="G53" s="558">
        <v>298</v>
      </c>
      <c r="H53" s="558" t="s">
        <v>1048</v>
      </c>
      <c r="I53" s="559" t="s">
        <v>717</v>
      </c>
      <c r="J53" s="567" t="s">
        <v>1372</v>
      </c>
      <c r="K53" s="960" t="s">
        <v>1373</v>
      </c>
      <c r="L53" s="555" t="str">
        <f t="shared" ca="1" si="0"/>
        <v/>
      </c>
      <c r="M53" s="494" t="s">
        <v>1374</v>
      </c>
      <c r="N53" s="555" t="str">
        <f t="shared" ca="1" si="1"/>
        <v/>
      </c>
      <c r="O53" s="494" t="s">
        <v>1375</v>
      </c>
      <c r="P53" s="555" t="str">
        <f t="shared" ca="1" si="2"/>
        <v/>
      </c>
      <c r="Q53" s="494" t="s">
        <v>1376</v>
      </c>
      <c r="R53" s="494" t="str">
        <f t="shared" si="8"/>
        <v>I53</v>
      </c>
      <c r="S53" s="494" t="s">
        <v>1377</v>
      </c>
      <c r="T53" s="494">
        <v>5</v>
      </c>
      <c r="U53" s="556" t="str">
        <f t="shared" ca="1" si="3"/>
        <v/>
      </c>
      <c r="V53" s="494">
        <v>6</v>
      </c>
      <c r="W53" s="556" t="str">
        <f t="shared" ca="1" si="4"/>
        <v/>
      </c>
      <c r="X53" s="494" t="s">
        <v>1378</v>
      </c>
      <c r="Y53" s="547" t="str">
        <f t="shared" ca="1" si="5"/>
        <v/>
      </c>
      <c r="Z53" s="494" t="s">
        <v>1379</v>
      </c>
      <c r="AA53" s="547" t="str">
        <f t="shared" ca="1" si="6"/>
        <v/>
      </c>
      <c r="AB53" s="494" t="s">
        <v>1380</v>
      </c>
      <c r="AC53" s="547" t="str">
        <f t="shared" ca="1" si="7"/>
        <v/>
      </c>
      <c r="AD53" s="557"/>
      <c r="AE53" s="958"/>
    </row>
    <row r="54" spans="1:31" ht="15" customHeight="1">
      <c r="A54" s="957">
        <v>43</v>
      </c>
      <c r="B54" s="566" t="s">
        <v>1007</v>
      </c>
      <c r="C54" s="567" t="s">
        <v>1369</v>
      </c>
      <c r="D54" s="958" t="s">
        <v>1370</v>
      </c>
      <c r="E54" s="959" t="s">
        <v>713</v>
      </c>
      <c r="F54" s="558" t="s">
        <v>1392</v>
      </c>
      <c r="G54" s="558">
        <v>299</v>
      </c>
      <c r="H54" s="558" t="s">
        <v>1049</v>
      </c>
      <c r="I54" s="559" t="s">
        <v>741</v>
      </c>
      <c r="J54" s="567" t="s">
        <v>1372</v>
      </c>
      <c r="K54" s="960" t="s">
        <v>1373</v>
      </c>
      <c r="L54" s="555" t="str">
        <f t="shared" ca="1" si="0"/>
        <v/>
      </c>
      <c r="M54" s="494" t="s">
        <v>1374</v>
      </c>
      <c r="N54" s="555" t="str">
        <f t="shared" ca="1" si="1"/>
        <v/>
      </c>
      <c r="O54" s="494" t="s">
        <v>1375</v>
      </c>
      <c r="P54" s="555" t="str">
        <f t="shared" ca="1" si="2"/>
        <v/>
      </c>
      <c r="Q54" s="494" t="s">
        <v>1376</v>
      </c>
      <c r="R54" s="494" t="str">
        <f t="shared" si="8"/>
        <v>I54</v>
      </c>
      <c r="S54" s="494" t="s">
        <v>1377</v>
      </c>
      <c r="T54" s="494">
        <v>5</v>
      </c>
      <c r="U54" s="556" t="str">
        <f t="shared" ca="1" si="3"/>
        <v/>
      </c>
      <c r="V54" s="494">
        <v>6</v>
      </c>
      <c r="W54" s="556" t="str">
        <f t="shared" ca="1" si="4"/>
        <v/>
      </c>
      <c r="X54" s="494" t="s">
        <v>1378</v>
      </c>
      <c r="Y54" s="547" t="str">
        <f t="shared" ca="1" si="5"/>
        <v/>
      </c>
      <c r="Z54" s="494" t="s">
        <v>1379</v>
      </c>
      <c r="AA54" s="547" t="str">
        <f t="shared" ca="1" si="6"/>
        <v/>
      </c>
      <c r="AB54" s="494" t="s">
        <v>1380</v>
      </c>
      <c r="AC54" s="547" t="str">
        <f t="shared" ca="1" si="7"/>
        <v/>
      </c>
      <c r="AD54" s="557"/>
      <c r="AE54" s="958"/>
    </row>
    <row r="55" spans="1:31" ht="15" customHeight="1">
      <c r="A55" s="957">
        <v>43</v>
      </c>
      <c r="B55" s="566" t="s">
        <v>1007</v>
      </c>
      <c r="C55" s="567" t="s">
        <v>1369</v>
      </c>
      <c r="D55" s="958" t="s">
        <v>1370</v>
      </c>
      <c r="E55" s="959" t="s">
        <v>713</v>
      </c>
      <c r="F55" s="558" t="s">
        <v>1392</v>
      </c>
      <c r="G55" s="558">
        <v>300</v>
      </c>
      <c r="H55" s="558" t="s">
        <v>1050</v>
      </c>
      <c r="I55" s="559" t="s">
        <v>1397</v>
      </c>
      <c r="J55" s="567" t="s">
        <v>1372</v>
      </c>
      <c r="K55" s="960" t="s">
        <v>1373</v>
      </c>
      <c r="L55" s="555" t="str">
        <f t="shared" ca="1" si="0"/>
        <v/>
      </c>
      <c r="M55" s="494" t="s">
        <v>1374</v>
      </c>
      <c r="N55" s="555" t="str">
        <f t="shared" ca="1" si="1"/>
        <v/>
      </c>
      <c r="O55" s="494" t="s">
        <v>1375</v>
      </c>
      <c r="P55" s="555" t="str">
        <f t="shared" ca="1" si="2"/>
        <v/>
      </c>
      <c r="Q55" s="494" t="s">
        <v>1376</v>
      </c>
      <c r="R55" s="494" t="str">
        <f t="shared" si="8"/>
        <v>I55</v>
      </c>
      <c r="S55" s="494" t="s">
        <v>1377</v>
      </c>
      <c r="T55" s="494">
        <v>5</v>
      </c>
      <c r="U55" s="556" t="str">
        <f t="shared" ca="1" si="3"/>
        <v/>
      </c>
      <c r="V55" s="494">
        <v>6</v>
      </c>
      <c r="W55" s="556" t="str">
        <f t="shared" ca="1" si="4"/>
        <v/>
      </c>
      <c r="X55" s="494" t="s">
        <v>1378</v>
      </c>
      <c r="Y55" s="547" t="str">
        <f t="shared" ca="1" si="5"/>
        <v/>
      </c>
      <c r="Z55" s="494" t="s">
        <v>1379</v>
      </c>
      <c r="AA55" s="547" t="str">
        <f t="shared" ca="1" si="6"/>
        <v/>
      </c>
      <c r="AB55" s="494" t="s">
        <v>1380</v>
      </c>
      <c r="AC55" s="547" t="str">
        <f t="shared" ca="1" si="7"/>
        <v/>
      </c>
      <c r="AD55" s="557"/>
      <c r="AE55" s="958"/>
    </row>
    <row r="56" spans="1:31" ht="15" customHeight="1">
      <c r="A56" s="957">
        <v>43</v>
      </c>
      <c r="B56" s="566" t="s">
        <v>1007</v>
      </c>
      <c r="C56" s="567" t="s">
        <v>1369</v>
      </c>
      <c r="D56" s="958" t="s">
        <v>1370</v>
      </c>
      <c r="E56" s="959" t="s">
        <v>713</v>
      </c>
      <c r="F56" s="558" t="s">
        <v>1392</v>
      </c>
      <c r="G56" s="558">
        <v>300</v>
      </c>
      <c r="H56" s="558" t="s">
        <v>1050</v>
      </c>
      <c r="I56" s="559" t="s">
        <v>747</v>
      </c>
      <c r="J56" s="567" t="s">
        <v>1372</v>
      </c>
      <c r="K56" s="960" t="s">
        <v>1373</v>
      </c>
      <c r="L56" s="555" t="str">
        <f t="shared" ca="1" si="0"/>
        <v/>
      </c>
      <c r="M56" s="494" t="s">
        <v>1374</v>
      </c>
      <c r="N56" s="555" t="str">
        <f t="shared" ca="1" si="1"/>
        <v/>
      </c>
      <c r="O56" s="494" t="s">
        <v>1375</v>
      </c>
      <c r="P56" s="555" t="str">
        <f t="shared" ca="1" si="2"/>
        <v/>
      </c>
      <c r="Q56" s="494" t="s">
        <v>1376</v>
      </c>
      <c r="R56" s="494" t="str">
        <f t="shared" si="8"/>
        <v>I56</v>
      </c>
      <c r="S56" s="494" t="s">
        <v>1377</v>
      </c>
      <c r="T56" s="494">
        <v>5</v>
      </c>
      <c r="U56" s="556" t="str">
        <f t="shared" ca="1" si="3"/>
        <v/>
      </c>
      <c r="V56" s="494">
        <v>6</v>
      </c>
      <c r="W56" s="556" t="str">
        <f t="shared" ca="1" si="4"/>
        <v/>
      </c>
      <c r="X56" s="494" t="s">
        <v>1378</v>
      </c>
      <c r="Y56" s="547" t="str">
        <f t="shared" ca="1" si="5"/>
        <v/>
      </c>
      <c r="Z56" s="494" t="s">
        <v>1379</v>
      </c>
      <c r="AA56" s="547" t="str">
        <f t="shared" ca="1" si="6"/>
        <v/>
      </c>
      <c r="AB56" s="494" t="s">
        <v>1380</v>
      </c>
      <c r="AC56" s="547" t="str">
        <f t="shared" ca="1" si="7"/>
        <v/>
      </c>
      <c r="AD56" s="557"/>
      <c r="AE56" s="958"/>
    </row>
    <row r="57" spans="1:31" ht="15" customHeight="1">
      <c r="A57" s="957">
        <v>43</v>
      </c>
      <c r="B57" s="566" t="s">
        <v>1007</v>
      </c>
      <c r="C57" s="567" t="s">
        <v>1369</v>
      </c>
      <c r="D57" s="958" t="s">
        <v>1370</v>
      </c>
      <c r="E57" s="959" t="s">
        <v>713</v>
      </c>
      <c r="F57" s="558" t="s">
        <v>1392</v>
      </c>
      <c r="G57" s="558">
        <v>300</v>
      </c>
      <c r="H57" s="558" t="s">
        <v>1050</v>
      </c>
      <c r="I57" s="559" t="s">
        <v>1398</v>
      </c>
      <c r="J57" s="567" t="s">
        <v>1372</v>
      </c>
      <c r="K57" s="960" t="s">
        <v>1373</v>
      </c>
      <c r="L57" s="555" t="str">
        <f t="shared" ca="1" si="0"/>
        <v/>
      </c>
      <c r="M57" s="494" t="s">
        <v>1374</v>
      </c>
      <c r="N57" s="555" t="str">
        <f t="shared" ca="1" si="1"/>
        <v/>
      </c>
      <c r="O57" s="494" t="s">
        <v>1375</v>
      </c>
      <c r="P57" s="555" t="str">
        <f t="shared" ca="1" si="2"/>
        <v/>
      </c>
      <c r="Q57" s="494" t="s">
        <v>1376</v>
      </c>
      <c r="R57" s="494" t="str">
        <f t="shared" si="8"/>
        <v>I57</v>
      </c>
      <c r="S57" s="494" t="s">
        <v>1377</v>
      </c>
      <c r="T57" s="494">
        <v>5</v>
      </c>
      <c r="U57" s="556" t="str">
        <f t="shared" ca="1" si="3"/>
        <v/>
      </c>
      <c r="V57" s="494">
        <v>6</v>
      </c>
      <c r="W57" s="556" t="str">
        <f t="shared" ca="1" si="4"/>
        <v/>
      </c>
      <c r="X57" s="494" t="s">
        <v>1378</v>
      </c>
      <c r="Y57" s="547" t="str">
        <f t="shared" ca="1" si="5"/>
        <v/>
      </c>
      <c r="Z57" s="494" t="s">
        <v>1379</v>
      </c>
      <c r="AA57" s="547" t="str">
        <f t="shared" ca="1" si="6"/>
        <v/>
      </c>
      <c r="AB57" s="494" t="s">
        <v>1380</v>
      </c>
      <c r="AC57" s="547" t="str">
        <f t="shared" ca="1" si="7"/>
        <v/>
      </c>
      <c r="AD57" s="557"/>
      <c r="AE57" s="958"/>
    </row>
    <row r="58" spans="1:31" ht="15" customHeight="1">
      <c r="A58" s="957">
        <v>43</v>
      </c>
      <c r="B58" s="566" t="s">
        <v>1007</v>
      </c>
      <c r="C58" s="567" t="s">
        <v>1369</v>
      </c>
      <c r="D58" s="958" t="s">
        <v>1370</v>
      </c>
      <c r="E58" s="959" t="s">
        <v>713</v>
      </c>
      <c r="F58" s="558" t="s">
        <v>1392</v>
      </c>
      <c r="G58" s="558">
        <v>301</v>
      </c>
      <c r="H58" s="558" t="s">
        <v>1051</v>
      </c>
      <c r="I58" s="559" t="s">
        <v>1052</v>
      </c>
      <c r="J58" s="567" t="s">
        <v>1372</v>
      </c>
      <c r="K58" s="960" t="s">
        <v>1373</v>
      </c>
      <c r="L58" s="555" t="str">
        <f t="shared" ca="1" si="0"/>
        <v/>
      </c>
      <c r="M58" s="494" t="s">
        <v>1374</v>
      </c>
      <c r="N58" s="555" t="str">
        <f t="shared" ca="1" si="1"/>
        <v/>
      </c>
      <c r="O58" s="494" t="s">
        <v>1375</v>
      </c>
      <c r="P58" s="555" t="str">
        <f t="shared" ca="1" si="2"/>
        <v/>
      </c>
      <c r="Q58" s="494" t="s">
        <v>1376</v>
      </c>
      <c r="R58" s="494" t="str">
        <f t="shared" si="8"/>
        <v>I58</v>
      </c>
      <c r="S58" s="494" t="s">
        <v>1377</v>
      </c>
      <c r="T58" s="494">
        <v>5</v>
      </c>
      <c r="U58" s="556" t="str">
        <f t="shared" ca="1" si="3"/>
        <v/>
      </c>
      <c r="V58" s="494">
        <v>6</v>
      </c>
      <c r="W58" s="556" t="str">
        <f t="shared" ca="1" si="4"/>
        <v/>
      </c>
      <c r="X58" s="494" t="s">
        <v>1378</v>
      </c>
      <c r="Y58" s="547" t="str">
        <f t="shared" ca="1" si="5"/>
        <v/>
      </c>
      <c r="Z58" s="494" t="s">
        <v>1379</v>
      </c>
      <c r="AA58" s="547" t="str">
        <f t="shared" ca="1" si="6"/>
        <v/>
      </c>
      <c r="AB58" s="494" t="s">
        <v>1380</v>
      </c>
      <c r="AC58" s="547" t="str">
        <f t="shared" ca="1" si="7"/>
        <v/>
      </c>
      <c r="AD58" s="557"/>
      <c r="AE58" s="958"/>
    </row>
    <row r="59" spans="1:31" ht="15" customHeight="1">
      <c r="A59" s="957">
        <v>43</v>
      </c>
      <c r="B59" s="566" t="s">
        <v>1007</v>
      </c>
      <c r="C59" s="567" t="s">
        <v>1369</v>
      </c>
      <c r="D59" s="958" t="s">
        <v>1370</v>
      </c>
      <c r="E59" s="959" t="s">
        <v>713</v>
      </c>
      <c r="F59" s="558" t="s">
        <v>1392</v>
      </c>
      <c r="G59" s="558">
        <v>301</v>
      </c>
      <c r="H59" s="558" t="s">
        <v>1051</v>
      </c>
      <c r="I59" s="559" t="s">
        <v>1054</v>
      </c>
      <c r="J59" s="567" t="s">
        <v>1372</v>
      </c>
      <c r="K59" s="960" t="s">
        <v>1373</v>
      </c>
      <c r="L59" s="555" t="str">
        <f t="shared" ca="1" si="0"/>
        <v/>
      </c>
      <c r="M59" s="494" t="s">
        <v>1374</v>
      </c>
      <c r="N59" s="555" t="str">
        <f t="shared" ca="1" si="1"/>
        <v/>
      </c>
      <c r="O59" s="494" t="s">
        <v>1375</v>
      </c>
      <c r="P59" s="555" t="str">
        <f t="shared" ca="1" si="2"/>
        <v/>
      </c>
      <c r="Q59" s="494" t="s">
        <v>1376</v>
      </c>
      <c r="R59" s="494" t="str">
        <f t="shared" si="8"/>
        <v>I59</v>
      </c>
      <c r="S59" s="494" t="s">
        <v>1377</v>
      </c>
      <c r="T59" s="494">
        <v>5</v>
      </c>
      <c r="U59" s="556" t="str">
        <f t="shared" ca="1" si="3"/>
        <v/>
      </c>
      <c r="V59" s="494">
        <v>6</v>
      </c>
      <c r="W59" s="556" t="str">
        <f t="shared" ca="1" si="4"/>
        <v/>
      </c>
      <c r="X59" s="494" t="s">
        <v>1378</v>
      </c>
      <c r="Y59" s="547" t="str">
        <f t="shared" ca="1" si="5"/>
        <v/>
      </c>
      <c r="Z59" s="494" t="s">
        <v>1379</v>
      </c>
      <c r="AA59" s="547" t="str">
        <f t="shared" ca="1" si="6"/>
        <v/>
      </c>
      <c r="AB59" s="494" t="s">
        <v>1380</v>
      </c>
      <c r="AC59" s="547" t="str">
        <f t="shared" ca="1" si="7"/>
        <v/>
      </c>
      <c r="AD59" s="557"/>
      <c r="AE59" s="958"/>
    </row>
    <row r="60" spans="1:31" ht="15" customHeight="1">
      <c r="A60" s="957">
        <v>43</v>
      </c>
      <c r="B60" s="566" t="s">
        <v>1007</v>
      </c>
      <c r="C60" s="567" t="s">
        <v>1369</v>
      </c>
      <c r="D60" s="958" t="s">
        <v>1370</v>
      </c>
      <c r="E60" s="959" t="s">
        <v>713</v>
      </c>
      <c r="F60" s="558" t="s">
        <v>1392</v>
      </c>
      <c r="G60" s="558">
        <v>301</v>
      </c>
      <c r="H60" s="558" t="s">
        <v>1051</v>
      </c>
      <c r="I60" s="559" t="s">
        <v>1056</v>
      </c>
      <c r="J60" s="567" t="s">
        <v>1372</v>
      </c>
      <c r="K60" s="960" t="s">
        <v>1373</v>
      </c>
      <c r="L60" s="555" t="str">
        <f t="shared" ca="1" si="0"/>
        <v/>
      </c>
      <c r="M60" s="494" t="s">
        <v>1374</v>
      </c>
      <c r="N60" s="555" t="str">
        <f t="shared" ca="1" si="1"/>
        <v/>
      </c>
      <c r="O60" s="494" t="s">
        <v>1375</v>
      </c>
      <c r="P60" s="555" t="str">
        <f t="shared" ca="1" si="2"/>
        <v/>
      </c>
      <c r="Q60" s="494" t="s">
        <v>1376</v>
      </c>
      <c r="R60" s="494" t="str">
        <f t="shared" si="8"/>
        <v>I60</v>
      </c>
      <c r="S60" s="494" t="s">
        <v>1377</v>
      </c>
      <c r="T60" s="494">
        <v>5</v>
      </c>
      <c r="U60" s="556" t="str">
        <f t="shared" ca="1" si="3"/>
        <v/>
      </c>
      <c r="V60" s="494">
        <v>6</v>
      </c>
      <c r="W60" s="556" t="str">
        <f t="shared" ca="1" si="4"/>
        <v/>
      </c>
      <c r="X60" s="494" t="s">
        <v>1378</v>
      </c>
      <c r="Y60" s="547" t="str">
        <f t="shared" ca="1" si="5"/>
        <v/>
      </c>
      <c r="Z60" s="494" t="s">
        <v>1379</v>
      </c>
      <c r="AA60" s="547" t="str">
        <f t="shared" ca="1" si="6"/>
        <v/>
      </c>
      <c r="AB60" s="494" t="s">
        <v>1380</v>
      </c>
      <c r="AC60" s="547" t="str">
        <f t="shared" ca="1" si="7"/>
        <v/>
      </c>
      <c r="AD60" s="557"/>
      <c r="AE60" s="958"/>
    </row>
    <row r="61" spans="1:31" ht="15" customHeight="1">
      <c r="A61" s="957">
        <v>43</v>
      </c>
      <c r="B61" s="566" t="s">
        <v>1007</v>
      </c>
      <c r="C61" s="567" t="s">
        <v>1369</v>
      </c>
      <c r="D61" s="958" t="s">
        <v>1370</v>
      </c>
      <c r="E61" s="959" t="s">
        <v>713</v>
      </c>
      <c r="F61" s="558" t="s">
        <v>1392</v>
      </c>
      <c r="G61" s="558">
        <v>301</v>
      </c>
      <c r="H61" s="558" t="s">
        <v>1051</v>
      </c>
      <c r="I61" s="559" t="s">
        <v>1058</v>
      </c>
      <c r="J61" s="567" t="s">
        <v>1372</v>
      </c>
      <c r="K61" s="960" t="s">
        <v>1373</v>
      </c>
      <c r="L61" s="555" t="str">
        <f t="shared" ca="1" si="0"/>
        <v/>
      </c>
      <c r="M61" s="494" t="s">
        <v>1374</v>
      </c>
      <c r="N61" s="555" t="str">
        <f t="shared" ca="1" si="1"/>
        <v/>
      </c>
      <c r="O61" s="494" t="s">
        <v>1375</v>
      </c>
      <c r="P61" s="555" t="str">
        <f t="shared" ca="1" si="2"/>
        <v/>
      </c>
      <c r="Q61" s="494" t="s">
        <v>1376</v>
      </c>
      <c r="R61" s="494" t="str">
        <f t="shared" si="8"/>
        <v>I61</v>
      </c>
      <c r="S61" s="494" t="s">
        <v>1377</v>
      </c>
      <c r="T61" s="494">
        <v>5</v>
      </c>
      <c r="U61" s="556" t="str">
        <f t="shared" ca="1" si="3"/>
        <v/>
      </c>
      <c r="V61" s="494">
        <v>6</v>
      </c>
      <c r="W61" s="556" t="str">
        <f t="shared" ca="1" si="4"/>
        <v/>
      </c>
      <c r="X61" s="494" t="s">
        <v>1378</v>
      </c>
      <c r="Y61" s="547" t="str">
        <f t="shared" ca="1" si="5"/>
        <v/>
      </c>
      <c r="Z61" s="494" t="s">
        <v>1379</v>
      </c>
      <c r="AA61" s="547" t="str">
        <f t="shared" ca="1" si="6"/>
        <v/>
      </c>
      <c r="AB61" s="494" t="s">
        <v>1380</v>
      </c>
      <c r="AC61" s="547" t="str">
        <f t="shared" ca="1" si="7"/>
        <v/>
      </c>
      <c r="AD61" s="557"/>
      <c r="AE61" s="958"/>
    </row>
    <row r="62" spans="1:31" ht="15" customHeight="1">
      <c r="A62" s="957">
        <v>43</v>
      </c>
      <c r="B62" s="566" t="s">
        <v>1007</v>
      </c>
      <c r="C62" s="567" t="s">
        <v>1369</v>
      </c>
      <c r="D62" s="958" t="s">
        <v>1370</v>
      </c>
      <c r="E62" s="959" t="s">
        <v>755</v>
      </c>
      <c r="F62" s="558" t="s">
        <v>1399</v>
      </c>
      <c r="G62" s="558">
        <v>302</v>
      </c>
      <c r="H62" s="558" t="s">
        <v>1059</v>
      </c>
      <c r="I62" s="559" t="s">
        <v>338</v>
      </c>
      <c r="J62" s="567" t="s">
        <v>1372</v>
      </c>
      <c r="K62" s="960" t="s">
        <v>1373</v>
      </c>
      <c r="L62" s="555" t="str">
        <f t="shared" ca="1" si="0"/>
        <v/>
      </c>
      <c r="M62" s="494" t="s">
        <v>1374</v>
      </c>
      <c r="N62" s="555" t="str">
        <f t="shared" ca="1" si="1"/>
        <v/>
      </c>
      <c r="O62" s="494" t="s">
        <v>1375</v>
      </c>
      <c r="P62" s="555" t="str">
        <f t="shared" ca="1" si="2"/>
        <v/>
      </c>
      <c r="Q62" s="494" t="s">
        <v>1376</v>
      </c>
      <c r="R62" s="494" t="str">
        <f t="shared" si="8"/>
        <v>I62</v>
      </c>
      <c r="S62" s="494" t="s">
        <v>1377</v>
      </c>
      <c r="T62" s="494">
        <v>5</v>
      </c>
      <c r="U62" s="556" t="str">
        <f t="shared" ca="1" si="3"/>
        <v/>
      </c>
      <c r="V62" s="494">
        <v>6</v>
      </c>
      <c r="W62" s="556" t="str">
        <f t="shared" ca="1" si="4"/>
        <v/>
      </c>
      <c r="X62" s="494" t="s">
        <v>1378</v>
      </c>
      <c r="Y62" s="547" t="str">
        <f t="shared" ca="1" si="5"/>
        <v/>
      </c>
      <c r="Z62" s="494" t="s">
        <v>1379</v>
      </c>
      <c r="AA62" s="547" t="str">
        <f t="shared" ca="1" si="6"/>
        <v/>
      </c>
      <c r="AB62" s="494" t="s">
        <v>1380</v>
      </c>
      <c r="AC62" s="547" t="str">
        <f t="shared" ca="1" si="7"/>
        <v/>
      </c>
      <c r="AD62" s="557"/>
      <c r="AE62" s="958"/>
    </row>
    <row r="63" spans="1:31" ht="15" customHeight="1">
      <c r="A63" s="957">
        <v>43</v>
      </c>
      <c r="B63" s="566" t="s">
        <v>1007</v>
      </c>
      <c r="C63" s="567" t="s">
        <v>1369</v>
      </c>
      <c r="D63" s="958" t="s">
        <v>1370</v>
      </c>
      <c r="E63" s="959" t="s">
        <v>755</v>
      </c>
      <c r="F63" s="558" t="s">
        <v>1399</v>
      </c>
      <c r="G63" s="558">
        <v>311</v>
      </c>
      <c r="H63" s="558" t="s">
        <v>1074</v>
      </c>
      <c r="I63" s="559" t="s">
        <v>1075</v>
      </c>
      <c r="J63" s="567" t="s">
        <v>1372</v>
      </c>
      <c r="K63" s="960" t="s">
        <v>1373</v>
      </c>
      <c r="L63" s="555" t="str">
        <f t="shared" ca="1" si="0"/>
        <v/>
      </c>
      <c r="M63" s="494" t="s">
        <v>1374</v>
      </c>
      <c r="N63" s="555" t="str">
        <f t="shared" ca="1" si="1"/>
        <v/>
      </c>
      <c r="O63" s="494" t="s">
        <v>1375</v>
      </c>
      <c r="P63" s="555" t="str">
        <f t="shared" ca="1" si="2"/>
        <v/>
      </c>
      <c r="Q63" s="494" t="s">
        <v>1376</v>
      </c>
      <c r="R63" s="494" t="str">
        <f t="shared" si="8"/>
        <v>I63</v>
      </c>
      <c r="S63" s="494" t="s">
        <v>1377</v>
      </c>
      <c r="T63" s="494">
        <v>5</v>
      </c>
      <c r="U63" s="556" t="str">
        <f t="shared" ca="1" si="3"/>
        <v/>
      </c>
      <c r="V63" s="494">
        <v>6</v>
      </c>
      <c r="W63" s="556" t="str">
        <f t="shared" ca="1" si="4"/>
        <v/>
      </c>
      <c r="X63" s="494" t="s">
        <v>1378</v>
      </c>
      <c r="Y63" s="547" t="str">
        <f t="shared" ca="1" si="5"/>
        <v/>
      </c>
      <c r="Z63" s="494" t="s">
        <v>1379</v>
      </c>
      <c r="AA63" s="547" t="str">
        <f t="shared" ca="1" si="6"/>
        <v/>
      </c>
      <c r="AB63" s="494" t="s">
        <v>1380</v>
      </c>
      <c r="AC63" s="547" t="str">
        <f t="shared" ca="1" si="7"/>
        <v/>
      </c>
      <c r="AD63" s="557"/>
      <c r="AE63" s="958"/>
    </row>
    <row r="64" spans="1:31" ht="15" customHeight="1">
      <c r="A64" s="957">
        <v>43</v>
      </c>
      <c r="B64" s="566" t="s">
        <v>1007</v>
      </c>
      <c r="C64" s="567" t="s">
        <v>1369</v>
      </c>
      <c r="D64" s="958" t="s">
        <v>1370</v>
      </c>
      <c r="E64" s="959" t="s">
        <v>755</v>
      </c>
      <c r="F64" s="558" t="s">
        <v>1399</v>
      </c>
      <c r="G64" s="558">
        <v>311</v>
      </c>
      <c r="H64" s="558" t="s">
        <v>1074</v>
      </c>
      <c r="I64" s="559" t="s">
        <v>300</v>
      </c>
      <c r="J64" s="567" t="s">
        <v>1372</v>
      </c>
      <c r="K64" s="960" t="s">
        <v>1373</v>
      </c>
      <c r="L64" s="555" t="str">
        <f t="shared" ca="1" si="0"/>
        <v/>
      </c>
      <c r="M64" s="494" t="s">
        <v>1374</v>
      </c>
      <c r="N64" s="555" t="str">
        <f t="shared" ca="1" si="1"/>
        <v/>
      </c>
      <c r="O64" s="494" t="s">
        <v>1375</v>
      </c>
      <c r="P64" s="555" t="str">
        <f t="shared" ca="1" si="2"/>
        <v/>
      </c>
      <c r="Q64" s="494" t="s">
        <v>1376</v>
      </c>
      <c r="R64" s="494" t="str">
        <f t="shared" si="8"/>
        <v>I64</v>
      </c>
      <c r="S64" s="494" t="s">
        <v>1377</v>
      </c>
      <c r="T64" s="494">
        <v>5</v>
      </c>
      <c r="U64" s="556" t="str">
        <f t="shared" ca="1" si="3"/>
        <v/>
      </c>
      <c r="V64" s="494">
        <v>6</v>
      </c>
      <c r="W64" s="556" t="str">
        <f t="shared" ca="1" si="4"/>
        <v/>
      </c>
      <c r="X64" s="494" t="s">
        <v>1378</v>
      </c>
      <c r="Y64" s="547" t="str">
        <f t="shared" ca="1" si="5"/>
        <v/>
      </c>
      <c r="Z64" s="494" t="s">
        <v>1379</v>
      </c>
      <c r="AA64" s="547" t="str">
        <f t="shared" ca="1" si="6"/>
        <v/>
      </c>
      <c r="AB64" s="494" t="s">
        <v>1380</v>
      </c>
      <c r="AC64" s="547" t="str">
        <f t="shared" ca="1" si="7"/>
        <v/>
      </c>
      <c r="AD64" s="557"/>
      <c r="AE64" s="958"/>
    </row>
    <row r="65" spans="1:31" ht="15" customHeight="1">
      <c r="A65" s="957">
        <v>43</v>
      </c>
      <c r="B65" s="566" t="s">
        <v>1007</v>
      </c>
      <c r="C65" s="567" t="s">
        <v>1369</v>
      </c>
      <c r="D65" s="958" t="s">
        <v>1370</v>
      </c>
      <c r="E65" s="959" t="s">
        <v>755</v>
      </c>
      <c r="F65" s="558" t="s">
        <v>1399</v>
      </c>
      <c r="G65" s="558">
        <v>312</v>
      </c>
      <c r="H65" s="558" t="s">
        <v>1076</v>
      </c>
      <c r="I65" s="559" t="s">
        <v>1077</v>
      </c>
      <c r="J65" s="567" t="s">
        <v>1372</v>
      </c>
      <c r="K65" s="960" t="s">
        <v>1373</v>
      </c>
      <c r="L65" s="555" t="str">
        <f t="shared" ca="1" si="0"/>
        <v/>
      </c>
      <c r="M65" s="494" t="s">
        <v>1374</v>
      </c>
      <c r="N65" s="555" t="str">
        <f t="shared" ca="1" si="1"/>
        <v/>
      </c>
      <c r="O65" s="494" t="s">
        <v>1375</v>
      </c>
      <c r="P65" s="555" t="str">
        <f t="shared" ca="1" si="2"/>
        <v/>
      </c>
      <c r="Q65" s="494" t="s">
        <v>1376</v>
      </c>
      <c r="R65" s="494" t="str">
        <f t="shared" si="8"/>
        <v>I65</v>
      </c>
      <c r="S65" s="494" t="s">
        <v>1377</v>
      </c>
      <c r="T65" s="494">
        <v>5</v>
      </c>
      <c r="U65" s="556" t="str">
        <f t="shared" ca="1" si="3"/>
        <v/>
      </c>
      <c r="V65" s="494">
        <v>6</v>
      </c>
      <c r="W65" s="556" t="str">
        <f t="shared" ca="1" si="4"/>
        <v/>
      </c>
      <c r="X65" s="494" t="s">
        <v>1378</v>
      </c>
      <c r="Y65" s="547" t="str">
        <f t="shared" ca="1" si="5"/>
        <v/>
      </c>
      <c r="Z65" s="494" t="s">
        <v>1379</v>
      </c>
      <c r="AA65" s="547" t="str">
        <f t="shared" ca="1" si="6"/>
        <v/>
      </c>
      <c r="AB65" s="494" t="s">
        <v>1380</v>
      </c>
      <c r="AC65" s="547" t="str">
        <f t="shared" ca="1" si="7"/>
        <v/>
      </c>
      <c r="AD65" s="557"/>
      <c r="AE65" s="958"/>
    </row>
    <row r="66" spans="1:31" ht="15" customHeight="1">
      <c r="A66" s="957">
        <v>43</v>
      </c>
      <c r="B66" s="566" t="s">
        <v>1007</v>
      </c>
      <c r="C66" s="567" t="s">
        <v>1369</v>
      </c>
      <c r="D66" s="958" t="s">
        <v>1370</v>
      </c>
      <c r="E66" s="959" t="s">
        <v>755</v>
      </c>
      <c r="F66" s="558" t="s">
        <v>1399</v>
      </c>
      <c r="G66" s="558">
        <v>312</v>
      </c>
      <c r="H66" s="558" t="s">
        <v>1076</v>
      </c>
      <c r="I66" s="559" t="s">
        <v>1078</v>
      </c>
      <c r="J66" s="567" t="s">
        <v>1372</v>
      </c>
      <c r="K66" s="960" t="s">
        <v>1373</v>
      </c>
      <c r="L66" s="555" t="str">
        <f t="shared" ref="L66:L129" ca="1" si="9">IF(AND(INDIRECT(CONCATENATE($J66,$K66,5))=$B66,ISNUMBER(SEARCH("Please",INDIRECT(CONCATENATE($J66,$K66,2)),1))=FALSE),SUMPRODUCT(MID(0&amp;INDIRECT(CONCATENATE($J66,$K66,2)), LARGE(INDEX(ISNUMBER(--MID(INDIRECT(CONCATENATE($J66,$K66,2)), ROW(INDIRECT("1:"&amp;LEN(INDIRECT(CONCATENATE($J66,$K66,2))))),1))*ROW(INDIRECT("1:"&amp;LEN(INDIRECT(CONCATENATE($J66,$K66,2))))),0), ROW(INDIRECT("1:"&amp;LEN(INDIRECT(CONCATENATE($J66,$K66,2))))))+1,1)*10^ROW(INDIRECT("1:"&amp;LEN(INDIRECT(CONCATENATE($J66,$K66,2)))))/10),"")</f>
        <v/>
      </c>
      <c r="M66" s="494" t="s">
        <v>1374</v>
      </c>
      <c r="N66" s="555" t="str">
        <f t="shared" ref="N66:N129" ca="1" si="10">IF(AND(INDIRECT(CONCATENATE($J66,$K66,5))=$B66,ISNUMBER(SEARCH("Select",INDIRECT(CONCATENATE($J66,$M66,6)),1))=FALSE),INDIRECT(CONCATENATE($J66,$M66,6)),"")</f>
        <v/>
      </c>
      <c r="O66" s="494" t="s">
        <v>1375</v>
      </c>
      <c r="P66" s="555" t="str">
        <f t="shared" ref="P66:P129" ca="1" si="11">IF(AND(INDIRECT(CONCATENATE($J66,$K66,5))=$B66,ISNUMBER(SEARCH("Select",INDIRECT(CONCATENATE($J66,$O66,6)),1))=FALSE),INDIRECT(CONCATENATE($J66,$O66,6)),"")</f>
        <v/>
      </c>
      <c r="Q66" s="494" t="s">
        <v>1376</v>
      </c>
      <c r="R66" s="494" t="str">
        <f t="shared" si="8"/>
        <v>I66</v>
      </c>
      <c r="S66" s="494" t="s">
        <v>1377</v>
      </c>
      <c r="T66" s="494">
        <v>5</v>
      </c>
      <c r="U66" s="556" t="str">
        <f t="shared" ref="U66:U129" ca="1" si="12">IF(AND($B66=INDIRECT(CONCATENATE($J66,$K66,5)),ISBLANK(INDEX(INDIRECT(CONCATENATE($J66,$Q66)),MATCH(INDIRECT($R66),INDIRECT(CONCATENATE($J66,$S66)),0),T66))=FALSE),INDEX(INDIRECT(CONCATENATE($J66,$Q66)),MATCH(INDIRECT($R66),INDIRECT(CONCATENATE($J66,$S66)),0),T66),"")</f>
        <v/>
      </c>
      <c r="V66" s="494">
        <v>6</v>
      </c>
      <c r="W66" s="556" t="str">
        <f t="shared" ref="W66:W129" ca="1" si="13">IF(AND($B66=INDIRECT(CONCATENATE($J66,$K66,5)),ISBLANK(INDEX(INDIRECT(CONCATENATE($J66,$Q66)),MATCH(INDIRECT($R66),INDIRECT(CONCATENATE($J66,$S66)),0),V66))=FALSE),INDEX(INDIRECT(CONCATENATE($J66,$Q66)),MATCH(INDIRECT($R66),INDIRECT(CONCATENATE($J66,$S66)),0),V66),"")</f>
        <v/>
      </c>
      <c r="X66" s="494" t="s">
        <v>1378</v>
      </c>
      <c r="Y66" s="547" t="str">
        <f t="shared" ref="Y66:Y129" ca="1" si="14">IF(AND(INDIRECT(CONCATENATE($J66,$K66,5))=$B66,ISBLANK(INDIRECT(CONCATENATE($J66,X66)))=FALSE),INDIRECT(CONCATENATE($J66,X66)),"")</f>
        <v/>
      </c>
      <c r="Z66" s="494" t="s">
        <v>1379</v>
      </c>
      <c r="AA66" s="547" t="str">
        <f t="shared" ref="AA66:AA129" ca="1" si="15">IF(AND(INDIRECT(CONCATENATE($J66,$K66,"5"))=$B66,ISBLANK(INDIRECT(CONCATENATE($J66,Z66)))=FALSE),INDIRECT(CONCATENATE($J66,Z66)),"")</f>
        <v/>
      </c>
      <c r="AB66" s="494" t="s">
        <v>1380</v>
      </c>
      <c r="AC66" s="547" t="str">
        <f t="shared" ref="AC66:AC129" ca="1" si="16">IF(AND(INDIRECT(CONCATENATE($J66,$K66,"5"))=$B66,ISBLANK(INDIRECT(CONCATENATE($J66,AB66)))=FALSE),INDIRECT(CONCATENATE($J66,AB66)),"")</f>
        <v/>
      </c>
      <c r="AD66" s="557"/>
      <c r="AE66" s="958"/>
    </row>
    <row r="67" spans="1:31" ht="15" customHeight="1">
      <c r="A67" s="957">
        <v>43</v>
      </c>
      <c r="B67" s="566" t="s">
        <v>1007</v>
      </c>
      <c r="C67" s="567" t="s">
        <v>1369</v>
      </c>
      <c r="D67" s="958" t="s">
        <v>1370</v>
      </c>
      <c r="E67" s="959" t="s">
        <v>755</v>
      </c>
      <c r="F67" s="558" t="s">
        <v>1399</v>
      </c>
      <c r="G67" s="558">
        <v>312</v>
      </c>
      <c r="H67" s="558" t="s">
        <v>1076</v>
      </c>
      <c r="I67" s="559" t="s">
        <v>1400</v>
      </c>
      <c r="J67" s="567" t="s">
        <v>1372</v>
      </c>
      <c r="K67" s="960" t="s">
        <v>1373</v>
      </c>
      <c r="L67" s="555" t="str">
        <f t="shared" ca="1" si="9"/>
        <v/>
      </c>
      <c r="M67" s="494" t="s">
        <v>1374</v>
      </c>
      <c r="N67" s="555" t="str">
        <f t="shared" ca="1" si="10"/>
        <v/>
      </c>
      <c r="O67" s="494" t="s">
        <v>1375</v>
      </c>
      <c r="P67" s="555" t="str">
        <f t="shared" ca="1" si="11"/>
        <v/>
      </c>
      <c r="Q67" s="494" t="s">
        <v>1376</v>
      </c>
      <c r="R67" s="494" t="str">
        <f t="shared" ref="R67:R130" si="17">CONCATENATE("I",ROW(J67))</f>
        <v>I67</v>
      </c>
      <c r="S67" s="494" t="s">
        <v>1377</v>
      </c>
      <c r="T67" s="494">
        <v>5</v>
      </c>
      <c r="U67" s="556" t="str">
        <f t="shared" ca="1" si="12"/>
        <v/>
      </c>
      <c r="V67" s="494">
        <v>6</v>
      </c>
      <c r="W67" s="556" t="str">
        <f t="shared" ca="1" si="13"/>
        <v/>
      </c>
      <c r="X67" s="494" t="s">
        <v>1378</v>
      </c>
      <c r="Y67" s="547" t="str">
        <f t="shared" ca="1" si="14"/>
        <v/>
      </c>
      <c r="Z67" s="494" t="s">
        <v>1379</v>
      </c>
      <c r="AA67" s="547" t="str">
        <f t="shared" ca="1" si="15"/>
        <v/>
      </c>
      <c r="AB67" s="494" t="s">
        <v>1380</v>
      </c>
      <c r="AC67" s="547" t="str">
        <f t="shared" ca="1" si="16"/>
        <v/>
      </c>
      <c r="AD67" s="557"/>
      <c r="AE67" s="958"/>
    </row>
    <row r="68" spans="1:31" ht="15" customHeight="1">
      <c r="A68" s="957">
        <v>43</v>
      </c>
      <c r="B68" s="566" t="s">
        <v>1007</v>
      </c>
      <c r="C68" s="567" t="s">
        <v>1369</v>
      </c>
      <c r="D68" s="958" t="s">
        <v>1370</v>
      </c>
      <c r="E68" s="959" t="s">
        <v>755</v>
      </c>
      <c r="F68" s="558" t="s">
        <v>1399</v>
      </c>
      <c r="G68" s="558">
        <v>303</v>
      </c>
      <c r="H68" s="558" t="s">
        <v>1060</v>
      </c>
      <c r="I68" s="559" t="s">
        <v>783</v>
      </c>
      <c r="J68" s="567" t="s">
        <v>1372</v>
      </c>
      <c r="K68" s="960" t="s">
        <v>1373</v>
      </c>
      <c r="L68" s="555" t="str">
        <f t="shared" ca="1" si="9"/>
        <v/>
      </c>
      <c r="M68" s="494" t="s">
        <v>1374</v>
      </c>
      <c r="N68" s="555" t="str">
        <f t="shared" ca="1" si="10"/>
        <v/>
      </c>
      <c r="O68" s="494" t="s">
        <v>1375</v>
      </c>
      <c r="P68" s="555" t="str">
        <f t="shared" ca="1" si="11"/>
        <v/>
      </c>
      <c r="Q68" s="494" t="s">
        <v>1376</v>
      </c>
      <c r="R68" s="494" t="str">
        <f t="shared" si="17"/>
        <v>I68</v>
      </c>
      <c r="S68" s="494" t="s">
        <v>1377</v>
      </c>
      <c r="T68" s="494">
        <v>5</v>
      </c>
      <c r="U68" s="556" t="str">
        <f t="shared" ca="1" si="12"/>
        <v/>
      </c>
      <c r="V68" s="494">
        <v>6</v>
      </c>
      <c r="W68" s="556" t="str">
        <f t="shared" ca="1" si="13"/>
        <v/>
      </c>
      <c r="X68" s="494" t="s">
        <v>1378</v>
      </c>
      <c r="Y68" s="547" t="str">
        <f t="shared" ca="1" si="14"/>
        <v/>
      </c>
      <c r="Z68" s="494" t="s">
        <v>1379</v>
      </c>
      <c r="AA68" s="547" t="str">
        <f t="shared" ca="1" si="15"/>
        <v/>
      </c>
      <c r="AB68" s="494" t="s">
        <v>1380</v>
      </c>
      <c r="AC68" s="547" t="str">
        <f t="shared" ca="1" si="16"/>
        <v/>
      </c>
      <c r="AD68" s="557"/>
      <c r="AE68" s="958"/>
    </row>
    <row r="69" spans="1:31" ht="15" customHeight="1">
      <c r="A69" s="957">
        <v>43</v>
      </c>
      <c r="B69" s="566" t="s">
        <v>1007</v>
      </c>
      <c r="C69" s="567" t="s">
        <v>1369</v>
      </c>
      <c r="D69" s="958" t="s">
        <v>1370</v>
      </c>
      <c r="E69" s="959" t="s">
        <v>755</v>
      </c>
      <c r="F69" s="558" t="s">
        <v>1399</v>
      </c>
      <c r="G69" s="558">
        <v>303</v>
      </c>
      <c r="H69" s="558" t="s">
        <v>1060</v>
      </c>
      <c r="I69" s="559" t="s">
        <v>784</v>
      </c>
      <c r="J69" s="567" t="s">
        <v>1372</v>
      </c>
      <c r="K69" s="960" t="s">
        <v>1373</v>
      </c>
      <c r="L69" s="555" t="str">
        <f t="shared" ca="1" si="9"/>
        <v/>
      </c>
      <c r="M69" s="494" t="s">
        <v>1374</v>
      </c>
      <c r="N69" s="555" t="str">
        <f t="shared" ca="1" si="10"/>
        <v/>
      </c>
      <c r="O69" s="494" t="s">
        <v>1375</v>
      </c>
      <c r="P69" s="555" t="str">
        <f t="shared" ca="1" si="11"/>
        <v/>
      </c>
      <c r="Q69" s="494" t="s">
        <v>1376</v>
      </c>
      <c r="R69" s="494" t="str">
        <f t="shared" si="17"/>
        <v>I69</v>
      </c>
      <c r="S69" s="494" t="s">
        <v>1377</v>
      </c>
      <c r="T69" s="494">
        <v>5</v>
      </c>
      <c r="U69" s="556" t="str">
        <f t="shared" ca="1" si="12"/>
        <v/>
      </c>
      <c r="V69" s="494">
        <v>6</v>
      </c>
      <c r="W69" s="556" t="str">
        <f t="shared" ca="1" si="13"/>
        <v/>
      </c>
      <c r="X69" s="494" t="s">
        <v>1378</v>
      </c>
      <c r="Y69" s="547" t="str">
        <f t="shared" ca="1" si="14"/>
        <v/>
      </c>
      <c r="Z69" s="494" t="s">
        <v>1379</v>
      </c>
      <c r="AA69" s="547" t="str">
        <f t="shared" ca="1" si="15"/>
        <v/>
      </c>
      <c r="AB69" s="494" t="s">
        <v>1380</v>
      </c>
      <c r="AC69" s="547" t="str">
        <f t="shared" ca="1" si="16"/>
        <v/>
      </c>
      <c r="AD69" s="557"/>
      <c r="AE69" s="958"/>
    </row>
    <row r="70" spans="1:31" ht="15" customHeight="1">
      <c r="A70" s="957">
        <v>43</v>
      </c>
      <c r="B70" s="566" t="s">
        <v>1007</v>
      </c>
      <c r="C70" s="567" t="s">
        <v>1369</v>
      </c>
      <c r="D70" s="958" t="s">
        <v>1370</v>
      </c>
      <c r="E70" s="959" t="s">
        <v>755</v>
      </c>
      <c r="F70" s="558" t="s">
        <v>1399</v>
      </c>
      <c r="G70" s="558">
        <v>304</v>
      </c>
      <c r="H70" s="558" t="s">
        <v>1062</v>
      </c>
      <c r="I70" s="559" t="s">
        <v>515</v>
      </c>
      <c r="J70" s="567" t="s">
        <v>1372</v>
      </c>
      <c r="K70" s="960" t="s">
        <v>1373</v>
      </c>
      <c r="L70" s="555" t="str">
        <f t="shared" ca="1" si="9"/>
        <v/>
      </c>
      <c r="M70" s="494" t="s">
        <v>1374</v>
      </c>
      <c r="N70" s="555" t="str">
        <f t="shared" ca="1" si="10"/>
        <v/>
      </c>
      <c r="O70" s="494" t="s">
        <v>1375</v>
      </c>
      <c r="P70" s="555" t="str">
        <f t="shared" ca="1" si="11"/>
        <v/>
      </c>
      <c r="Q70" s="494" t="s">
        <v>1376</v>
      </c>
      <c r="R70" s="494" t="str">
        <f t="shared" si="17"/>
        <v>I70</v>
      </c>
      <c r="S70" s="494" t="s">
        <v>1377</v>
      </c>
      <c r="T70" s="494">
        <v>5</v>
      </c>
      <c r="U70" s="556" t="str">
        <f t="shared" ca="1" si="12"/>
        <v/>
      </c>
      <c r="V70" s="494">
        <v>6</v>
      </c>
      <c r="W70" s="556" t="str">
        <f t="shared" ca="1" si="13"/>
        <v/>
      </c>
      <c r="X70" s="494" t="s">
        <v>1378</v>
      </c>
      <c r="Y70" s="547" t="str">
        <f t="shared" ca="1" si="14"/>
        <v/>
      </c>
      <c r="Z70" s="494" t="s">
        <v>1379</v>
      </c>
      <c r="AA70" s="547" t="str">
        <f t="shared" ca="1" si="15"/>
        <v/>
      </c>
      <c r="AB70" s="494" t="s">
        <v>1380</v>
      </c>
      <c r="AC70" s="547" t="str">
        <f t="shared" ca="1" si="16"/>
        <v/>
      </c>
      <c r="AD70" s="557"/>
      <c r="AE70" s="958"/>
    </row>
    <row r="71" spans="1:31" ht="15" customHeight="1">
      <c r="A71" s="957">
        <v>43</v>
      </c>
      <c r="B71" s="566" t="s">
        <v>1007</v>
      </c>
      <c r="C71" s="567" t="s">
        <v>1369</v>
      </c>
      <c r="D71" s="958" t="s">
        <v>1370</v>
      </c>
      <c r="E71" s="959" t="s">
        <v>755</v>
      </c>
      <c r="F71" s="558" t="s">
        <v>1399</v>
      </c>
      <c r="G71" s="558">
        <v>305</v>
      </c>
      <c r="H71" s="558" t="s">
        <v>1063</v>
      </c>
      <c r="I71" s="559" t="s">
        <v>409</v>
      </c>
      <c r="J71" s="567" t="s">
        <v>1372</v>
      </c>
      <c r="K71" s="960" t="s">
        <v>1373</v>
      </c>
      <c r="L71" s="555" t="str">
        <f t="shared" ca="1" si="9"/>
        <v/>
      </c>
      <c r="M71" s="494" t="s">
        <v>1374</v>
      </c>
      <c r="N71" s="555" t="str">
        <f t="shared" ca="1" si="10"/>
        <v/>
      </c>
      <c r="O71" s="494" t="s">
        <v>1375</v>
      </c>
      <c r="P71" s="555" t="str">
        <f t="shared" ca="1" si="11"/>
        <v/>
      </c>
      <c r="Q71" s="494" t="s">
        <v>1376</v>
      </c>
      <c r="R71" s="494" t="str">
        <f t="shared" si="17"/>
        <v>I71</v>
      </c>
      <c r="S71" s="494" t="s">
        <v>1377</v>
      </c>
      <c r="T71" s="494">
        <v>5</v>
      </c>
      <c r="U71" s="556" t="str">
        <f t="shared" ca="1" si="12"/>
        <v/>
      </c>
      <c r="V71" s="494">
        <v>6</v>
      </c>
      <c r="W71" s="556" t="str">
        <f t="shared" ca="1" si="13"/>
        <v/>
      </c>
      <c r="X71" s="494" t="s">
        <v>1378</v>
      </c>
      <c r="Y71" s="547" t="str">
        <f t="shared" ca="1" si="14"/>
        <v/>
      </c>
      <c r="Z71" s="494" t="s">
        <v>1379</v>
      </c>
      <c r="AA71" s="547" t="str">
        <f t="shared" ca="1" si="15"/>
        <v/>
      </c>
      <c r="AB71" s="494" t="s">
        <v>1380</v>
      </c>
      <c r="AC71" s="547" t="str">
        <f t="shared" ca="1" si="16"/>
        <v/>
      </c>
      <c r="AD71" s="557"/>
      <c r="AE71" s="958"/>
    </row>
    <row r="72" spans="1:31" ht="15" customHeight="1">
      <c r="A72" s="957">
        <v>43</v>
      </c>
      <c r="B72" s="566" t="s">
        <v>1007</v>
      </c>
      <c r="C72" s="567" t="s">
        <v>1369</v>
      </c>
      <c r="D72" s="958" t="s">
        <v>1370</v>
      </c>
      <c r="E72" s="959" t="s">
        <v>755</v>
      </c>
      <c r="F72" s="558" t="s">
        <v>1399</v>
      </c>
      <c r="G72" s="558">
        <v>306</v>
      </c>
      <c r="H72" s="558" t="s">
        <v>1064</v>
      </c>
      <c r="I72" s="559" t="s">
        <v>336</v>
      </c>
      <c r="J72" s="567" t="s">
        <v>1372</v>
      </c>
      <c r="K72" s="960" t="s">
        <v>1373</v>
      </c>
      <c r="L72" s="555" t="str">
        <f t="shared" ca="1" si="9"/>
        <v/>
      </c>
      <c r="M72" s="494" t="s">
        <v>1374</v>
      </c>
      <c r="N72" s="555" t="str">
        <f t="shared" ca="1" si="10"/>
        <v/>
      </c>
      <c r="O72" s="494" t="s">
        <v>1375</v>
      </c>
      <c r="P72" s="555" t="str">
        <f t="shared" ca="1" si="11"/>
        <v/>
      </c>
      <c r="Q72" s="494" t="s">
        <v>1376</v>
      </c>
      <c r="R72" s="494" t="str">
        <f t="shared" si="17"/>
        <v>I72</v>
      </c>
      <c r="S72" s="494" t="s">
        <v>1377</v>
      </c>
      <c r="T72" s="494">
        <v>5</v>
      </c>
      <c r="U72" s="556" t="str">
        <f t="shared" ca="1" si="12"/>
        <v/>
      </c>
      <c r="V72" s="494">
        <v>6</v>
      </c>
      <c r="W72" s="556" t="str">
        <f t="shared" ca="1" si="13"/>
        <v/>
      </c>
      <c r="X72" s="494" t="s">
        <v>1378</v>
      </c>
      <c r="Y72" s="547" t="str">
        <f t="shared" ca="1" si="14"/>
        <v/>
      </c>
      <c r="Z72" s="494" t="s">
        <v>1379</v>
      </c>
      <c r="AA72" s="547" t="str">
        <f t="shared" ca="1" si="15"/>
        <v/>
      </c>
      <c r="AB72" s="494" t="s">
        <v>1380</v>
      </c>
      <c r="AC72" s="547" t="str">
        <f t="shared" ca="1" si="16"/>
        <v/>
      </c>
      <c r="AD72" s="557"/>
      <c r="AE72" s="958"/>
    </row>
    <row r="73" spans="1:31" ht="15" customHeight="1">
      <c r="A73" s="957">
        <v>43</v>
      </c>
      <c r="B73" s="566" t="s">
        <v>1007</v>
      </c>
      <c r="C73" s="567" t="s">
        <v>1369</v>
      </c>
      <c r="D73" s="958" t="s">
        <v>1370</v>
      </c>
      <c r="E73" s="959" t="s">
        <v>755</v>
      </c>
      <c r="F73" s="558" t="s">
        <v>1399</v>
      </c>
      <c r="G73" s="558">
        <v>307</v>
      </c>
      <c r="H73" s="558" t="s">
        <v>1065</v>
      </c>
      <c r="I73" s="559" t="s">
        <v>1401</v>
      </c>
      <c r="J73" s="567" t="s">
        <v>1372</v>
      </c>
      <c r="K73" s="960" t="s">
        <v>1373</v>
      </c>
      <c r="L73" s="555" t="str">
        <f t="shared" ca="1" si="9"/>
        <v/>
      </c>
      <c r="M73" s="494" t="s">
        <v>1374</v>
      </c>
      <c r="N73" s="555" t="str">
        <f t="shared" ca="1" si="10"/>
        <v/>
      </c>
      <c r="O73" s="494" t="s">
        <v>1375</v>
      </c>
      <c r="P73" s="555" t="str">
        <f t="shared" ca="1" si="11"/>
        <v/>
      </c>
      <c r="Q73" s="494" t="s">
        <v>1376</v>
      </c>
      <c r="R73" s="494" t="str">
        <f t="shared" si="17"/>
        <v>I73</v>
      </c>
      <c r="S73" s="494" t="s">
        <v>1377</v>
      </c>
      <c r="T73" s="494">
        <v>5</v>
      </c>
      <c r="U73" s="556" t="str">
        <f t="shared" ca="1" si="12"/>
        <v/>
      </c>
      <c r="V73" s="494">
        <v>6</v>
      </c>
      <c r="W73" s="556" t="str">
        <f t="shared" ca="1" si="13"/>
        <v/>
      </c>
      <c r="X73" s="494" t="s">
        <v>1378</v>
      </c>
      <c r="Y73" s="547" t="str">
        <f t="shared" ca="1" si="14"/>
        <v/>
      </c>
      <c r="Z73" s="494" t="s">
        <v>1379</v>
      </c>
      <c r="AA73" s="547" t="str">
        <f t="shared" ca="1" si="15"/>
        <v/>
      </c>
      <c r="AB73" s="494" t="s">
        <v>1380</v>
      </c>
      <c r="AC73" s="547" t="str">
        <f t="shared" ca="1" si="16"/>
        <v/>
      </c>
      <c r="AD73" s="557"/>
      <c r="AE73" s="958"/>
    </row>
    <row r="74" spans="1:31" ht="15" customHeight="1">
      <c r="A74" s="957">
        <v>43</v>
      </c>
      <c r="B74" s="566" t="s">
        <v>1007</v>
      </c>
      <c r="C74" s="567" t="s">
        <v>1369</v>
      </c>
      <c r="D74" s="958" t="s">
        <v>1370</v>
      </c>
      <c r="E74" s="959" t="s">
        <v>755</v>
      </c>
      <c r="F74" s="558" t="s">
        <v>1399</v>
      </c>
      <c r="G74" s="558">
        <v>308</v>
      </c>
      <c r="H74" s="558" t="s">
        <v>1066</v>
      </c>
      <c r="I74" s="559" t="s">
        <v>1068</v>
      </c>
      <c r="J74" s="567" t="s">
        <v>1372</v>
      </c>
      <c r="K74" s="960" t="s">
        <v>1373</v>
      </c>
      <c r="L74" s="555" t="str">
        <f t="shared" ca="1" si="9"/>
        <v/>
      </c>
      <c r="M74" s="494" t="s">
        <v>1374</v>
      </c>
      <c r="N74" s="555" t="str">
        <f t="shared" ca="1" si="10"/>
        <v/>
      </c>
      <c r="O74" s="494" t="s">
        <v>1375</v>
      </c>
      <c r="P74" s="555" t="str">
        <f t="shared" ca="1" si="11"/>
        <v/>
      </c>
      <c r="Q74" s="494" t="s">
        <v>1376</v>
      </c>
      <c r="R74" s="494" t="str">
        <f t="shared" si="17"/>
        <v>I74</v>
      </c>
      <c r="S74" s="494" t="s">
        <v>1377</v>
      </c>
      <c r="T74" s="494">
        <v>5</v>
      </c>
      <c r="U74" s="556" t="str">
        <f t="shared" ca="1" si="12"/>
        <v/>
      </c>
      <c r="V74" s="494">
        <v>6</v>
      </c>
      <c r="W74" s="556" t="str">
        <f t="shared" ca="1" si="13"/>
        <v/>
      </c>
      <c r="X74" s="494" t="s">
        <v>1378</v>
      </c>
      <c r="Y74" s="547" t="str">
        <f t="shared" ca="1" si="14"/>
        <v/>
      </c>
      <c r="Z74" s="494" t="s">
        <v>1379</v>
      </c>
      <c r="AA74" s="547" t="str">
        <f t="shared" ca="1" si="15"/>
        <v/>
      </c>
      <c r="AB74" s="494" t="s">
        <v>1380</v>
      </c>
      <c r="AC74" s="547" t="str">
        <f t="shared" ca="1" si="16"/>
        <v/>
      </c>
      <c r="AD74" s="557"/>
      <c r="AE74" s="958"/>
    </row>
    <row r="75" spans="1:31" ht="15" customHeight="1">
      <c r="A75" s="957">
        <v>43</v>
      </c>
      <c r="B75" s="566" t="s">
        <v>1007</v>
      </c>
      <c r="C75" s="567" t="s">
        <v>1369</v>
      </c>
      <c r="D75" s="958" t="s">
        <v>1370</v>
      </c>
      <c r="E75" s="959" t="s">
        <v>755</v>
      </c>
      <c r="F75" s="558" t="s">
        <v>1399</v>
      </c>
      <c r="G75" s="558">
        <v>308</v>
      </c>
      <c r="H75" s="558" t="s">
        <v>1066</v>
      </c>
      <c r="I75" s="559" t="s">
        <v>1402</v>
      </c>
      <c r="J75" s="567" t="s">
        <v>1372</v>
      </c>
      <c r="K75" s="960" t="s">
        <v>1373</v>
      </c>
      <c r="L75" s="555" t="str">
        <f t="shared" ca="1" si="9"/>
        <v/>
      </c>
      <c r="M75" s="494" t="s">
        <v>1374</v>
      </c>
      <c r="N75" s="555" t="str">
        <f t="shared" ca="1" si="10"/>
        <v/>
      </c>
      <c r="O75" s="494" t="s">
        <v>1375</v>
      </c>
      <c r="P75" s="555" t="str">
        <f t="shared" ca="1" si="11"/>
        <v/>
      </c>
      <c r="Q75" s="494" t="s">
        <v>1376</v>
      </c>
      <c r="R75" s="494" t="str">
        <f t="shared" si="17"/>
        <v>I75</v>
      </c>
      <c r="S75" s="494" t="s">
        <v>1377</v>
      </c>
      <c r="T75" s="494">
        <v>5</v>
      </c>
      <c r="U75" s="556" t="str">
        <f t="shared" ca="1" si="12"/>
        <v/>
      </c>
      <c r="V75" s="494">
        <v>6</v>
      </c>
      <c r="W75" s="556" t="str">
        <f t="shared" ca="1" si="13"/>
        <v/>
      </c>
      <c r="X75" s="494" t="s">
        <v>1378</v>
      </c>
      <c r="Y75" s="547" t="str">
        <f t="shared" ca="1" si="14"/>
        <v/>
      </c>
      <c r="Z75" s="494" t="s">
        <v>1379</v>
      </c>
      <c r="AA75" s="547" t="str">
        <f t="shared" ca="1" si="15"/>
        <v/>
      </c>
      <c r="AB75" s="494" t="s">
        <v>1380</v>
      </c>
      <c r="AC75" s="547" t="str">
        <f t="shared" ca="1" si="16"/>
        <v/>
      </c>
      <c r="AD75" s="557"/>
      <c r="AE75" s="958"/>
    </row>
    <row r="76" spans="1:31" ht="15" customHeight="1">
      <c r="A76" s="957">
        <v>43</v>
      </c>
      <c r="B76" s="566" t="s">
        <v>1007</v>
      </c>
      <c r="C76" s="567" t="s">
        <v>1369</v>
      </c>
      <c r="D76" s="958" t="s">
        <v>1370</v>
      </c>
      <c r="E76" s="959" t="s">
        <v>755</v>
      </c>
      <c r="F76" s="558" t="s">
        <v>1399</v>
      </c>
      <c r="G76" s="558">
        <v>309</v>
      </c>
      <c r="H76" s="558" t="s">
        <v>1069</v>
      </c>
      <c r="I76" s="559" t="s">
        <v>1070</v>
      </c>
      <c r="J76" s="567" t="s">
        <v>1372</v>
      </c>
      <c r="K76" s="960" t="s">
        <v>1373</v>
      </c>
      <c r="L76" s="555" t="str">
        <f t="shared" ca="1" si="9"/>
        <v/>
      </c>
      <c r="M76" s="494" t="s">
        <v>1374</v>
      </c>
      <c r="N76" s="555" t="str">
        <f t="shared" ca="1" si="10"/>
        <v/>
      </c>
      <c r="O76" s="494" t="s">
        <v>1375</v>
      </c>
      <c r="P76" s="555" t="str">
        <f t="shared" ca="1" si="11"/>
        <v/>
      </c>
      <c r="Q76" s="494" t="s">
        <v>1376</v>
      </c>
      <c r="R76" s="494" t="str">
        <f t="shared" si="17"/>
        <v>I76</v>
      </c>
      <c r="S76" s="494" t="s">
        <v>1377</v>
      </c>
      <c r="T76" s="494">
        <v>5</v>
      </c>
      <c r="U76" s="556" t="str">
        <f t="shared" ca="1" si="12"/>
        <v/>
      </c>
      <c r="V76" s="494">
        <v>6</v>
      </c>
      <c r="W76" s="556" t="str">
        <f t="shared" ca="1" si="13"/>
        <v/>
      </c>
      <c r="X76" s="494" t="s">
        <v>1378</v>
      </c>
      <c r="Y76" s="547" t="str">
        <f t="shared" ca="1" si="14"/>
        <v/>
      </c>
      <c r="Z76" s="494" t="s">
        <v>1379</v>
      </c>
      <c r="AA76" s="547" t="str">
        <f t="shared" ca="1" si="15"/>
        <v/>
      </c>
      <c r="AB76" s="494" t="s">
        <v>1380</v>
      </c>
      <c r="AC76" s="547" t="str">
        <f t="shared" ca="1" si="16"/>
        <v/>
      </c>
      <c r="AD76" s="557"/>
      <c r="AE76" s="958"/>
    </row>
    <row r="77" spans="1:31" ht="15" customHeight="1">
      <c r="A77" s="957">
        <v>43</v>
      </c>
      <c r="B77" s="566" t="s">
        <v>1007</v>
      </c>
      <c r="C77" s="567" t="s">
        <v>1369</v>
      </c>
      <c r="D77" s="958" t="s">
        <v>1370</v>
      </c>
      <c r="E77" s="959" t="s">
        <v>755</v>
      </c>
      <c r="F77" s="558" t="s">
        <v>1399</v>
      </c>
      <c r="G77" s="558">
        <v>309</v>
      </c>
      <c r="H77" s="558" t="s">
        <v>1069</v>
      </c>
      <c r="I77" s="559" t="s">
        <v>1071</v>
      </c>
      <c r="J77" s="567" t="s">
        <v>1372</v>
      </c>
      <c r="K77" s="960" t="s">
        <v>1373</v>
      </c>
      <c r="L77" s="555" t="str">
        <f t="shared" ca="1" si="9"/>
        <v/>
      </c>
      <c r="M77" s="494" t="s">
        <v>1374</v>
      </c>
      <c r="N77" s="555" t="str">
        <f t="shared" ca="1" si="10"/>
        <v/>
      </c>
      <c r="O77" s="494" t="s">
        <v>1375</v>
      </c>
      <c r="P77" s="555" t="str">
        <f t="shared" ca="1" si="11"/>
        <v/>
      </c>
      <c r="Q77" s="494" t="s">
        <v>1376</v>
      </c>
      <c r="R77" s="494" t="str">
        <f t="shared" si="17"/>
        <v>I77</v>
      </c>
      <c r="S77" s="494" t="s">
        <v>1377</v>
      </c>
      <c r="T77" s="494">
        <v>5</v>
      </c>
      <c r="U77" s="556" t="str">
        <f t="shared" ca="1" si="12"/>
        <v/>
      </c>
      <c r="V77" s="494">
        <v>6</v>
      </c>
      <c r="W77" s="556" t="str">
        <f t="shared" ca="1" si="13"/>
        <v/>
      </c>
      <c r="X77" s="494" t="s">
        <v>1378</v>
      </c>
      <c r="Y77" s="547" t="str">
        <f t="shared" ca="1" si="14"/>
        <v/>
      </c>
      <c r="Z77" s="494" t="s">
        <v>1379</v>
      </c>
      <c r="AA77" s="547" t="str">
        <f t="shared" ca="1" si="15"/>
        <v/>
      </c>
      <c r="AB77" s="494" t="s">
        <v>1380</v>
      </c>
      <c r="AC77" s="547" t="str">
        <f t="shared" ca="1" si="16"/>
        <v/>
      </c>
      <c r="AD77" s="557"/>
      <c r="AE77" s="958"/>
    </row>
    <row r="78" spans="1:31" ht="15" customHeight="1">
      <c r="A78" s="957">
        <v>43</v>
      </c>
      <c r="B78" s="566" t="s">
        <v>1007</v>
      </c>
      <c r="C78" s="567" t="s">
        <v>1369</v>
      </c>
      <c r="D78" s="958" t="s">
        <v>1370</v>
      </c>
      <c r="E78" s="959" t="s">
        <v>755</v>
      </c>
      <c r="F78" s="558" t="s">
        <v>1399</v>
      </c>
      <c r="G78" s="558">
        <v>309</v>
      </c>
      <c r="H78" s="558" t="s">
        <v>1069</v>
      </c>
      <c r="I78" s="559" t="s">
        <v>1403</v>
      </c>
      <c r="J78" s="567" t="s">
        <v>1372</v>
      </c>
      <c r="K78" s="960" t="s">
        <v>1373</v>
      </c>
      <c r="L78" s="555" t="str">
        <f t="shared" ca="1" si="9"/>
        <v/>
      </c>
      <c r="M78" s="494" t="s">
        <v>1374</v>
      </c>
      <c r="N78" s="555" t="str">
        <f t="shared" ca="1" si="10"/>
        <v/>
      </c>
      <c r="O78" s="494" t="s">
        <v>1375</v>
      </c>
      <c r="P78" s="555" t="str">
        <f t="shared" ca="1" si="11"/>
        <v/>
      </c>
      <c r="Q78" s="494" t="s">
        <v>1376</v>
      </c>
      <c r="R78" s="494" t="str">
        <f t="shared" si="17"/>
        <v>I78</v>
      </c>
      <c r="S78" s="494" t="s">
        <v>1377</v>
      </c>
      <c r="T78" s="494">
        <v>5</v>
      </c>
      <c r="U78" s="556" t="str">
        <f t="shared" ca="1" si="12"/>
        <v/>
      </c>
      <c r="V78" s="494">
        <v>6</v>
      </c>
      <c r="W78" s="556" t="str">
        <f t="shared" ca="1" si="13"/>
        <v/>
      </c>
      <c r="X78" s="494" t="s">
        <v>1378</v>
      </c>
      <c r="Y78" s="547" t="str">
        <f t="shared" ca="1" si="14"/>
        <v/>
      </c>
      <c r="Z78" s="494" t="s">
        <v>1379</v>
      </c>
      <c r="AA78" s="547" t="str">
        <f t="shared" ca="1" si="15"/>
        <v/>
      </c>
      <c r="AB78" s="494" t="s">
        <v>1380</v>
      </c>
      <c r="AC78" s="547" t="str">
        <f t="shared" ca="1" si="16"/>
        <v/>
      </c>
      <c r="AD78" s="557"/>
      <c r="AE78" s="958"/>
    </row>
    <row r="79" spans="1:31" ht="15" customHeight="1">
      <c r="A79" s="957">
        <v>43</v>
      </c>
      <c r="B79" s="566" t="s">
        <v>1007</v>
      </c>
      <c r="C79" s="567" t="s">
        <v>1369</v>
      </c>
      <c r="D79" s="958" t="s">
        <v>1370</v>
      </c>
      <c r="E79" s="959" t="s">
        <v>755</v>
      </c>
      <c r="F79" s="558" t="s">
        <v>1399</v>
      </c>
      <c r="G79" s="558">
        <v>310</v>
      </c>
      <c r="H79" s="558" t="s">
        <v>1072</v>
      </c>
      <c r="I79" s="559" t="s">
        <v>1073</v>
      </c>
      <c r="J79" s="567" t="s">
        <v>1372</v>
      </c>
      <c r="K79" s="960" t="s">
        <v>1373</v>
      </c>
      <c r="L79" s="555" t="str">
        <f t="shared" ca="1" si="9"/>
        <v/>
      </c>
      <c r="M79" s="494" t="s">
        <v>1374</v>
      </c>
      <c r="N79" s="555" t="str">
        <f t="shared" ca="1" si="10"/>
        <v/>
      </c>
      <c r="O79" s="494" t="s">
        <v>1375</v>
      </c>
      <c r="P79" s="555" t="str">
        <f t="shared" ca="1" si="11"/>
        <v/>
      </c>
      <c r="Q79" s="494" t="s">
        <v>1376</v>
      </c>
      <c r="R79" s="494" t="str">
        <f t="shared" si="17"/>
        <v>I79</v>
      </c>
      <c r="S79" s="494" t="s">
        <v>1377</v>
      </c>
      <c r="T79" s="494">
        <v>5</v>
      </c>
      <c r="U79" s="556" t="str">
        <f t="shared" ca="1" si="12"/>
        <v/>
      </c>
      <c r="V79" s="494">
        <v>6</v>
      </c>
      <c r="W79" s="556" t="str">
        <f t="shared" ca="1" si="13"/>
        <v/>
      </c>
      <c r="X79" s="494" t="s">
        <v>1378</v>
      </c>
      <c r="Y79" s="547" t="str">
        <f t="shared" ca="1" si="14"/>
        <v/>
      </c>
      <c r="Z79" s="494" t="s">
        <v>1379</v>
      </c>
      <c r="AA79" s="547" t="str">
        <f t="shared" ca="1" si="15"/>
        <v/>
      </c>
      <c r="AB79" s="494" t="s">
        <v>1380</v>
      </c>
      <c r="AC79" s="547" t="str">
        <f t="shared" ca="1" si="16"/>
        <v/>
      </c>
      <c r="AD79" s="557"/>
      <c r="AE79" s="958"/>
    </row>
    <row r="80" spans="1:31" ht="15" customHeight="1">
      <c r="A80" s="957">
        <v>43</v>
      </c>
      <c r="B80" s="566" t="s">
        <v>1007</v>
      </c>
      <c r="C80" s="567" t="s">
        <v>1369</v>
      </c>
      <c r="D80" s="958" t="s">
        <v>1370</v>
      </c>
      <c r="E80" s="959" t="s">
        <v>755</v>
      </c>
      <c r="F80" s="558" t="s">
        <v>1399</v>
      </c>
      <c r="G80" s="558">
        <v>310</v>
      </c>
      <c r="H80" s="558" t="s">
        <v>1072</v>
      </c>
      <c r="I80" s="559" t="s">
        <v>376</v>
      </c>
      <c r="J80" s="567" t="s">
        <v>1372</v>
      </c>
      <c r="K80" s="960" t="s">
        <v>1373</v>
      </c>
      <c r="L80" s="555" t="str">
        <f t="shared" ca="1" si="9"/>
        <v/>
      </c>
      <c r="M80" s="494" t="s">
        <v>1374</v>
      </c>
      <c r="N80" s="555" t="str">
        <f t="shared" ca="1" si="10"/>
        <v/>
      </c>
      <c r="O80" s="494" t="s">
        <v>1375</v>
      </c>
      <c r="P80" s="555" t="str">
        <f t="shared" ca="1" si="11"/>
        <v/>
      </c>
      <c r="Q80" s="494" t="s">
        <v>1376</v>
      </c>
      <c r="R80" s="494" t="str">
        <f t="shared" si="17"/>
        <v>I80</v>
      </c>
      <c r="S80" s="494" t="s">
        <v>1377</v>
      </c>
      <c r="T80" s="494">
        <v>5</v>
      </c>
      <c r="U80" s="556" t="str">
        <f t="shared" ca="1" si="12"/>
        <v/>
      </c>
      <c r="V80" s="494">
        <v>6</v>
      </c>
      <c r="W80" s="556" t="str">
        <f t="shared" ca="1" si="13"/>
        <v/>
      </c>
      <c r="X80" s="494" t="s">
        <v>1378</v>
      </c>
      <c r="Y80" s="547" t="str">
        <f t="shared" ca="1" si="14"/>
        <v/>
      </c>
      <c r="Z80" s="494" t="s">
        <v>1379</v>
      </c>
      <c r="AA80" s="547" t="str">
        <f t="shared" ca="1" si="15"/>
        <v/>
      </c>
      <c r="AB80" s="494" t="s">
        <v>1380</v>
      </c>
      <c r="AC80" s="547" t="str">
        <f t="shared" ca="1" si="16"/>
        <v/>
      </c>
      <c r="AD80" s="557"/>
      <c r="AE80" s="958"/>
    </row>
    <row r="81" spans="1:31" ht="15" customHeight="1">
      <c r="A81" s="957">
        <v>43</v>
      </c>
      <c r="B81" s="566" t="s">
        <v>1007</v>
      </c>
      <c r="C81" s="567" t="s">
        <v>1369</v>
      </c>
      <c r="D81" s="958" t="s">
        <v>1370</v>
      </c>
      <c r="E81" s="959" t="s">
        <v>755</v>
      </c>
      <c r="F81" s="558" t="s">
        <v>1399</v>
      </c>
      <c r="G81" s="558">
        <v>310</v>
      </c>
      <c r="H81" s="558" t="s">
        <v>1072</v>
      </c>
      <c r="I81" s="559" t="s">
        <v>378</v>
      </c>
      <c r="J81" s="567" t="s">
        <v>1372</v>
      </c>
      <c r="K81" s="960" t="s">
        <v>1373</v>
      </c>
      <c r="L81" s="555" t="str">
        <f t="shared" ca="1" si="9"/>
        <v/>
      </c>
      <c r="M81" s="494" t="s">
        <v>1374</v>
      </c>
      <c r="N81" s="555" t="str">
        <f t="shared" ca="1" si="10"/>
        <v/>
      </c>
      <c r="O81" s="494" t="s">
        <v>1375</v>
      </c>
      <c r="P81" s="555" t="str">
        <f t="shared" ca="1" si="11"/>
        <v/>
      </c>
      <c r="Q81" s="494" t="s">
        <v>1376</v>
      </c>
      <c r="R81" s="494" t="str">
        <f t="shared" si="17"/>
        <v>I81</v>
      </c>
      <c r="S81" s="494" t="s">
        <v>1377</v>
      </c>
      <c r="T81" s="494">
        <v>5</v>
      </c>
      <c r="U81" s="556" t="str">
        <f t="shared" ca="1" si="12"/>
        <v/>
      </c>
      <c r="V81" s="494">
        <v>6</v>
      </c>
      <c r="W81" s="556" t="str">
        <f t="shared" ca="1" si="13"/>
        <v/>
      </c>
      <c r="X81" s="494" t="s">
        <v>1378</v>
      </c>
      <c r="Y81" s="547" t="str">
        <f t="shared" ca="1" si="14"/>
        <v/>
      </c>
      <c r="Z81" s="494" t="s">
        <v>1379</v>
      </c>
      <c r="AA81" s="547" t="str">
        <f t="shared" ca="1" si="15"/>
        <v/>
      </c>
      <c r="AB81" s="494" t="s">
        <v>1380</v>
      </c>
      <c r="AC81" s="547" t="str">
        <f t="shared" ca="1" si="16"/>
        <v/>
      </c>
      <c r="AD81" s="557"/>
      <c r="AE81" s="958"/>
    </row>
    <row r="82" spans="1:31" ht="15" customHeight="1">
      <c r="A82" s="957">
        <v>43</v>
      </c>
      <c r="B82" s="566" t="s">
        <v>1007</v>
      </c>
      <c r="C82" s="567" t="s">
        <v>1369</v>
      </c>
      <c r="D82" s="958" t="s">
        <v>1370</v>
      </c>
      <c r="E82" s="959" t="s">
        <v>755</v>
      </c>
      <c r="F82" s="558" t="s">
        <v>1399</v>
      </c>
      <c r="G82" s="558">
        <v>310</v>
      </c>
      <c r="H82" s="558" t="s">
        <v>1072</v>
      </c>
      <c r="I82" s="559" t="s">
        <v>1404</v>
      </c>
      <c r="J82" s="567" t="s">
        <v>1372</v>
      </c>
      <c r="K82" s="960" t="s">
        <v>1373</v>
      </c>
      <c r="L82" s="555" t="str">
        <f t="shared" ca="1" si="9"/>
        <v/>
      </c>
      <c r="M82" s="494" t="s">
        <v>1374</v>
      </c>
      <c r="N82" s="555" t="str">
        <f t="shared" ca="1" si="10"/>
        <v/>
      </c>
      <c r="O82" s="494" t="s">
        <v>1375</v>
      </c>
      <c r="P82" s="555" t="str">
        <f t="shared" ca="1" si="11"/>
        <v/>
      </c>
      <c r="Q82" s="494" t="s">
        <v>1376</v>
      </c>
      <c r="R82" s="494" t="str">
        <f t="shared" si="17"/>
        <v>I82</v>
      </c>
      <c r="S82" s="494" t="s">
        <v>1377</v>
      </c>
      <c r="T82" s="494">
        <v>5</v>
      </c>
      <c r="U82" s="556" t="str">
        <f t="shared" ca="1" si="12"/>
        <v/>
      </c>
      <c r="V82" s="494">
        <v>6</v>
      </c>
      <c r="W82" s="556" t="str">
        <f t="shared" ca="1" si="13"/>
        <v/>
      </c>
      <c r="X82" s="494" t="s">
        <v>1378</v>
      </c>
      <c r="Y82" s="547" t="str">
        <f t="shared" ca="1" si="14"/>
        <v/>
      </c>
      <c r="Z82" s="494" t="s">
        <v>1379</v>
      </c>
      <c r="AA82" s="547" t="str">
        <f t="shared" ca="1" si="15"/>
        <v/>
      </c>
      <c r="AB82" s="494" t="s">
        <v>1380</v>
      </c>
      <c r="AC82" s="547" t="str">
        <f t="shared" ca="1" si="16"/>
        <v/>
      </c>
      <c r="AD82" s="557"/>
      <c r="AE82" s="958"/>
    </row>
    <row r="83" spans="1:31" ht="15" customHeight="1">
      <c r="A83" s="957">
        <v>43</v>
      </c>
      <c r="B83" s="566" t="s">
        <v>1007</v>
      </c>
      <c r="C83" s="567" t="s">
        <v>1369</v>
      </c>
      <c r="D83" s="958" t="s">
        <v>1370</v>
      </c>
      <c r="E83" s="959" t="s">
        <v>755</v>
      </c>
      <c r="F83" s="558" t="s">
        <v>1399</v>
      </c>
      <c r="G83" s="558">
        <v>310</v>
      </c>
      <c r="H83" s="558" t="s">
        <v>1072</v>
      </c>
      <c r="I83" s="559" t="s">
        <v>1405</v>
      </c>
      <c r="J83" s="567" t="s">
        <v>1372</v>
      </c>
      <c r="K83" s="960" t="s">
        <v>1373</v>
      </c>
      <c r="L83" s="555" t="str">
        <f t="shared" ca="1" si="9"/>
        <v/>
      </c>
      <c r="M83" s="494" t="s">
        <v>1374</v>
      </c>
      <c r="N83" s="555" t="str">
        <f t="shared" ca="1" si="10"/>
        <v/>
      </c>
      <c r="O83" s="494" t="s">
        <v>1375</v>
      </c>
      <c r="P83" s="555" t="str">
        <f t="shared" ca="1" si="11"/>
        <v/>
      </c>
      <c r="Q83" s="494" t="s">
        <v>1376</v>
      </c>
      <c r="R83" s="494" t="str">
        <f t="shared" si="17"/>
        <v>I83</v>
      </c>
      <c r="S83" s="494" t="s">
        <v>1377</v>
      </c>
      <c r="T83" s="494">
        <v>5</v>
      </c>
      <c r="U83" s="556" t="str">
        <f t="shared" ca="1" si="12"/>
        <v/>
      </c>
      <c r="V83" s="494">
        <v>6</v>
      </c>
      <c r="W83" s="556" t="str">
        <f t="shared" ca="1" si="13"/>
        <v/>
      </c>
      <c r="X83" s="494" t="s">
        <v>1378</v>
      </c>
      <c r="Y83" s="547" t="str">
        <f t="shared" ca="1" si="14"/>
        <v/>
      </c>
      <c r="Z83" s="494" t="s">
        <v>1379</v>
      </c>
      <c r="AA83" s="547" t="str">
        <f t="shared" ca="1" si="15"/>
        <v/>
      </c>
      <c r="AB83" s="494" t="s">
        <v>1380</v>
      </c>
      <c r="AC83" s="547" t="str">
        <f t="shared" ca="1" si="16"/>
        <v/>
      </c>
      <c r="AD83" s="557"/>
      <c r="AE83" s="958"/>
    </row>
    <row r="84" spans="1:31" ht="15" customHeight="1">
      <c r="A84" s="957">
        <v>51</v>
      </c>
      <c r="B84" s="566" t="s">
        <v>1008</v>
      </c>
      <c r="C84" s="567" t="s">
        <v>1369</v>
      </c>
      <c r="D84" s="958" t="s">
        <v>1406</v>
      </c>
      <c r="E84" s="959" t="s">
        <v>659</v>
      </c>
      <c r="F84" s="558" t="s">
        <v>1371</v>
      </c>
      <c r="G84" s="558">
        <v>317</v>
      </c>
      <c r="H84" s="558" t="s">
        <v>1010</v>
      </c>
      <c r="I84" s="559" t="s">
        <v>492</v>
      </c>
      <c r="J84" s="567" t="s">
        <v>1372</v>
      </c>
      <c r="K84" s="960" t="s">
        <v>1373</v>
      </c>
      <c r="L84" s="555" t="str">
        <f t="shared" ca="1" si="9"/>
        <v/>
      </c>
      <c r="M84" s="494" t="s">
        <v>1374</v>
      </c>
      <c r="N84" s="555" t="str">
        <f t="shared" ca="1" si="10"/>
        <v/>
      </c>
      <c r="O84" s="494" t="s">
        <v>1375</v>
      </c>
      <c r="P84" s="555" t="str">
        <f t="shared" ca="1" si="11"/>
        <v/>
      </c>
      <c r="Q84" s="494" t="s">
        <v>1376</v>
      </c>
      <c r="R84" s="494" t="str">
        <f t="shared" si="17"/>
        <v>I84</v>
      </c>
      <c r="S84" s="494" t="s">
        <v>1377</v>
      </c>
      <c r="T84" s="494">
        <v>5</v>
      </c>
      <c r="U84" s="556" t="str">
        <f t="shared" ca="1" si="12"/>
        <v/>
      </c>
      <c r="V84" s="494">
        <v>6</v>
      </c>
      <c r="W84" s="556" t="str">
        <f t="shared" ca="1" si="13"/>
        <v/>
      </c>
      <c r="X84" s="494" t="s">
        <v>1378</v>
      </c>
      <c r="Y84" s="547" t="str">
        <f t="shared" ca="1" si="14"/>
        <v/>
      </c>
      <c r="Z84" s="494" t="s">
        <v>1379</v>
      </c>
      <c r="AA84" s="547" t="str">
        <f t="shared" ca="1" si="15"/>
        <v/>
      </c>
      <c r="AB84" s="494" t="s">
        <v>1380</v>
      </c>
      <c r="AC84" s="547" t="str">
        <f t="shared" ca="1" si="16"/>
        <v/>
      </c>
      <c r="AD84" s="557"/>
      <c r="AE84" s="958"/>
    </row>
    <row r="85" spans="1:31" ht="15" customHeight="1">
      <c r="A85" s="957">
        <v>51</v>
      </c>
      <c r="B85" s="566" t="s">
        <v>1008</v>
      </c>
      <c r="C85" s="567" t="s">
        <v>1369</v>
      </c>
      <c r="D85" s="958" t="s">
        <v>1406</v>
      </c>
      <c r="E85" s="959" t="s">
        <v>659</v>
      </c>
      <c r="F85" s="558" t="s">
        <v>1371</v>
      </c>
      <c r="G85" s="558">
        <v>318</v>
      </c>
      <c r="H85" s="558" t="s">
        <v>1011</v>
      </c>
      <c r="I85" s="559" t="s">
        <v>1012</v>
      </c>
      <c r="J85" s="567" t="s">
        <v>1372</v>
      </c>
      <c r="K85" s="960" t="s">
        <v>1373</v>
      </c>
      <c r="L85" s="555" t="str">
        <f t="shared" ca="1" si="9"/>
        <v/>
      </c>
      <c r="M85" s="494" t="s">
        <v>1374</v>
      </c>
      <c r="N85" s="555" t="str">
        <f t="shared" ca="1" si="10"/>
        <v/>
      </c>
      <c r="O85" s="494" t="s">
        <v>1375</v>
      </c>
      <c r="P85" s="555" t="str">
        <f t="shared" ca="1" si="11"/>
        <v/>
      </c>
      <c r="Q85" s="494" t="s">
        <v>1376</v>
      </c>
      <c r="R85" s="494" t="str">
        <f t="shared" si="17"/>
        <v>I85</v>
      </c>
      <c r="S85" s="494" t="s">
        <v>1377</v>
      </c>
      <c r="T85" s="494">
        <v>5</v>
      </c>
      <c r="U85" s="556" t="str">
        <f t="shared" ca="1" si="12"/>
        <v/>
      </c>
      <c r="V85" s="494">
        <v>6</v>
      </c>
      <c r="W85" s="556" t="str">
        <f t="shared" ca="1" si="13"/>
        <v/>
      </c>
      <c r="X85" s="494" t="s">
        <v>1378</v>
      </c>
      <c r="Y85" s="547" t="str">
        <f t="shared" ca="1" si="14"/>
        <v/>
      </c>
      <c r="Z85" s="494" t="s">
        <v>1379</v>
      </c>
      <c r="AA85" s="547" t="str">
        <f t="shared" ca="1" si="15"/>
        <v/>
      </c>
      <c r="AB85" s="494" t="s">
        <v>1380</v>
      </c>
      <c r="AC85" s="547" t="str">
        <f t="shared" ca="1" si="16"/>
        <v/>
      </c>
      <c r="AD85" s="557"/>
      <c r="AE85" s="958"/>
    </row>
    <row r="86" spans="1:31" ht="15" customHeight="1">
      <c r="A86" s="957">
        <v>51</v>
      </c>
      <c r="B86" s="566" t="s">
        <v>1008</v>
      </c>
      <c r="C86" s="567" t="s">
        <v>1369</v>
      </c>
      <c r="D86" s="958" t="s">
        <v>1406</v>
      </c>
      <c r="E86" s="959" t="s">
        <v>659</v>
      </c>
      <c r="F86" s="558" t="s">
        <v>1371</v>
      </c>
      <c r="G86" s="558">
        <v>318</v>
      </c>
      <c r="H86" s="558" t="s">
        <v>1011</v>
      </c>
      <c r="I86" s="559" t="s">
        <v>1407</v>
      </c>
      <c r="J86" s="567" t="s">
        <v>1372</v>
      </c>
      <c r="K86" s="960" t="s">
        <v>1373</v>
      </c>
      <c r="L86" s="555" t="str">
        <f t="shared" ca="1" si="9"/>
        <v/>
      </c>
      <c r="M86" s="494" t="s">
        <v>1374</v>
      </c>
      <c r="N86" s="555" t="str">
        <f t="shared" ca="1" si="10"/>
        <v/>
      </c>
      <c r="O86" s="494" t="s">
        <v>1375</v>
      </c>
      <c r="P86" s="555" t="str">
        <f t="shared" ca="1" si="11"/>
        <v/>
      </c>
      <c r="Q86" s="494" t="s">
        <v>1376</v>
      </c>
      <c r="R86" s="494" t="str">
        <f t="shared" si="17"/>
        <v>I86</v>
      </c>
      <c r="S86" s="494" t="s">
        <v>1377</v>
      </c>
      <c r="T86" s="494">
        <v>5</v>
      </c>
      <c r="U86" s="556" t="str">
        <f t="shared" ca="1" si="12"/>
        <v/>
      </c>
      <c r="V86" s="494">
        <v>6</v>
      </c>
      <c r="W86" s="556" t="str">
        <f t="shared" ca="1" si="13"/>
        <v/>
      </c>
      <c r="X86" s="494" t="s">
        <v>1378</v>
      </c>
      <c r="Y86" s="547" t="str">
        <f t="shared" ca="1" si="14"/>
        <v/>
      </c>
      <c r="Z86" s="494" t="s">
        <v>1379</v>
      </c>
      <c r="AA86" s="547" t="str">
        <f t="shared" ca="1" si="15"/>
        <v/>
      </c>
      <c r="AB86" s="494" t="s">
        <v>1380</v>
      </c>
      <c r="AC86" s="547" t="str">
        <f t="shared" ca="1" si="16"/>
        <v/>
      </c>
      <c r="AD86" s="557"/>
      <c r="AE86" s="958"/>
    </row>
    <row r="87" spans="1:31" ht="15" customHeight="1">
      <c r="A87" s="957">
        <v>51</v>
      </c>
      <c r="B87" s="566" t="s">
        <v>1008</v>
      </c>
      <c r="C87" s="567" t="s">
        <v>1369</v>
      </c>
      <c r="D87" s="958" t="s">
        <v>1406</v>
      </c>
      <c r="E87" s="959" t="s">
        <v>659</v>
      </c>
      <c r="F87" s="558" t="s">
        <v>1371</v>
      </c>
      <c r="G87" s="558">
        <v>318</v>
      </c>
      <c r="H87" s="558" t="s">
        <v>1011</v>
      </c>
      <c r="I87" s="559" t="s">
        <v>1408</v>
      </c>
      <c r="J87" s="567" t="s">
        <v>1372</v>
      </c>
      <c r="K87" s="960" t="s">
        <v>1373</v>
      </c>
      <c r="L87" s="555" t="str">
        <f t="shared" ca="1" si="9"/>
        <v/>
      </c>
      <c r="M87" s="494" t="s">
        <v>1374</v>
      </c>
      <c r="N87" s="555" t="str">
        <f t="shared" ca="1" si="10"/>
        <v/>
      </c>
      <c r="O87" s="494" t="s">
        <v>1375</v>
      </c>
      <c r="P87" s="555" t="str">
        <f t="shared" ca="1" si="11"/>
        <v/>
      </c>
      <c r="Q87" s="494" t="s">
        <v>1376</v>
      </c>
      <c r="R87" s="494" t="str">
        <f t="shared" si="17"/>
        <v>I87</v>
      </c>
      <c r="S87" s="494" t="s">
        <v>1377</v>
      </c>
      <c r="T87" s="494">
        <v>5</v>
      </c>
      <c r="U87" s="556" t="str">
        <f t="shared" ca="1" si="12"/>
        <v/>
      </c>
      <c r="V87" s="494">
        <v>6</v>
      </c>
      <c r="W87" s="556" t="str">
        <f t="shared" ca="1" si="13"/>
        <v/>
      </c>
      <c r="X87" s="494" t="s">
        <v>1378</v>
      </c>
      <c r="Y87" s="547" t="str">
        <f t="shared" ca="1" si="14"/>
        <v/>
      </c>
      <c r="Z87" s="494" t="s">
        <v>1379</v>
      </c>
      <c r="AA87" s="547" t="str">
        <f t="shared" ca="1" si="15"/>
        <v/>
      </c>
      <c r="AB87" s="494" t="s">
        <v>1380</v>
      </c>
      <c r="AC87" s="547" t="str">
        <f t="shared" ca="1" si="16"/>
        <v/>
      </c>
      <c r="AD87" s="557"/>
      <c r="AE87" s="958"/>
    </row>
    <row r="88" spans="1:31" ht="15" customHeight="1">
      <c r="A88" s="957">
        <v>51</v>
      </c>
      <c r="B88" s="566" t="s">
        <v>1008</v>
      </c>
      <c r="C88" s="567" t="s">
        <v>1369</v>
      </c>
      <c r="D88" s="958" t="s">
        <v>1406</v>
      </c>
      <c r="E88" s="959" t="s">
        <v>659</v>
      </c>
      <c r="F88" s="558" t="s">
        <v>1371</v>
      </c>
      <c r="G88" s="558">
        <v>319</v>
      </c>
      <c r="H88" s="558" t="s">
        <v>1013</v>
      </c>
      <c r="I88" s="559" t="s">
        <v>675</v>
      </c>
      <c r="J88" s="567" t="s">
        <v>1372</v>
      </c>
      <c r="K88" s="960" t="s">
        <v>1373</v>
      </c>
      <c r="L88" s="555" t="str">
        <f t="shared" ca="1" si="9"/>
        <v/>
      </c>
      <c r="M88" s="494" t="s">
        <v>1374</v>
      </c>
      <c r="N88" s="555" t="str">
        <f t="shared" ca="1" si="10"/>
        <v/>
      </c>
      <c r="O88" s="494" t="s">
        <v>1375</v>
      </c>
      <c r="P88" s="555" t="str">
        <f t="shared" ca="1" si="11"/>
        <v/>
      </c>
      <c r="Q88" s="494" t="s">
        <v>1376</v>
      </c>
      <c r="R88" s="494" t="str">
        <f t="shared" si="17"/>
        <v>I88</v>
      </c>
      <c r="S88" s="494" t="s">
        <v>1377</v>
      </c>
      <c r="T88" s="494">
        <v>5</v>
      </c>
      <c r="U88" s="556" t="str">
        <f t="shared" ca="1" si="12"/>
        <v/>
      </c>
      <c r="V88" s="494">
        <v>6</v>
      </c>
      <c r="W88" s="556" t="str">
        <f t="shared" ca="1" si="13"/>
        <v/>
      </c>
      <c r="X88" s="494" t="s">
        <v>1378</v>
      </c>
      <c r="Y88" s="547" t="str">
        <f t="shared" ca="1" si="14"/>
        <v/>
      </c>
      <c r="Z88" s="494" t="s">
        <v>1379</v>
      </c>
      <c r="AA88" s="547" t="str">
        <f t="shared" ca="1" si="15"/>
        <v/>
      </c>
      <c r="AB88" s="494" t="s">
        <v>1380</v>
      </c>
      <c r="AC88" s="547" t="str">
        <f t="shared" ca="1" si="16"/>
        <v/>
      </c>
      <c r="AD88" s="557"/>
      <c r="AE88" s="958"/>
    </row>
    <row r="89" spans="1:31" ht="15" customHeight="1">
      <c r="A89" s="957">
        <v>51</v>
      </c>
      <c r="B89" s="566" t="s">
        <v>1008</v>
      </c>
      <c r="C89" s="567" t="s">
        <v>1369</v>
      </c>
      <c r="D89" s="958" t="s">
        <v>1406</v>
      </c>
      <c r="E89" s="959" t="s">
        <v>659</v>
      </c>
      <c r="F89" s="558" t="s">
        <v>1371</v>
      </c>
      <c r="G89" s="558">
        <v>319</v>
      </c>
      <c r="H89" s="558" t="s">
        <v>1013</v>
      </c>
      <c r="I89" s="559" t="s">
        <v>1014</v>
      </c>
      <c r="J89" s="567" t="s">
        <v>1372</v>
      </c>
      <c r="K89" s="960" t="s">
        <v>1373</v>
      </c>
      <c r="L89" s="555" t="str">
        <f t="shared" ca="1" si="9"/>
        <v/>
      </c>
      <c r="M89" s="494" t="s">
        <v>1374</v>
      </c>
      <c r="N89" s="555" t="str">
        <f t="shared" ca="1" si="10"/>
        <v/>
      </c>
      <c r="O89" s="494" t="s">
        <v>1375</v>
      </c>
      <c r="P89" s="555" t="str">
        <f t="shared" ca="1" si="11"/>
        <v/>
      </c>
      <c r="Q89" s="494" t="s">
        <v>1376</v>
      </c>
      <c r="R89" s="494" t="str">
        <f t="shared" si="17"/>
        <v>I89</v>
      </c>
      <c r="S89" s="494" t="s">
        <v>1377</v>
      </c>
      <c r="T89" s="494">
        <v>5</v>
      </c>
      <c r="U89" s="556" t="str">
        <f t="shared" ca="1" si="12"/>
        <v/>
      </c>
      <c r="V89" s="494">
        <v>6</v>
      </c>
      <c r="W89" s="556" t="str">
        <f t="shared" ca="1" si="13"/>
        <v/>
      </c>
      <c r="X89" s="494" t="s">
        <v>1378</v>
      </c>
      <c r="Y89" s="547" t="str">
        <f t="shared" ca="1" si="14"/>
        <v/>
      </c>
      <c r="Z89" s="494" t="s">
        <v>1379</v>
      </c>
      <c r="AA89" s="547" t="str">
        <f t="shared" ca="1" si="15"/>
        <v/>
      </c>
      <c r="AB89" s="494" t="s">
        <v>1380</v>
      </c>
      <c r="AC89" s="547" t="str">
        <f t="shared" ca="1" si="16"/>
        <v/>
      </c>
      <c r="AD89" s="557"/>
      <c r="AE89" s="958"/>
    </row>
    <row r="90" spans="1:31" ht="15" customHeight="1">
      <c r="A90" s="957">
        <v>51</v>
      </c>
      <c r="B90" s="566" t="s">
        <v>1008</v>
      </c>
      <c r="C90" s="567" t="s">
        <v>1369</v>
      </c>
      <c r="D90" s="958" t="s">
        <v>1406</v>
      </c>
      <c r="E90" s="959" t="s">
        <v>659</v>
      </c>
      <c r="F90" s="558" t="s">
        <v>1371</v>
      </c>
      <c r="G90" s="558">
        <v>319</v>
      </c>
      <c r="H90" s="558" t="s">
        <v>1013</v>
      </c>
      <c r="I90" s="559" t="s">
        <v>1015</v>
      </c>
      <c r="J90" s="567" t="s">
        <v>1372</v>
      </c>
      <c r="K90" s="960" t="s">
        <v>1373</v>
      </c>
      <c r="L90" s="555" t="str">
        <f t="shared" ca="1" si="9"/>
        <v/>
      </c>
      <c r="M90" s="494" t="s">
        <v>1374</v>
      </c>
      <c r="N90" s="555" t="str">
        <f t="shared" ca="1" si="10"/>
        <v/>
      </c>
      <c r="O90" s="494" t="s">
        <v>1375</v>
      </c>
      <c r="P90" s="555" t="str">
        <f t="shared" ca="1" si="11"/>
        <v/>
      </c>
      <c r="Q90" s="494" t="s">
        <v>1376</v>
      </c>
      <c r="R90" s="494" t="str">
        <f t="shared" si="17"/>
        <v>I90</v>
      </c>
      <c r="S90" s="494" t="s">
        <v>1377</v>
      </c>
      <c r="T90" s="494">
        <v>5</v>
      </c>
      <c r="U90" s="556" t="str">
        <f t="shared" ca="1" si="12"/>
        <v/>
      </c>
      <c r="V90" s="494">
        <v>6</v>
      </c>
      <c r="W90" s="556" t="str">
        <f t="shared" ca="1" si="13"/>
        <v/>
      </c>
      <c r="X90" s="494" t="s">
        <v>1378</v>
      </c>
      <c r="Y90" s="547" t="str">
        <f t="shared" ca="1" si="14"/>
        <v/>
      </c>
      <c r="Z90" s="494" t="s">
        <v>1379</v>
      </c>
      <c r="AA90" s="547" t="str">
        <f t="shared" ca="1" si="15"/>
        <v/>
      </c>
      <c r="AB90" s="494" t="s">
        <v>1380</v>
      </c>
      <c r="AC90" s="547" t="str">
        <f t="shared" ca="1" si="16"/>
        <v/>
      </c>
      <c r="AD90" s="557"/>
      <c r="AE90" s="958"/>
    </row>
    <row r="91" spans="1:31" ht="15" customHeight="1">
      <c r="A91" s="957">
        <v>51</v>
      </c>
      <c r="B91" s="566" t="s">
        <v>1008</v>
      </c>
      <c r="C91" s="567" t="s">
        <v>1369</v>
      </c>
      <c r="D91" s="958" t="s">
        <v>1406</v>
      </c>
      <c r="E91" s="959" t="s">
        <v>659</v>
      </c>
      <c r="F91" s="558" t="s">
        <v>1371</v>
      </c>
      <c r="G91" s="558">
        <v>320</v>
      </c>
      <c r="H91" s="558" t="s">
        <v>1016</v>
      </c>
      <c r="I91" s="559" t="s">
        <v>665</v>
      </c>
      <c r="J91" s="567" t="s">
        <v>1372</v>
      </c>
      <c r="K91" s="960" t="s">
        <v>1373</v>
      </c>
      <c r="L91" s="555" t="str">
        <f t="shared" ca="1" si="9"/>
        <v/>
      </c>
      <c r="M91" s="494" t="s">
        <v>1374</v>
      </c>
      <c r="N91" s="555" t="str">
        <f t="shared" ca="1" si="10"/>
        <v/>
      </c>
      <c r="O91" s="494" t="s">
        <v>1375</v>
      </c>
      <c r="P91" s="555" t="str">
        <f t="shared" ca="1" si="11"/>
        <v/>
      </c>
      <c r="Q91" s="494" t="s">
        <v>1376</v>
      </c>
      <c r="R91" s="494" t="str">
        <f t="shared" si="17"/>
        <v>I91</v>
      </c>
      <c r="S91" s="494" t="s">
        <v>1377</v>
      </c>
      <c r="T91" s="494">
        <v>5</v>
      </c>
      <c r="U91" s="556" t="str">
        <f t="shared" ca="1" si="12"/>
        <v/>
      </c>
      <c r="V91" s="494">
        <v>6</v>
      </c>
      <c r="W91" s="556" t="str">
        <f t="shared" ca="1" si="13"/>
        <v/>
      </c>
      <c r="X91" s="494" t="s">
        <v>1378</v>
      </c>
      <c r="Y91" s="547" t="str">
        <f t="shared" ca="1" si="14"/>
        <v/>
      </c>
      <c r="Z91" s="494" t="s">
        <v>1379</v>
      </c>
      <c r="AA91" s="547" t="str">
        <f t="shared" ca="1" si="15"/>
        <v/>
      </c>
      <c r="AB91" s="494" t="s">
        <v>1380</v>
      </c>
      <c r="AC91" s="547" t="str">
        <f t="shared" ca="1" si="16"/>
        <v/>
      </c>
      <c r="AD91" s="557"/>
      <c r="AE91" s="958"/>
    </row>
    <row r="92" spans="1:31" ht="15" customHeight="1">
      <c r="A92" s="957">
        <v>51</v>
      </c>
      <c r="B92" s="566" t="s">
        <v>1008</v>
      </c>
      <c r="C92" s="567" t="s">
        <v>1369</v>
      </c>
      <c r="D92" s="958" t="s">
        <v>1406</v>
      </c>
      <c r="E92" s="959" t="s">
        <v>659</v>
      </c>
      <c r="F92" s="558" t="s">
        <v>1371</v>
      </c>
      <c r="G92" s="558">
        <v>320</v>
      </c>
      <c r="H92" s="558" t="s">
        <v>1016</v>
      </c>
      <c r="I92" s="559" t="s">
        <v>666</v>
      </c>
      <c r="J92" s="567" t="s">
        <v>1372</v>
      </c>
      <c r="K92" s="960" t="s">
        <v>1373</v>
      </c>
      <c r="L92" s="555" t="str">
        <f t="shared" ca="1" si="9"/>
        <v/>
      </c>
      <c r="M92" s="494" t="s">
        <v>1374</v>
      </c>
      <c r="N92" s="555" t="str">
        <f t="shared" ca="1" si="10"/>
        <v/>
      </c>
      <c r="O92" s="494" t="s">
        <v>1375</v>
      </c>
      <c r="P92" s="555" t="str">
        <f t="shared" ca="1" si="11"/>
        <v/>
      </c>
      <c r="Q92" s="494" t="s">
        <v>1376</v>
      </c>
      <c r="R92" s="494" t="str">
        <f t="shared" si="17"/>
        <v>I92</v>
      </c>
      <c r="S92" s="494" t="s">
        <v>1377</v>
      </c>
      <c r="T92" s="494">
        <v>5</v>
      </c>
      <c r="U92" s="556" t="str">
        <f t="shared" ca="1" si="12"/>
        <v/>
      </c>
      <c r="V92" s="494">
        <v>6</v>
      </c>
      <c r="W92" s="556" t="str">
        <f t="shared" ca="1" si="13"/>
        <v/>
      </c>
      <c r="X92" s="494" t="s">
        <v>1378</v>
      </c>
      <c r="Y92" s="547" t="str">
        <f t="shared" ca="1" si="14"/>
        <v/>
      </c>
      <c r="Z92" s="494" t="s">
        <v>1379</v>
      </c>
      <c r="AA92" s="547" t="str">
        <f t="shared" ca="1" si="15"/>
        <v/>
      </c>
      <c r="AB92" s="494" t="s">
        <v>1380</v>
      </c>
      <c r="AC92" s="547" t="str">
        <f t="shared" ca="1" si="16"/>
        <v/>
      </c>
      <c r="AD92" s="557"/>
      <c r="AE92" s="958"/>
    </row>
    <row r="93" spans="1:31" ht="15" customHeight="1">
      <c r="A93" s="957">
        <v>51</v>
      </c>
      <c r="B93" s="566" t="s">
        <v>1008</v>
      </c>
      <c r="C93" s="567" t="s">
        <v>1369</v>
      </c>
      <c r="D93" s="958" t="s">
        <v>1406</v>
      </c>
      <c r="E93" s="959" t="s">
        <v>659</v>
      </c>
      <c r="F93" s="558" t="s">
        <v>1371</v>
      </c>
      <c r="G93" s="558">
        <v>320</v>
      </c>
      <c r="H93" s="558" t="s">
        <v>1016</v>
      </c>
      <c r="I93" s="559" t="s">
        <v>1017</v>
      </c>
      <c r="J93" s="567" t="s">
        <v>1372</v>
      </c>
      <c r="K93" s="960" t="s">
        <v>1373</v>
      </c>
      <c r="L93" s="555" t="str">
        <f t="shared" ca="1" si="9"/>
        <v/>
      </c>
      <c r="M93" s="494" t="s">
        <v>1374</v>
      </c>
      <c r="N93" s="555" t="str">
        <f t="shared" ca="1" si="10"/>
        <v/>
      </c>
      <c r="O93" s="494" t="s">
        <v>1375</v>
      </c>
      <c r="P93" s="555" t="str">
        <f t="shared" ca="1" si="11"/>
        <v/>
      </c>
      <c r="Q93" s="494" t="s">
        <v>1376</v>
      </c>
      <c r="R93" s="494" t="str">
        <f t="shared" si="17"/>
        <v>I93</v>
      </c>
      <c r="S93" s="494" t="s">
        <v>1377</v>
      </c>
      <c r="T93" s="494">
        <v>5</v>
      </c>
      <c r="U93" s="556" t="str">
        <f t="shared" ca="1" si="12"/>
        <v/>
      </c>
      <c r="V93" s="494">
        <v>6</v>
      </c>
      <c r="W93" s="556" t="str">
        <f t="shared" ca="1" si="13"/>
        <v/>
      </c>
      <c r="X93" s="494" t="s">
        <v>1378</v>
      </c>
      <c r="Y93" s="547" t="str">
        <f t="shared" ca="1" si="14"/>
        <v/>
      </c>
      <c r="Z93" s="494" t="s">
        <v>1379</v>
      </c>
      <c r="AA93" s="547" t="str">
        <f t="shared" ca="1" si="15"/>
        <v/>
      </c>
      <c r="AB93" s="494" t="s">
        <v>1380</v>
      </c>
      <c r="AC93" s="547" t="str">
        <f t="shared" ca="1" si="16"/>
        <v/>
      </c>
      <c r="AD93" s="557"/>
      <c r="AE93" s="958"/>
    </row>
    <row r="94" spans="1:31" ht="15" customHeight="1">
      <c r="A94" s="957">
        <v>51</v>
      </c>
      <c r="B94" s="566" t="s">
        <v>1008</v>
      </c>
      <c r="C94" s="567" t="s">
        <v>1369</v>
      </c>
      <c r="D94" s="958" t="s">
        <v>1406</v>
      </c>
      <c r="E94" s="959" t="s">
        <v>659</v>
      </c>
      <c r="F94" s="558" t="s">
        <v>1371</v>
      </c>
      <c r="G94" s="558">
        <v>321</v>
      </c>
      <c r="H94" s="558" t="s">
        <v>1018</v>
      </c>
      <c r="I94" s="559" t="s">
        <v>678</v>
      </c>
      <c r="J94" s="567" t="s">
        <v>1372</v>
      </c>
      <c r="K94" s="960" t="s">
        <v>1373</v>
      </c>
      <c r="L94" s="555" t="str">
        <f t="shared" ca="1" si="9"/>
        <v/>
      </c>
      <c r="M94" s="494" t="s">
        <v>1374</v>
      </c>
      <c r="N94" s="555" t="str">
        <f t="shared" ca="1" si="10"/>
        <v/>
      </c>
      <c r="O94" s="494" t="s">
        <v>1375</v>
      </c>
      <c r="P94" s="555" t="str">
        <f t="shared" ca="1" si="11"/>
        <v/>
      </c>
      <c r="Q94" s="494" t="s">
        <v>1376</v>
      </c>
      <c r="R94" s="494" t="str">
        <f t="shared" si="17"/>
        <v>I94</v>
      </c>
      <c r="S94" s="494" t="s">
        <v>1377</v>
      </c>
      <c r="T94" s="494">
        <v>5</v>
      </c>
      <c r="U94" s="556" t="str">
        <f t="shared" ca="1" si="12"/>
        <v/>
      </c>
      <c r="V94" s="494">
        <v>6</v>
      </c>
      <c r="W94" s="556" t="str">
        <f t="shared" ca="1" si="13"/>
        <v/>
      </c>
      <c r="X94" s="494" t="s">
        <v>1378</v>
      </c>
      <c r="Y94" s="547" t="str">
        <f t="shared" ca="1" si="14"/>
        <v/>
      </c>
      <c r="Z94" s="494" t="s">
        <v>1379</v>
      </c>
      <c r="AA94" s="547" t="str">
        <f t="shared" ca="1" si="15"/>
        <v/>
      </c>
      <c r="AB94" s="494" t="s">
        <v>1380</v>
      </c>
      <c r="AC94" s="547" t="str">
        <f t="shared" ca="1" si="16"/>
        <v/>
      </c>
      <c r="AD94" s="557"/>
      <c r="AE94" s="958"/>
    </row>
    <row r="95" spans="1:31" ht="15" customHeight="1">
      <c r="A95" s="957">
        <v>51</v>
      </c>
      <c r="B95" s="566" t="s">
        <v>1008</v>
      </c>
      <c r="C95" s="567" t="s">
        <v>1369</v>
      </c>
      <c r="D95" s="958" t="s">
        <v>1406</v>
      </c>
      <c r="E95" s="959" t="s">
        <v>659</v>
      </c>
      <c r="F95" s="558" t="s">
        <v>1371</v>
      </c>
      <c r="G95" s="558">
        <v>321</v>
      </c>
      <c r="H95" s="558" t="s">
        <v>1018</v>
      </c>
      <c r="I95" s="559" t="s">
        <v>679</v>
      </c>
      <c r="J95" s="567" t="s">
        <v>1372</v>
      </c>
      <c r="K95" s="960" t="s">
        <v>1373</v>
      </c>
      <c r="L95" s="555" t="str">
        <f t="shared" ca="1" si="9"/>
        <v/>
      </c>
      <c r="M95" s="494" t="s">
        <v>1374</v>
      </c>
      <c r="N95" s="555" t="str">
        <f t="shared" ca="1" si="10"/>
        <v/>
      </c>
      <c r="O95" s="494" t="s">
        <v>1375</v>
      </c>
      <c r="P95" s="555" t="str">
        <f t="shared" ca="1" si="11"/>
        <v/>
      </c>
      <c r="Q95" s="494" t="s">
        <v>1376</v>
      </c>
      <c r="R95" s="494" t="str">
        <f t="shared" si="17"/>
        <v>I95</v>
      </c>
      <c r="S95" s="494" t="s">
        <v>1377</v>
      </c>
      <c r="T95" s="494">
        <v>5</v>
      </c>
      <c r="U95" s="556" t="str">
        <f t="shared" ca="1" si="12"/>
        <v/>
      </c>
      <c r="V95" s="494">
        <v>6</v>
      </c>
      <c r="W95" s="556" t="str">
        <f t="shared" ca="1" si="13"/>
        <v/>
      </c>
      <c r="X95" s="494" t="s">
        <v>1378</v>
      </c>
      <c r="Y95" s="547" t="str">
        <f t="shared" ca="1" si="14"/>
        <v/>
      </c>
      <c r="Z95" s="494" t="s">
        <v>1379</v>
      </c>
      <c r="AA95" s="547" t="str">
        <f t="shared" ca="1" si="15"/>
        <v/>
      </c>
      <c r="AB95" s="494" t="s">
        <v>1380</v>
      </c>
      <c r="AC95" s="547" t="str">
        <f t="shared" ca="1" si="16"/>
        <v/>
      </c>
      <c r="AD95" s="557"/>
      <c r="AE95" s="958"/>
    </row>
    <row r="96" spans="1:31" ht="15" customHeight="1">
      <c r="A96" s="957">
        <v>51</v>
      </c>
      <c r="B96" s="566" t="s">
        <v>1008</v>
      </c>
      <c r="C96" s="567" t="s">
        <v>1369</v>
      </c>
      <c r="D96" s="958" t="s">
        <v>1406</v>
      </c>
      <c r="E96" s="959" t="s">
        <v>659</v>
      </c>
      <c r="F96" s="558" t="s">
        <v>1371</v>
      </c>
      <c r="G96" s="558">
        <v>322</v>
      </c>
      <c r="H96" s="558" t="s">
        <v>1020</v>
      </c>
      <c r="I96" s="559" t="s">
        <v>667</v>
      </c>
      <c r="J96" s="567" t="s">
        <v>1372</v>
      </c>
      <c r="K96" s="960" t="s">
        <v>1373</v>
      </c>
      <c r="L96" s="555" t="str">
        <f t="shared" ca="1" si="9"/>
        <v/>
      </c>
      <c r="M96" s="494" t="s">
        <v>1374</v>
      </c>
      <c r="N96" s="555" t="str">
        <f t="shared" ca="1" si="10"/>
        <v/>
      </c>
      <c r="O96" s="494" t="s">
        <v>1375</v>
      </c>
      <c r="P96" s="555" t="str">
        <f t="shared" ca="1" si="11"/>
        <v/>
      </c>
      <c r="Q96" s="494" t="s">
        <v>1376</v>
      </c>
      <c r="R96" s="494" t="str">
        <f t="shared" si="17"/>
        <v>I96</v>
      </c>
      <c r="S96" s="494" t="s">
        <v>1377</v>
      </c>
      <c r="T96" s="494">
        <v>5</v>
      </c>
      <c r="U96" s="556" t="str">
        <f t="shared" ca="1" si="12"/>
        <v/>
      </c>
      <c r="V96" s="494">
        <v>6</v>
      </c>
      <c r="W96" s="556" t="str">
        <f t="shared" ca="1" si="13"/>
        <v/>
      </c>
      <c r="X96" s="494" t="s">
        <v>1378</v>
      </c>
      <c r="Y96" s="547" t="str">
        <f t="shared" ca="1" si="14"/>
        <v/>
      </c>
      <c r="Z96" s="494" t="s">
        <v>1379</v>
      </c>
      <c r="AA96" s="547" t="str">
        <f t="shared" ca="1" si="15"/>
        <v/>
      </c>
      <c r="AB96" s="494" t="s">
        <v>1380</v>
      </c>
      <c r="AC96" s="547" t="str">
        <f t="shared" ca="1" si="16"/>
        <v/>
      </c>
      <c r="AD96" s="557"/>
      <c r="AE96" s="958"/>
    </row>
    <row r="97" spans="1:31" ht="15" customHeight="1">
      <c r="A97" s="957">
        <v>51</v>
      </c>
      <c r="B97" s="566" t="s">
        <v>1008</v>
      </c>
      <c r="C97" s="567" t="s">
        <v>1369</v>
      </c>
      <c r="D97" s="958" t="s">
        <v>1406</v>
      </c>
      <c r="E97" s="959" t="s">
        <v>659</v>
      </c>
      <c r="F97" s="558" t="s">
        <v>1371</v>
      </c>
      <c r="G97" s="558">
        <v>322</v>
      </c>
      <c r="H97" s="558" t="s">
        <v>1020</v>
      </c>
      <c r="I97" s="559" t="s">
        <v>668</v>
      </c>
      <c r="J97" s="567" t="s">
        <v>1372</v>
      </c>
      <c r="K97" s="960" t="s">
        <v>1373</v>
      </c>
      <c r="L97" s="555" t="str">
        <f t="shared" ca="1" si="9"/>
        <v/>
      </c>
      <c r="M97" s="494" t="s">
        <v>1374</v>
      </c>
      <c r="N97" s="555" t="str">
        <f t="shared" ca="1" si="10"/>
        <v/>
      </c>
      <c r="O97" s="494" t="s">
        <v>1375</v>
      </c>
      <c r="P97" s="555" t="str">
        <f t="shared" ca="1" si="11"/>
        <v/>
      </c>
      <c r="Q97" s="494" t="s">
        <v>1376</v>
      </c>
      <c r="R97" s="494" t="str">
        <f t="shared" si="17"/>
        <v>I97</v>
      </c>
      <c r="S97" s="494" t="s">
        <v>1377</v>
      </c>
      <c r="T97" s="494">
        <v>5</v>
      </c>
      <c r="U97" s="556" t="str">
        <f t="shared" ca="1" si="12"/>
        <v/>
      </c>
      <c r="V97" s="494">
        <v>6</v>
      </c>
      <c r="W97" s="556" t="str">
        <f t="shared" ca="1" si="13"/>
        <v/>
      </c>
      <c r="X97" s="494" t="s">
        <v>1378</v>
      </c>
      <c r="Y97" s="547" t="str">
        <f t="shared" ca="1" si="14"/>
        <v/>
      </c>
      <c r="Z97" s="494" t="s">
        <v>1379</v>
      </c>
      <c r="AA97" s="547" t="str">
        <f t="shared" ca="1" si="15"/>
        <v/>
      </c>
      <c r="AB97" s="494" t="s">
        <v>1380</v>
      </c>
      <c r="AC97" s="547" t="str">
        <f t="shared" ca="1" si="16"/>
        <v/>
      </c>
      <c r="AD97" s="557"/>
      <c r="AE97" s="958"/>
    </row>
    <row r="98" spans="1:31" ht="15" customHeight="1">
      <c r="A98" s="957">
        <v>51</v>
      </c>
      <c r="B98" s="566" t="s">
        <v>1008</v>
      </c>
      <c r="C98" s="567" t="s">
        <v>1369</v>
      </c>
      <c r="D98" s="958" t="s">
        <v>1406</v>
      </c>
      <c r="E98" s="959" t="s">
        <v>659</v>
      </c>
      <c r="F98" s="558" t="s">
        <v>1371</v>
      </c>
      <c r="G98" s="558">
        <v>323</v>
      </c>
      <c r="H98" s="558" t="s">
        <v>1021</v>
      </c>
      <c r="I98" s="559" t="s">
        <v>298</v>
      </c>
      <c r="J98" s="567" t="s">
        <v>1372</v>
      </c>
      <c r="K98" s="960" t="s">
        <v>1373</v>
      </c>
      <c r="L98" s="555" t="str">
        <f t="shared" ca="1" si="9"/>
        <v/>
      </c>
      <c r="M98" s="494" t="s">
        <v>1374</v>
      </c>
      <c r="N98" s="555" t="str">
        <f t="shared" ca="1" si="10"/>
        <v/>
      </c>
      <c r="O98" s="494" t="s">
        <v>1375</v>
      </c>
      <c r="P98" s="555" t="str">
        <f t="shared" ca="1" si="11"/>
        <v/>
      </c>
      <c r="Q98" s="494" t="s">
        <v>1376</v>
      </c>
      <c r="R98" s="494" t="str">
        <f t="shared" si="17"/>
        <v>I98</v>
      </c>
      <c r="S98" s="494" t="s">
        <v>1377</v>
      </c>
      <c r="T98" s="494">
        <v>5</v>
      </c>
      <c r="U98" s="556" t="str">
        <f t="shared" ca="1" si="12"/>
        <v/>
      </c>
      <c r="V98" s="494">
        <v>6</v>
      </c>
      <c r="W98" s="556" t="str">
        <f t="shared" ca="1" si="13"/>
        <v/>
      </c>
      <c r="X98" s="494" t="s">
        <v>1378</v>
      </c>
      <c r="Y98" s="547" t="str">
        <f t="shared" ca="1" si="14"/>
        <v/>
      </c>
      <c r="Z98" s="494" t="s">
        <v>1379</v>
      </c>
      <c r="AA98" s="547" t="str">
        <f t="shared" ca="1" si="15"/>
        <v/>
      </c>
      <c r="AB98" s="494" t="s">
        <v>1380</v>
      </c>
      <c r="AC98" s="547" t="str">
        <f t="shared" ca="1" si="16"/>
        <v/>
      </c>
      <c r="AD98" s="557"/>
      <c r="AE98" s="958"/>
    </row>
    <row r="99" spans="1:31" ht="15" customHeight="1">
      <c r="A99" s="957">
        <v>51</v>
      </c>
      <c r="B99" s="566" t="s">
        <v>1008</v>
      </c>
      <c r="C99" s="567" t="s">
        <v>1369</v>
      </c>
      <c r="D99" s="958" t="s">
        <v>1406</v>
      </c>
      <c r="E99" s="959" t="s">
        <v>659</v>
      </c>
      <c r="F99" s="558" t="s">
        <v>1371</v>
      </c>
      <c r="G99" s="558">
        <v>323</v>
      </c>
      <c r="H99" s="558" t="s">
        <v>1021</v>
      </c>
      <c r="I99" s="559" t="s">
        <v>682</v>
      </c>
      <c r="J99" s="567" t="s">
        <v>1372</v>
      </c>
      <c r="K99" s="960" t="s">
        <v>1373</v>
      </c>
      <c r="L99" s="555" t="str">
        <f t="shared" ca="1" si="9"/>
        <v/>
      </c>
      <c r="M99" s="494" t="s">
        <v>1374</v>
      </c>
      <c r="N99" s="555" t="str">
        <f t="shared" ca="1" si="10"/>
        <v/>
      </c>
      <c r="O99" s="494" t="s">
        <v>1375</v>
      </c>
      <c r="P99" s="555" t="str">
        <f t="shared" ca="1" si="11"/>
        <v/>
      </c>
      <c r="Q99" s="494" t="s">
        <v>1376</v>
      </c>
      <c r="R99" s="494" t="str">
        <f t="shared" si="17"/>
        <v>I99</v>
      </c>
      <c r="S99" s="494" t="s">
        <v>1377</v>
      </c>
      <c r="T99" s="494">
        <v>5</v>
      </c>
      <c r="U99" s="556" t="str">
        <f t="shared" ca="1" si="12"/>
        <v/>
      </c>
      <c r="V99" s="494">
        <v>6</v>
      </c>
      <c r="W99" s="556" t="str">
        <f t="shared" ca="1" si="13"/>
        <v/>
      </c>
      <c r="X99" s="494" t="s">
        <v>1378</v>
      </c>
      <c r="Y99" s="547" t="str">
        <f t="shared" ca="1" si="14"/>
        <v/>
      </c>
      <c r="Z99" s="494" t="s">
        <v>1379</v>
      </c>
      <c r="AA99" s="547" t="str">
        <f t="shared" ca="1" si="15"/>
        <v/>
      </c>
      <c r="AB99" s="494" t="s">
        <v>1380</v>
      </c>
      <c r="AC99" s="547" t="str">
        <f t="shared" ca="1" si="16"/>
        <v/>
      </c>
      <c r="AD99" s="557"/>
      <c r="AE99" s="958"/>
    </row>
    <row r="100" spans="1:31" ht="15" customHeight="1">
      <c r="A100" s="957">
        <v>51</v>
      </c>
      <c r="B100" s="566" t="s">
        <v>1008</v>
      </c>
      <c r="C100" s="567" t="s">
        <v>1369</v>
      </c>
      <c r="D100" s="958" t="s">
        <v>1406</v>
      </c>
      <c r="E100" s="959" t="s">
        <v>1022</v>
      </c>
      <c r="F100" s="558" t="s">
        <v>1383</v>
      </c>
      <c r="G100" s="558">
        <v>380</v>
      </c>
      <c r="H100" s="558" t="s">
        <v>1024</v>
      </c>
      <c r="I100" s="559" t="s">
        <v>1409</v>
      </c>
      <c r="J100" s="567" t="s">
        <v>1372</v>
      </c>
      <c r="K100" s="960" t="s">
        <v>1373</v>
      </c>
      <c r="L100" s="555" t="str">
        <f t="shared" ca="1" si="9"/>
        <v/>
      </c>
      <c r="M100" s="494" t="s">
        <v>1374</v>
      </c>
      <c r="N100" s="555" t="str">
        <f t="shared" ca="1" si="10"/>
        <v/>
      </c>
      <c r="O100" s="494" t="s">
        <v>1375</v>
      </c>
      <c r="P100" s="555" t="str">
        <f t="shared" ca="1" si="11"/>
        <v/>
      </c>
      <c r="Q100" s="494" t="s">
        <v>1376</v>
      </c>
      <c r="R100" s="494" t="str">
        <f t="shared" si="17"/>
        <v>I100</v>
      </c>
      <c r="S100" s="494" t="s">
        <v>1377</v>
      </c>
      <c r="T100" s="494">
        <v>5</v>
      </c>
      <c r="U100" s="556" t="str">
        <f t="shared" ca="1" si="12"/>
        <v/>
      </c>
      <c r="V100" s="494">
        <v>6</v>
      </c>
      <c r="W100" s="556" t="str">
        <f t="shared" ca="1" si="13"/>
        <v/>
      </c>
      <c r="X100" s="494" t="s">
        <v>1378</v>
      </c>
      <c r="Y100" s="547" t="str">
        <f t="shared" ca="1" si="14"/>
        <v/>
      </c>
      <c r="Z100" s="494" t="s">
        <v>1379</v>
      </c>
      <c r="AA100" s="547" t="str">
        <f t="shared" ca="1" si="15"/>
        <v/>
      </c>
      <c r="AB100" s="494" t="s">
        <v>1380</v>
      </c>
      <c r="AC100" s="547" t="str">
        <f t="shared" ca="1" si="16"/>
        <v/>
      </c>
      <c r="AD100" s="557"/>
      <c r="AE100" s="958"/>
    </row>
    <row r="101" spans="1:31" ht="15" customHeight="1">
      <c r="A101" s="957">
        <v>51</v>
      </c>
      <c r="B101" s="566" t="s">
        <v>1008</v>
      </c>
      <c r="C101" s="567" t="s">
        <v>1369</v>
      </c>
      <c r="D101" s="958" t="s">
        <v>1406</v>
      </c>
      <c r="E101" s="959" t="s">
        <v>1022</v>
      </c>
      <c r="F101" s="558" t="s">
        <v>1383</v>
      </c>
      <c r="G101" s="558">
        <v>379</v>
      </c>
      <c r="H101" s="558" t="s">
        <v>1025</v>
      </c>
      <c r="I101" s="559" t="s">
        <v>661</v>
      </c>
      <c r="J101" s="567" t="s">
        <v>1372</v>
      </c>
      <c r="K101" s="960" t="s">
        <v>1373</v>
      </c>
      <c r="L101" s="555" t="str">
        <f t="shared" ca="1" si="9"/>
        <v/>
      </c>
      <c r="M101" s="494" t="s">
        <v>1374</v>
      </c>
      <c r="N101" s="555" t="str">
        <f t="shared" ca="1" si="10"/>
        <v/>
      </c>
      <c r="O101" s="494" t="s">
        <v>1375</v>
      </c>
      <c r="P101" s="555" t="str">
        <f t="shared" ca="1" si="11"/>
        <v/>
      </c>
      <c r="Q101" s="494" t="s">
        <v>1376</v>
      </c>
      <c r="R101" s="494" t="str">
        <f t="shared" si="17"/>
        <v>I101</v>
      </c>
      <c r="S101" s="494" t="s">
        <v>1377</v>
      </c>
      <c r="T101" s="494">
        <v>5</v>
      </c>
      <c r="U101" s="556" t="str">
        <f t="shared" ca="1" si="12"/>
        <v/>
      </c>
      <c r="V101" s="494">
        <v>6</v>
      </c>
      <c r="W101" s="556" t="str">
        <f t="shared" ca="1" si="13"/>
        <v/>
      </c>
      <c r="X101" s="494" t="s">
        <v>1378</v>
      </c>
      <c r="Y101" s="547" t="str">
        <f t="shared" ca="1" si="14"/>
        <v/>
      </c>
      <c r="Z101" s="494" t="s">
        <v>1379</v>
      </c>
      <c r="AA101" s="547" t="str">
        <f t="shared" ca="1" si="15"/>
        <v/>
      </c>
      <c r="AB101" s="494" t="s">
        <v>1380</v>
      </c>
      <c r="AC101" s="547" t="str">
        <f t="shared" ca="1" si="16"/>
        <v/>
      </c>
      <c r="AD101" s="557"/>
      <c r="AE101" s="958"/>
    </row>
    <row r="102" spans="1:31" ht="15" customHeight="1">
      <c r="A102" s="957">
        <v>51</v>
      </c>
      <c r="B102" s="566" t="s">
        <v>1008</v>
      </c>
      <c r="C102" s="567" t="s">
        <v>1369</v>
      </c>
      <c r="D102" s="958" t="s">
        <v>1406</v>
      </c>
      <c r="E102" s="959" t="s">
        <v>1022</v>
      </c>
      <c r="F102" s="558" t="s">
        <v>1383</v>
      </c>
      <c r="G102" s="558">
        <v>379</v>
      </c>
      <c r="H102" s="558" t="s">
        <v>1025</v>
      </c>
      <c r="I102" s="559" t="s">
        <v>662</v>
      </c>
      <c r="J102" s="567" t="s">
        <v>1372</v>
      </c>
      <c r="K102" s="960" t="s">
        <v>1373</v>
      </c>
      <c r="L102" s="555" t="str">
        <f t="shared" ca="1" si="9"/>
        <v/>
      </c>
      <c r="M102" s="494" t="s">
        <v>1374</v>
      </c>
      <c r="N102" s="555" t="str">
        <f t="shared" ca="1" si="10"/>
        <v/>
      </c>
      <c r="O102" s="494" t="s">
        <v>1375</v>
      </c>
      <c r="P102" s="555" t="str">
        <f t="shared" ca="1" si="11"/>
        <v/>
      </c>
      <c r="Q102" s="494" t="s">
        <v>1376</v>
      </c>
      <c r="R102" s="494" t="str">
        <f t="shared" si="17"/>
        <v>I102</v>
      </c>
      <c r="S102" s="494" t="s">
        <v>1377</v>
      </c>
      <c r="T102" s="494">
        <v>5</v>
      </c>
      <c r="U102" s="556" t="str">
        <f t="shared" ca="1" si="12"/>
        <v/>
      </c>
      <c r="V102" s="494">
        <v>6</v>
      </c>
      <c r="W102" s="556" t="str">
        <f t="shared" ca="1" si="13"/>
        <v/>
      </c>
      <c r="X102" s="494" t="s">
        <v>1378</v>
      </c>
      <c r="Y102" s="547" t="str">
        <f t="shared" ca="1" si="14"/>
        <v/>
      </c>
      <c r="Z102" s="494" t="s">
        <v>1379</v>
      </c>
      <c r="AA102" s="547" t="str">
        <f t="shared" ca="1" si="15"/>
        <v/>
      </c>
      <c r="AB102" s="494" t="s">
        <v>1380</v>
      </c>
      <c r="AC102" s="547" t="str">
        <f t="shared" ca="1" si="16"/>
        <v/>
      </c>
      <c r="AD102" s="557"/>
      <c r="AE102" s="958"/>
    </row>
    <row r="103" spans="1:31" ht="15" customHeight="1">
      <c r="A103" s="957">
        <v>51</v>
      </c>
      <c r="B103" s="566" t="s">
        <v>1008</v>
      </c>
      <c r="C103" s="567" t="s">
        <v>1369</v>
      </c>
      <c r="D103" s="958" t="s">
        <v>1406</v>
      </c>
      <c r="E103" s="959" t="s">
        <v>683</v>
      </c>
      <c r="F103" s="558" t="s">
        <v>1386</v>
      </c>
      <c r="G103" s="558">
        <v>288</v>
      </c>
      <c r="H103" s="558" t="s">
        <v>1028</v>
      </c>
      <c r="I103" s="559" t="s">
        <v>1029</v>
      </c>
      <c r="J103" s="567" t="s">
        <v>1372</v>
      </c>
      <c r="K103" s="960" t="s">
        <v>1373</v>
      </c>
      <c r="L103" s="555" t="str">
        <f t="shared" ca="1" si="9"/>
        <v/>
      </c>
      <c r="M103" s="494" t="s">
        <v>1374</v>
      </c>
      <c r="N103" s="555" t="str">
        <f t="shared" ca="1" si="10"/>
        <v/>
      </c>
      <c r="O103" s="494" t="s">
        <v>1375</v>
      </c>
      <c r="P103" s="555" t="str">
        <f t="shared" ca="1" si="11"/>
        <v/>
      </c>
      <c r="Q103" s="494" t="s">
        <v>1376</v>
      </c>
      <c r="R103" s="494" t="str">
        <f t="shared" si="17"/>
        <v>I103</v>
      </c>
      <c r="S103" s="494" t="s">
        <v>1377</v>
      </c>
      <c r="T103" s="494">
        <v>5</v>
      </c>
      <c r="U103" s="556" t="str">
        <f t="shared" ca="1" si="12"/>
        <v/>
      </c>
      <c r="V103" s="494">
        <v>6</v>
      </c>
      <c r="W103" s="556" t="str">
        <f t="shared" ca="1" si="13"/>
        <v/>
      </c>
      <c r="X103" s="494" t="s">
        <v>1378</v>
      </c>
      <c r="Y103" s="547" t="str">
        <f t="shared" ca="1" si="14"/>
        <v/>
      </c>
      <c r="Z103" s="494" t="s">
        <v>1379</v>
      </c>
      <c r="AA103" s="547" t="str">
        <f t="shared" ca="1" si="15"/>
        <v/>
      </c>
      <c r="AB103" s="494" t="s">
        <v>1380</v>
      </c>
      <c r="AC103" s="547" t="str">
        <f t="shared" ca="1" si="16"/>
        <v/>
      </c>
      <c r="AD103" s="557"/>
      <c r="AE103" s="958"/>
    </row>
    <row r="104" spans="1:31" ht="15" customHeight="1">
      <c r="A104" s="957">
        <v>51</v>
      </c>
      <c r="B104" s="566" t="s">
        <v>1008</v>
      </c>
      <c r="C104" s="567" t="s">
        <v>1369</v>
      </c>
      <c r="D104" s="958" t="s">
        <v>1406</v>
      </c>
      <c r="E104" s="959" t="s">
        <v>683</v>
      </c>
      <c r="F104" s="558" t="s">
        <v>1386</v>
      </c>
      <c r="G104" s="558">
        <v>288</v>
      </c>
      <c r="H104" s="558" t="s">
        <v>1030</v>
      </c>
      <c r="I104" s="559" t="s">
        <v>692</v>
      </c>
      <c r="J104" s="567" t="s">
        <v>1372</v>
      </c>
      <c r="K104" s="960" t="s">
        <v>1373</v>
      </c>
      <c r="L104" s="555" t="str">
        <f t="shared" ca="1" si="9"/>
        <v/>
      </c>
      <c r="M104" s="494" t="s">
        <v>1374</v>
      </c>
      <c r="N104" s="555" t="str">
        <f t="shared" ca="1" si="10"/>
        <v/>
      </c>
      <c r="O104" s="494" t="s">
        <v>1375</v>
      </c>
      <c r="P104" s="555" t="str">
        <f t="shared" ca="1" si="11"/>
        <v/>
      </c>
      <c r="Q104" s="494" t="s">
        <v>1376</v>
      </c>
      <c r="R104" s="494" t="str">
        <f t="shared" si="17"/>
        <v>I104</v>
      </c>
      <c r="S104" s="494" t="s">
        <v>1377</v>
      </c>
      <c r="T104" s="494">
        <v>5</v>
      </c>
      <c r="U104" s="556" t="str">
        <f t="shared" ca="1" si="12"/>
        <v/>
      </c>
      <c r="V104" s="494">
        <v>6</v>
      </c>
      <c r="W104" s="556" t="str">
        <f t="shared" ca="1" si="13"/>
        <v/>
      </c>
      <c r="X104" s="494" t="s">
        <v>1378</v>
      </c>
      <c r="Y104" s="547" t="str">
        <f t="shared" ca="1" si="14"/>
        <v/>
      </c>
      <c r="Z104" s="494" t="s">
        <v>1379</v>
      </c>
      <c r="AA104" s="547" t="str">
        <f t="shared" ca="1" si="15"/>
        <v/>
      </c>
      <c r="AB104" s="494" t="s">
        <v>1380</v>
      </c>
      <c r="AC104" s="547" t="str">
        <f t="shared" ca="1" si="16"/>
        <v/>
      </c>
      <c r="AD104" s="557"/>
      <c r="AE104" s="958"/>
    </row>
    <row r="105" spans="1:31" ht="15" customHeight="1">
      <c r="A105" s="957">
        <v>51</v>
      </c>
      <c r="B105" s="566" t="s">
        <v>1008</v>
      </c>
      <c r="C105" s="567" t="s">
        <v>1369</v>
      </c>
      <c r="D105" s="958" t="s">
        <v>1406</v>
      </c>
      <c r="E105" s="959" t="s">
        <v>683</v>
      </c>
      <c r="F105" s="558" t="s">
        <v>1386</v>
      </c>
      <c r="G105" s="558">
        <v>288</v>
      </c>
      <c r="H105" s="558" t="s">
        <v>1030</v>
      </c>
      <c r="I105" s="559" t="s">
        <v>693</v>
      </c>
      <c r="J105" s="567" t="s">
        <v>1372</v>
      </c>
      <c r="K105" s="960" t="s">
        <v>1373</v>
      </c>
      <c r="L105" s="555" t="str">
        <f t="shared" ca="1" si="9"/>
        <v/>
      </c>
      <c r="M105" s="494" t="s">
        <v>1374</v>
      </c>
      <c r="N105" s="555" t="str">
        <f t="shared" ca="1" si="10"/>
        <v/>
      </c>
      <c r="O105" s="494" t="s">
        <v>1375</v>
      </c>
      <c r="P105" s="555" t="str">
        <f t="shared" ca="1" si="11"/>
        <v/>
      </c>
      <c r="Q105" s="494" t="s">
        <v>1376</v>
      </c>
      <c r="R105" s="494" t="str">
        <f t="shared" si="17"/>
        <v>I105</v>
      </c>
      <c r="S105" s="494" t="s">
        <v>1377</v>
      </c>
      <c r="T105" s="494">
        <v>5</v>
      </c>
      <c r="U105" s="556" t="str">
        <f t="shared" ca="1" si="12"/>
        <v/>
      </c>
      <c r="V105" s="494">
        <v>6</v>
      </c>
      <c r="W105" s="556" t="str">
        <f t="shared" ca="1" si="13"/>
        <v/>
      </c>
      <c r="X105" s="494" t="s">
        <v>1378</v>
      </c>
      <c r="Y105" s="547" t="str">
        <f t="shared" ca="1" si="14"/>
        <v/>
      </c>
      <c r="Z105" s="494" t="s">
        <v>1379</v>
      </c>
      <c r="AA105" s="547" t="str">
        <f t="shared" ca="1" si="15"/>
        <v/>
      </c>
      <c r="AB105" s="494" t="s">
        <v>1380</v>
      </c>
      <c r="AC105" s="547" t="str">
        <f t="shared" ca="1" si="16"/>
        <v/>
      </c>
      <c r="AD105" s="557"/>
      <c r="AE105" s="958"/>
    </row>
    <row r="106" spans="1:31" ht="15" customHeight="1">
      <c r="A106" s="957">
        <v>51</v>
      </c>
      <c r="B106" s="566" t="s">
        <v>1008</v>
      </c>
      <c r="C106" s="567" t="s">
        <v>1369</v>
      </c>
      <c r="D106" s="958" t="s">
        <v>1406</v>
      </c>
      <c r="E106" s="959" t="s">
        <v>683</v>
      </c>
      <c r="F106" s="558" t="s">
        <v>1386</v>
      </c>
      <c r="G106" s="558">
        <v>288</v>
      </c>
      <c r="H106" s="558" t="s">
        <v>1030</v>
      </c>
      <c r="I106" s="559" t="s">
        <v>694</v>
      </c>
      <c r="J106" s="567" t="s">
        <v>1372</v>
      </c>
      <c r="K106" s="960" t="s">
        <v>1373</v>
      </c>
      <c r="L106" s="555" t="str">
        <f t="shared" ca="1" si="9"/>
        <v/>
      </c>
      <c r="M106" s="494" t="s">
        <v>1374</v>
      </c>
      <c r="N106" s="555" t="str">
        <f t="shared" ca="1" si="10"/>
        <v/>
      </c>
      <c r="O106" s="494" t="s">
        <v>1375</v>
      </c>
      <c r="P106" s="555" t="str">
        <f t="shared" ca="1" si="11"/>
        <v/>
      </c>
      <c r="Q106" s="494" t="s">
        <v>1376</v>
      </c>
      <c r="R106" s="494" t="str">
        <f t="shared" si="17"/>
        <v>I106</v>
      </c>
      <c r="S106" s="494" t="s">
        <v>1377</v>
      </c>
      <c r="T106" s="494">
        <v>5</v>
      </c>
      <c r="U106" s="556" t="str">
        <f t="shared" ca="1" si="12"/>
        <v/>
      </c>
      <c r="V106" s="494">
        <v>6</v>
      </c>
      <c r="W106" s="556" t="str">
        <f t="shared" ca="1" si="13"/>
        <v/>
      </c>
      <c r="X106" s="494" t="s">
        <v>1378</v>
      </c>
      <c r="Y106" s="547" t="str">
        <f t="shared" ca="1" si="14"/>
        <v/>
      </c>
      <c r="Z106" s="494" t="s">
        <v>1379</v>
      </c>
      <c r="AA106" s="547" t="str">
        <f t="shared" ca="1" si="15"/>
        <v/>
      </c>
      <c r="AB106" s="494" t="s">
        <v>1380</v>
      </c>
      <c r="AC106" s="547" t="str">
        <f t="shared" ca="1" si="16"/>
        <v/>
      </c>
      <c r="AD106" s="557"/>
      <c r="AE106" s="958"/>
    </row>
    <row r="107" spans="1:31" ht="15" customHeight="1">
      <c r="A107" s="957">
        <v>51</v>
      </c>
      <c r="B107" s="566" t="s">
        <v>1008</v>
      </c>
      <c r="C107" s="567" t="s">
        <v>1369</v>
      </c>
      <c r="D107" s="958" t="s">
        <v>1406</v>
      </c>
      <c r="E107" s="959" t="s">
        <v>683</v>
      </c>
      <c r="F107" s="558" t="s">
        <v>1386</v>
      </c>
      <c r="G107" s="558">
        <v>288</v>
      </c>
      <c r="H107" s="558" t="s">
        <v>1030</v>
      </c>
      <c r="I107" s="559" t="s">
        <v>695</v>
      </c>
      <c r="J107" s="567" t="s">
        <v>1372</v>
      </c>
      <c r="K107" s="960" t="s">
        <v>1373</v>
      </c>
      <c r="L107" s="555" t="str">
        <f t="shared" ca="1" si="9"/>
        <v/>
      </c>
      <c r="M107" s="494" t="s">
        <v>1374</v>
      </c>
      <c r="N107" s="555" t="str">
        <f t="shared" ca="1" si="10"/>
        <v/>
      </c>
      <c r="O107" s="494" t="s">
        <v>1375</v>
      </c>
      <c r="P107" s="555" t="str">
        <f t="shared" ca="1" si="11"/>
        <v/>
      </c>
      <c r="Q107" s="494" t="s">
        <v>1376</v>
      </c>
      <c r="R107" s="494" t="str">
        <f t="shared" si="17"/>
        <v>I107</v>
      </c>
      <c r="S107" s="494" t="s">
        <v>1377</v>
      </c>
      <c r="T107" s="494">
        <v>5</v>
      </c>
      <c r="U107" s="556" t="str">
        <f t="shared" ca="1" si="12"/>
        <v/>
      </c>
      <c r="V107" s="494">
        <v>6</v>
      </c>
      <c r="W107" s="556" t="str">
        <f t="shared" ca="1" si="13"/>
        <v/>
      </c>
      <c r="X107" s="494" t="s">
        <v>1378</v>
      </c>
      <c r="Y107" s="547" t="str">
        <f t="shared" ca="1" si="14"/>
        <v/>
      </c>
      <c r="Z107" s="494" t="s">
        <v>1379</v>
      </c>
      <c r="AA107" s="547" t="str">
        <f t="shared" ca="1" si="15"/>
        <v/>
      </c>
      <c r="AB107" s="494" t="s">
        <v>1380</v>
      </c>
      <c r="AC107" s="547" t="str">
        <f t="shared" ca="1" si="16"/>
        <v/>
      </c>
      <c r="AD107" s="557"/>
      <c r="AE107" s="958"/>
    </row>
    <row r="108" spans="1:31" ht="15" customHeight="1">
      <c r="A108" s="957">
        <v>51</v>
      </c>
      <c r="B108" s="566" t="s">
        <v>1008</v>
      </c>
      <c r="C108" s="567" t="s">
        <v>1369</v>
      </c>
      <c r="D108" s="958" t="s">
        <v>1406</v>
      </c>
      <c r="E108" s="959" t="s">
        <v>683</v>
      </c>
      <c r="F108" s="558" t="s">
        <v>1386</v>
      </c>
      <c r="G108" s="558">
        <v>288</v>
      </c>
      <c r="H108" s="558" t="s">
        <v>1030</v>
      </c>
      <c r="I108" s="559" t="s">
        <v>696</v>
      </c>
      <c r="J108" s="567" t="s">
        <v>1372</v>
      </c>
      <c r="K108" s="960" t="s">
        <v>1373</v>
      </c>
      <c r="L108" s="555" t="str">
        <f t="shared" ca="1" si="9"/>
        <v/>
      </c>
      <c r="M108" s="494" t="s">
        <v>1374</v>
      </c>
      <c r="N108" s="555" t="str">
        <f t="shared" ca="1" si="10"/>
        <v/>
      </c>
      <c r="O108" s="494" t="s">
        <v>1375</v>
      </c>
      <c r="P108" s="555" t="str">
        <f t="shared" ca="1" si="11"/>
        <v/>
      </c>
      <c r="Q108" s="494" t="s">
        <v>1376</v>
      </c>
      <c r="R108" s="494" t="str">
        <f t="shared" si="17"/>
        <v>I108</v>
      </c>
      <c r="S108" s="494" t="s">
        <v>1377</v>
      </c>
      <c r="T108" s="494">
        <v>5</v>
      </c>
      <c r="U108" s="556" t="str">
        <f t="shared" ca="1" si="12"/>
        <v/>
      </c>
      <c r="V108" s="494">
        <v>6</v>
      </c>
      <c r="W108" s="556" t="str">
        <f t="shared" ca="1" si="13"/>
        <v/>
      </c>
      <c r="X108" s="494" t="s">
        <v>1378</v>
      </c>
      <c r="Y108" s="547" t="str">
        <f t="shared" ca="1" si="14"/>
        <v/>
      </c>
      <c r="Z108" s="494" t="s">
        <v>1379</v>
      </c>
      <c r="AA108" s="547" t="str">
        <f t="shared" ca="1" si="15"/>
        <v/>
      </c>
      <c r="AB108" s="494" t="s">
        <v>1380</v>
      </c>
      <c r="AC108" s="547" t="str">
        <f t="shared" ca="1" si="16"/>
        <v/>
      </c>
      <c r="AD108" s="557"/>
      <c r="AE108" s="958"/>
    </row>
    <row r="109" spans="1:31" ht="15" customHeight="1">
      <c r="A109" s="957">
        <v>51</v>
      </c>
      <c r="B109" s="566" t="s">
        <v>1008</v>
      </c>
      <c r="C109" s="567" t="s">
        <v>1369</v>
      </c>
      <c r="D109" s="958" t="s">
        <v>1406</v>
      </c>
      <c r="E109" s="959" t="s">
        <v>683</v>
      </c>
      <c r="F109" s="558" t="s">
        <v>1386</v>
      </c>
      <c r="G109" s="558">
        <v>289</v>
      </c>
      <c r="H109" s="558" t="s">
        <v>1031</v>
      </c>
      <c r="I109" s="559" t="s">
        <v>686</v>
      </c>
      <c r="J109" s="567" t="s">
        <v>1372</v>
      </c>
      <c r="K109" s="960" t="s">
        <v>1373</v>
      </c>
      <c r="L109" s="555" t="str">
        <f t="shared" ca="1" si="9"/>
        <v/>
      </c>
      <c r="M109" s="494" t="s">
        <v>1374</v>
      </c>
      <c r="N109" s="555" t="str">
        <f t="shared" ca="1" si="10"/>
        <v/>
      </c>
      <c r="O109" s="494" t="s">
        <v>1375</v>
      </c>
      <c r="P109" s="555" t="str">
        <f t="shared" ca="1" si="11"/>
        <v/>
      </c>
      <c r="Q109" s="494" t="s">
        <v>1376</v>
      </c>
      <c r="R109" s="494" t="str">
        <f t="shared" si="17"/>
        <v>I109</v>
      </c>
      <c r="S109" s="494" t="s">
        <v>1377</v>
      </c>
      <c r="T109" s="494">
        <v>5</v>
      </c>
      <c r="U109" s="556" t="str">
        <f t="shared" ca="1" si="12"/>
        <v/>
      </c>
      <c r="V109" s="494">
        <v>6</v>
      </c>
      <c r="W109" s="556" t="str">
        <f t="shared" ca="1" si="13"/>
        <v/>
      </c>
      <c r="X109" s="494" t="s">
        <v>1378</v>
      </c>
      <c r="Y109" s="547" t="str">
        <f t="shared" ca="1" si="14"/>
        <v/>
      </c>
      <c r="Z109" s="494" t="s">
        <v>1379</v>
      </c>
      <c r="AA109" s="547" t="str">
        <f t="shared" ca="1" si="15"/>
        <v/>
      </c>
      <c r="AB109" s="494" t="s">
        <v>1380</v>
      </c>
      <c r="AC109" s="547" t="str">
        <f t="shared" ca="1" si="16"/>
        <v/>
      </c>
      <c r="AD109" s="557"/>
      <c r="AE109" s="958"/>
    </row>
    <row r="110" spans="1:31" ht="15" customHeight="1">
      <c r="A110" s="957">
        <v>51</v>
      </c>
      <c r="B110" s="566" t="s">
        <v>1008</v>
      </c>
      <c r="C110" s="567" t="s">
        <v>1369</v>
      </c>
      <c r="D110" s="958" t="s">
        <v>1406</v>
      </c>
      <c r="E110" s="959" t="s">
        <v>683</v>
      </c>
      <c r="F110" s="558" t="s">
        <v>1386</v>
      </c>
      <c r="G110" s="558">
        <v>289</v>
      </c>
      <c r="H110" s="558" t="s">
        <v>1031</v>
      </c>
      <c r="I110" s="559" t="s">
        <v>687</v>
      </c>
      <c r="J110" s="567" t="s">
        <v>1372</v>
      </c>
      <c r="K110" s="960" t="s">
        <v>1373</v>
      </c>
      <c r="L110" s="555" t="str">
        <f t="shared" ca="1" si="9"/>
        <v/>
      </c>
      <c r="M110" s="494" t="s">
        <v>1374</v>
      </c>
      <c r="N110" s="555" t="str">
        <f t="shared" ca="1" si="10"/>
        <v/>
      </c>
      <c r="O110" s="494" t="s">
        <v>1375</v>
      </c>
      <c r="P110" s="555" t="str">
        <f t="shared" ca="1" si="11"/>
        <v/>
      </c>
      <c r="Q110" s="494" t="s">
        <v>1376</v>
      </c>
      <c r="R110" s="494" t="str">
        <f t="shared" si="17"/>
        <v>I110</v>
      </c>
      <c r="S110" s="494" t="s">
        <v>1377</v>
      </c>
      <c r="T110" s="494">
        <v>5</v>
      </c>
      <c r="U110" s="556" t="str">
        <f t="shared" ca="1" si="12"/>
        <v/>
      </c>
      <c r="V110" s="494">
        <v>6</v>
      </c>
      <c r="W110" s="556" t="str">
        <f t="shared" ca="1" si="13"/>
        <v/>
      </c>
      <c r="X110" s="494" t="s">
        <v>1378</v>
      </c>
      <c r="Y110" s="547" t="str">
        <f t="shared" ca="1" si="14"/>
        <v/>
      </c>
      <c r="Z110" s="494" t="s">
        <v>1379</v>
      </c>
      <c r="AA110" s="547" t="str">
        <f t="shared" ca="1" si="15"/>
        <v/>
      </c>
      <c r="AB110" s="494" t="s">
        <v>1380</v>
      </c>
      <c r="AC110" s="547" t="str">
        <f t="shared" ca="1" si="16"/>
        <v/>
      </c>
      <c r="AD110" s="557"/>
      <c r="AE110" s="958"/>
    </row>
    <row r="111" spans="1:31" ht="15" customHeight="1">
      <c r="A111" s="957">
        <v>51</v>
      </c>
      <c r="B111" s="566" t="s">
        <v>1008</v>
      </c>
      <c r="C111" s="567" t="s">
        <v>1369</v>
      </c>
      <c r="D111" s="958" t="s">
        <v>1406</v>
      </c>
      <c r="E111" s="959" t="s">
        <v>683</v>
      </c>
      <c r="F111" s="558" t="s">
        <v>1386</v>
      </c>
      <c r="G111" s="558">
        <v>289</v>
      </c>
      <c r="H111" s="558" t="s">
        <v>1031</v>
      </c>
      <c r="I111" s="559" t="s">
        <v>688</v>
      </c>
      <c r="J111" s="567" t="s">
        <v>1372</v>
      </c>
      <c r="K111" s="960" t="s">
        <v>1373</v>
      </c>
      <c r="L111" s="555" t="str">
        <f t="shared" ca="1" si="9"/>
        <v/>
      </c>
      <c r="M111" s="494" t="s">
        <v>1374</v>
      </c>
      <c r="N111" s="555" t="str">
        <f t="shared" ca="1" si="10"/>
        <v/>
      </c>
      <c r="O111" s="494" t="s">
        <v>1375</v>
      </c>
      <c r="P111" s="555" t="str">
        <f t="shared" ca="1" si="11"/>
        <v/>
      </c>
      <c r="Q111" s="494" t="s">
        <v>1376</v>
      </c>
      <c r="R111" s="494" t="str">
        <f t="shared" si="17"/>
        <v>I111</v>
      </c>
      <c r="S111" s="494" t="s">
        <v>1377</v>
      </c>
      <c r="T111" s="494">
        <v>5</v>
      </c>
      <c r="U111" s="556" t="str">
        <f t="shared" ca="1" si="12"/>
        <v/>
      </c>
      <c r="V111" s="494">
        <v>6</v>
      </c>
      <c r="W111" s="556" t="str">
        <f t="shared" ca="1" si="13"/>
        <v/>
      </c>
      <c r="X111" s="494" t="s">
        <v>1378</v>
      </c>
      <c r="Y111" s="547" t="str">
        <f t="shared" ca="1" si="14"/>
        <v/>
      </c>
      <c r="Z111" s="494" t="s">
        <v>1379</v>
      </c>
      <c r="AA111" s="547" t="str">
        <f t="shared" ca="1" si="15"/>
        <v/>
      </c>
      <c r="AB111" s="494" t="s">
        <v>1380</v>
      </c>
      <c r="AC111" s="547" t="str">
        <f t="shared" ca="1" si="16"/>
        <v/>
      </c>
      <c r="AD111" s="557"/>
      <c r="AE111" s="958"/>
    </row>
    <row r="112" spans="1:31" ht="15" customHeight="1">
      <c r="A112" s="957">
        <v>51</v>
      </c>
      <c r="B112" s="566" t="s">
        <v>1008</v>
      </c>
      <c r="C112" s="567" t="s">
        <v>1369</v>
      </c>
      <c r="D112" s="958" t="s">
        <v>1406</v>
      </c>
      <c r="E112" s="959" t="s">
        <v>683</v>
      </c>
      <c r="F112" s="558" t="s">
        <v>1386</v>
      </c>
      <c r="G112" s="558">
        <v>289</v>
      </c>
      <c r="H112" s="558" t="s">
        <v>1031</v>
      </c>
      <c r="I112" s="559" t="s">
        <v>689</v>
      </c>
      <c r="J112" s="567" t="s">
        <v>1372</v>
      </c>
      <c r="K112" s="960" t="s">
        <v>1373</v>
      </c>
      <c r="L112" s="555" t="str">
        <f t="shared" ca="1" si="9"/>
        <v/>
      </c>
      <c r="M112" s="494" t="s">
        <v>1374</v>
      </c>
      <c r="N112" s="555" t="str">
        <f t="shared" ca="1" si="10"/>
        <v/>
      </c>
      <c r="O112" s="494" t="s">
        <v>1375</v>
      </c>
      <c r="P112" s="555" t="str">
        <f t="shared" ca="1" si="11"/>
        <v/>
      </c>
      <c r="Q112" s="494" t="s">
        <v>1376</v>
      </c>
      <c r="R112" s="494" t="str">
        <f t="shared" si="17"/>
        <v>I112</v>
      </c>
      <c r="S112" s="494" t="s">
        <v>1377</v>
      </c>
      <c r="T112" s="494">
        <v>5</v>
      </c>
      <c r="U112" s="556" t="str">
        <f t="shared" ca="1" si="12"/>
        <v/>
      </c>
      <c r="V112" s="494">
        <v>6</v>
      </c>
      <c r="W112" s="556" t="str">
        <f t="shared" ca="1" si="13"/>
        <v/>
      </c>
      <c r="X112" s="494" t="s">
        <v>1378</v>
      </c>
      <c r="Y112" s="547" t="str">
        <f t="shared" ca="1" si="14"/>
        <v/>
      </c>
      <c r="Z112" s="494" t="s">
        <v>1379</v>
      </c>
      <c r="AA112" s="547" t="str">
        <f t="shared" ca="1" si="15"/>
        <v/>
      </c>
      <c r="AB112" s="494" t="s">
        <v>1380</v>
      </c>
      <c r="AC112" s="547" t="str">
        <f t="shared" ca="1" si="16"/>
        <v/>
      </c>
      <c r="AD112" s="557"/>
      <c r="AE112" s="958"/>
    </row>
    <row r="113" spans="1:31" ht="15" customHeight="1">
      <c r="A113" s="957">
        <v>51</v>
      </c>
      <c r="B113" s="566" t="s">
        <v>1008</v>
      </c>
      <c r="C113" s="567" t="s">
        <v>1369</v>
      </c>
      <c r="D113" s="958" t="s">
        <v>1406</v>
      </c>
      <c r="E113" s="959" t="s">
        <v>683</v>
      </c>
      <c r="F113" s="558" t="s">
        <v>1386</v>
      </c>
      <c r="G113" s="558">
        <v>290</v>
      </c>
      <c r="H113" s="558" t="s">
        <v>1032</v>
      </c>
      <c r="I113" s="559" t="s">
        <v>706</v>
      </c>
      <c r="J113" s="567" t="s">
        <v>1372</v>
      </c>
      <c r="K113" s="960" t="s">
        <v>1373</v>
      </c>
      <c r="L113" s="555" t="str">
        <f t="shared" ca="1" si="9"/>
        <v/>
      </c>
      <c r="M113" s="494" t="s">
        <v>1374</v>
      </c>
      <c r="N113" s="555" t="str">
        <f t="shared" ca="1" si="10"/>
        <v/>
      </c>
      <c r="O113" s="494" t="s">
        <v>1375</v>
      </c>
      <c r="P113" s="555" t="str">
        <f t="shared" ca="1" si="11"/>
        <v/>
      </c>
      <c r="Q113" s="494" t="s">
        <v>1376</v>
      </c>
      <c r="R113" s="494" t="str">
        <f t="shared" si="17"/>
        <v>I113</v>
      </c>
      <c r="S113" s="494" t="s">
        <v>1377</v>
      </c>
      <c r="T113" s="494">
        <v>5</v>
      </c>
      <c r="U113" s="556" t="str">
        <f t="shared" ca="1" si="12"/>
        <v/>
      </c>
      <c r="V113" s="494">
        <v>6</v>
      </c>
      <c r="W113" s="556" t="str">
        <f t="shared" ca="1" si="13"/>
        <v/>
      </c>
      <c r="X113" s="494" t="s">
        <v>1378</v>
      </c>
      <c r="Y113" s="547" t="str">
        <f t="shared" ca="1" si="14"/>
        <v/>
      </c>
      <c r="Z113" s="494" t="s">
        <v>1379</v>
      </c>
      <c r="AA113" s="547" t="str">
        <f t="shared" ca="1" si="15"/>
        <v/>
      </c>
      <c r="AB113" s="494" t="s">
        <v>1380</v>
      </c>
      <c r="AC113" s="547" t="str">
        <f t="shared" ca="1" si="16"/>
        <v/>
      </c>
      <c r="AD113" s="557"/>
      <c r="AE113" s="958"/>
    </row>
    <row r="114" spans="1:31" ht="15" customHeight="1">
      <c r="A114" s="957">
        <v>51</v>
      </c>
      <c r="B114" s="566" t="s">
        <v>1008</v>
      </c>
      <c r="C114" s="567" t="s">
        <v>1369</v>
      </c>
      <c r="D114" s="958" t="s">
        <v>1406</v>
      </c>
      <c r="E114" s="959" t="s">
        <v>683</v>
      </c>
      <c r="F114" s="558" t="s">
        <v>1386</v>
      </c>
      <c r="G114" s="558">
        <v>290</v>
      </c>
      <c r="H114" s="558" t="s">
        <v>1032</v>
      </c>
      <c r="I114" s="559" t="s">
        <v>708</v>
      </c>
      <c r="J114" s="567" t="s">
        <v>1372</v>
      </c>
      <c r="K114" s="960" t="s">
        <v>1373</v>
      </c>
      <c r="L114" s="555" t="str">
        <f t="shared" ca="1" si="9"/>
        <v/>
      </c>
      <c r="M114" s="494" t="s">
        <v>1374</v>
      </c>
      <c r="N114" s="555" t="str">
        <f t="shared" ca="1" si="10"/>
        <v/>
      </c>
      <c r="O114" s="494" t="s">
        <v>1375</v>
      </c>
      <c r="P114" s="555" t="str">
        <f t="shared" ca="1" si="11"/>
        <v/>
      </c>
      <c r="Q114" s="494" t="s">
        <v>1376</v>
      </c>
      <c r="R114" s="494" t="str">
        <f t="shared" si="17"/>
        <v>I114</v>
      </c>
      <c r="S114" s="494" t="s">
        <v>1377</v>
      </c>
      <c r="T114" s="494">
        <v>5</v>
      </c>
      <c r="U114" s="556" t="str">
        <f t="shared" ca="1" si="12"/>
        <v/>
      </c>
      <c r="V114" s="494">
        <v>6</v>
      </c>
      <c r="W114" s="556" t="str">
        <f t="shared" ca="1" si="13"/>
        <v/>
      </c>
      <c r="X114" s="494" t="s">
        <v>1378</v>
      </c>
      <c r="Y114" s="547" t="str">
        <f t="shared" ca="1" si="14"/>
        <v/>
      </c>
      <c r="Z114" s="494" t="s">
        <v>1379</v>
      </c>
      <c r="AA114" s="547" t="str">
        <f t="shared" ca="1" si="15"/>
        <v/>
      </c>
      <c r="AB114" s="494" t="s">
        <v>1380</v>
      </c>
      <c r="AC114" s="547" t="str">
        <f t="shared" ca="1" si="16"/>
        <v/>
      </c>
      <c r="AD114" s="557"/>
      <c r="AE114" s="958"/>
    </row>
    <row r="115" spans="1:31" ht="15" customHeight="1">
      <c r="A115" s="957">
        <v>51</v>
      </c>
      <c r="B115" s="566" t="s">
        <v>1008</v>
      </c>
      <c r="C115" s="567" t="s">
        <v>1369</v>
      </c>
      <c r="D115" s="958" t="s">
        <v>1406</v>
      </c>
      <c r="E115" s="959" t="s">
        <v>683</v>
      </c>
      <c r="F115" s="558" t="s">
        <v>1386</v>
      </c>
      <c r="G115" s="558">
        <v>291</v>
      </c>
      <c r="H115" s="558" t="s">
        <v>1033</v>
      </c>
      <c r="I115" s="559" t="s">
        <v>711</v>
      </c>
      <c r="J115" s="567" t="s">
        <v>1372</v>
      </c>
      <c r="K115" s="960" t="s">
        <v>1373</v>
      </c>
      <c r="L115" s="555" t="str">
        <f t="shared" ca="1" si="9"/>
        <v/>
      </c>
      <c r="M115" s="494" t="s">
        <v>1374</v>
      </c>
      <c r="N115" s="555" t="str">
        <f t="shared" ca="1" si="10"/>
        <v/>
      </c>
      <c r="O115" s="494" t="s">
        <v>1375</v>
      </c>
      <c r="P115" s="555" t="str">
        <f t="shared" ca="1" si="11"/>
        <v/>
      </c>
      <c r="Q115" s="494" t="s">
        <v>1376</v>
      </c>
      <c r="R115" s="494" t="str">
        <f t="shared" si="17"/>
        <v>I115</v>
      </c>
      <c r="S115" s="494" t="s">
        <v>1377</v>
      </c>
      <c r="T115" s="494">
        <v>5</v>
      </c>
      <c r="U115" s="556" t="str">
        <f t="shared" ca="1" si="12"/>
        <v/>
      </c>
      <c r="V115" s="494">
        <v>6</v>
      </c>
      <c r="W115" s="556" t="str">
        <f t="shared" ca="1" si="13"/>
        <v/>
      </c>
      <c r="X115" s="494" t="s">
        <v>1378</v>
      </c>
      <c r="Y115" s="547" t="str">
        <f t="shared" ca="1" si="14"/>
        <v/>
      </c>
      <c r="Z115" s="494" t="s">
        <v>1379</v>
      </c>
      <c r="AA115" s="547" t="str">
        <f t="shared" ca="1" si="15"/>
        <v/>
      </c>
      <c r="AB115" s="494" t="s">
        <v>1380</v>
      </c>
      <c r="AC115" s="547" t="str">
        <f t="shared" ca="1" si="16"/>
        <v/>
      </c>
      <c r="AD115" s="557"/>
      <c r="AE115" s="958"/>
    </row>
    <row r="116" spans="1:31" ht="15" customHeight="1">
      <c r="A116" s="957">
        <v>51</v>
      </c>
      <c r="B116" s="566" t="s">
        <v>1008</v>
      </c>
      <c r="C116" s="567" t="s">
        <v>1369</v>
      </c>
      <c r="D116" s="958" t="s">
        <v>1406</v>
      </c>
      <c r="E116" s="959" t="s">
        <v>683</v>
      </c>
      <c r="F116" s="558" t="s">
        <v>1386</v>
      </c>
      <c r="G116" s="558">
        <v>291</v>
      </c>
      <c r="H116" s="558" t="s">
        <v>1033</v>
      </c>
      <c r="I116" s="559" t="s">
        <v>712</v>
      </c>
      <c r="J116" s="567" t="s">
        <v>1372</v>
      </c>
      <c r="K116" s="960" t="s">
        <v>1373</v>
      </c>
      <c r="L116" s="555" t="str">
        <f t="shared" ca="1" si="9"/>
        <v/>
      </c>
      <c r="M116" s="494" t="s">
        <v>1374</v>
      </c>
      <c r="N116" s="555" t="str">
        <f t="shared" ca="1" si="10"/>
        <v/>
      </c>
      <c r="O116" s="494" t="s">
        <v>1375</v>
      </c>
      <c r="P116" s="555" t="str">
        <f t="shared" ca="1" si="11"/>
        <v/>
      </c>
      <c r="Q116" s="494" t="s">
        <v>1376</v>
      </c>
      <c r="R116" s="494" t="str">
        <f t="shared" si="17"/>
        <v>I116</v>
      </c>
      <c r="S116" s="494" t="s">
        <v>1377</v>
      </c>
      <c r="T116" s="494">
        <v>5</v>
      </c>
      <c r="U116" s="556" t="str">
        <f t="shared" ca="1" si="12"/>
        <v/>
      </c>
      <c r="V116" s="494">
        <v>6</v>
      </c>
      <c r="W116" s="556" t="str">
        <f t="shared" ca="1" si="13"/>
        <v/>
      </c>
      <c r="X116" s="494" t="s">
        <v>1378</v>
      </c>
      <c r="Y116" s="547" t="str">
        <f t="shared" ca="1" si="14"/>
        <v/>
      </c>
      <c r="Z116" s="494" t="s">
        <v>1379</v>
      </c>
      <c r="AA116" s="547" t="str">
        <f t="shared" ca="1" si="15"/>
        <v/>
      </c>
      <c r="AB116" s="494" t="s">
        <v>1380</v>
      </c>
      <c r="AC116" s="547" t="str">
        <f t="shared" ca="1" si="16"/>
        <v/>
      </c>
      <c r="AD116" s="557"/>
      <c r="AE116" s="958"/>
    </row>
    <row r="117" spans="1:31" ht="15" customHeight="1">
      <c r="A117" s="957">
        <v>51</v>
      </c>
      <c r="B117" s="566" t="s">
        <v>1008</v>
      </c>
      <c r="C117" s="567" t="s">
        <v>1369</v>
      </c>
      <c r="D117" s="958" t="s">
        <v>1406</v>
      </c>
      <c r="E117" s="959" t="s">
        <v>683</v>
      </c>
      <c r="F117" s="558" t="s">
        <v>1386</v>
      </c>
      <c r="G117" s="558">
        <v>292</v>
      </c>
      <c r="H117" s="558" t="s">
        <v>1034</v>
      </c>
      <c r="I117" s="559" t="s">
        <v>1410</v>
      </c>
      <c r="J117" s="567" t="s">
        <v>1372</v>
      </c>
      <c r="K117" s="960" t="s">
        <v>1373</v>
      </c>
      <c r="L117" s="555" t="str">
        <f t="shared" ca="1" si="9"/>
        <v/>
      </c>
      <c r="M117" s="494" t="s">
        <v>1374</v>
      </c>
      <c r="N117" s="555" t="str">
        <f t="shared" ca="1" si="10"/>
        <v/>
      </c>
      <c r="O117" s="494" t="s">
        <v>1375</v>
      </c>
      <c r="P117" s="555" t="str">
        <f t="shared" ca="1" si="11"/>
        <v/>
      </c>
      <c r="Q117" s="494" t="s">
        <v>1376</v>
      </c>
      <c r="R117" s="494" t="str">
        <f t="shared" si="17"/>
        <v>I117</v>
      </c>
      <c r="S117" s="494" t="s">
        <v>1377</v>
      </c>
      <c r="T117" s="494">
        <v>5</v>
      </c>
      <c r="U117" s="556" t="str">
        <f t="shared" ca="1" si="12"/>
        <v/>
      </c>
      <c r="V117" s="494">
        <v>6</v>
      </c>
      <c r="W117" s="556" t="str">
        <f t="shared" ca="1" si="13"/>
        <v/>
      </c>
      <c r="X117" s="494" t="s">
        <v>1378</v>
      </c>
      <c r="Y117" s="547" t="str">
        <f t="shared" ca="1" si="14"/>
        <v/>
      </c>
      <c r="Z117" s="494" t="s">
        <v>1379</v>
      </c>
      <c r="AA117" s="547" t="str">
        <f t="shared" ca="1" si="15"/>
        <v/>
      </c>
      <c r="AB117" s="494" t="s">
        <v>1380</v>
      </c>
      <c r="AC117" s="547" t="str">
        <f t="shared" ca="1" si="16"/>
        <v/>
      </c>
      <c r="AD117" s="557"/>
      <c r="AE117" s="958"/>
    </row>
    <row r="118" spans="1:31" ht="15" customHeight="1">
      <c r="A118" s="957">
        <v>51</v>
      </c>
      <c r="B118" s="566" t="s">
        <v>1008</v>
      </c>
      <c r="C118" s="567" t="s">
        <v>1369</v>
      </c>
      <c r="D118" s="958" t="s">
        <v>1406</v>
      </c>
      <c r="E118" s="959" t="s">
        <v>683</v>
      </c>
      <c r="F118" s="558" t="s">
        <v>1386</v>
      </c>
      <c r="G118" s="558">
        <v>292</v>
      </c>
      <c r="H118" s="558" t="s">
        <v>1034</v>
      </c>
      <c r="I118" s="559" t="s">
        <v>1411</v>
      </c>
      <c r="J118" s="567" t="s">
        <v>1372</v>
      </c>
      <c r="K118" s="960" t="s">
        <v>1373</v>
      </c>
      <c r="L118" s="555" t="str">
        <f t="shared" ca="1" si="9"/>
        <v/>
      </c>
      <c r="M118" s="494" t="s">
        <v>1374</v>
      </c>
      <c r="N118" s="555" t="str">
        <f t="shared" ca="1" si="10"/>
        <v/>
      </c>
      <c r="O118" s="494" t="s">
        <v>1375</v>
      </c>
      <c r="P118" s="555" t="str">
        <f t="shared" ca="1" si="11"/>
        <v/>
      </c>
      <c r="Q118" s="494" t="s">
        <v>1376</v>
      </c>
      <c r="R118" s="494" t="str">
        <f t="shared" si="17"/>
        <v>I118</v>
      </c>
      <c r="S118" s="494" t="s">
        <v>1377</v>
      </c>
      <c r="T118" s="494">
        <v>5</v>
      </c>
      <c r="U118" s="556" t="str">
        <f t="shared" ca="1" si="12"/>
        <v/>
      </c>
      <c r="V118" s="494">
        <v>6</v>
      </c>
      <c r="W118" s="556" t="str">
        <f t="shared" ca="1" si="13"/>
        <v/>
      </c>
      <c r="X118" s="494" t="s">
        <v>1378</v>
      </c>
      <c r="Y118" s="547" t="str">
        <f t="shared" ca="1" si="14"/>
        <v/>
      </c>
      <c r="Z118" s="494" t="s">
        <v>1379</v>
      </c>
      <c r="AA118" s="547" t="str">
        <f t="shared" ca="1" si="15"/>
        <v/>
      </c>
      <c r="AB118" s="494" t="s">
        <v>1380</v>
      </c>
      <c r="AC118" s="547" t="str">
        <f t="shared" ca="1" si="16"/>
        <v/>
      </c>
      <c r="AD118" s="557"/>
      <c r="AE118" s="958"/>
    </row>
    <row r="119" spans="1:31" ht="15" customHeight="1">
      <c r="A119" s="957">
        <v>51</v>
      </c>
      <c r="B119" s="566" t="s">
        <v>1008</v>
      </c>
      <c r="C119" s="567" t="s">
        <v>1369</v>
      </c>
      <c r="D119" s="958" t="s">
        <v>1406</v>
      </c>
      <c r="E119" s="959" t="s">
        <v>683</v>
      </c>
      <c r="F119" s="558" t="s">
        <v>1386</v>
      </c>
      <c r="G119" s="558">
        <v>294</v>
      </c>
      <c r="H119" s="558" t="s">
        <v>1039</v>
      </c>
      <c r="I119" s="559" t="s">
        <v>1041</v>
      </c>
      <c r="J119" s="567" t="s">
        <v>1372</v>
      </c>
      <c r="K119" s="960" t="s">
        <v>1373</v>
      </c>
      <c r="L119" s="555" t="str">
        <f t="shared" ca="1" si="9"/>
        <v/>
      </c>
      <c r="M119" s="494" t="s">
        <v>1374</v>
      </c>
      <c r="N119" s="555" t="str">
        <f t="shared" ca="1" si="10"/>
        <v/>
      </c>
      <c r="O119" s="494" t="s">
        <v>1375</v>
      </c>
      <c r="P119" s="555" t="str">
        <f t="shared" ca="1" si="11"/>
        <v/>
      </c>
      <c r="Q119" s="494" t="s">
        <v>1376</v>
      </c>
      <c r="R119" s="494" t="str">
        <f t="shared" si="17"/>
        <v>I119</v>
      </c>
      <c r="S119" s="494" t="s">
        <v>1377</v>
      </c>
      <c r="T119" s="494">
        <v>5</v>
      </c>
      <c r="U119" s="556" t="str">
        <f t="shared" ca="1" si="12"/>
        <v/>
      </c>
      <c r="V119" s="494">
        <v>6</v>
      </c>
      <c r="W119" s="556" t="str">
        <f t="shared" ca="1" si="13"/>
        <v/>
      </c>
      <c r="X119" s="494" t="s">
        <v>1378</v>
      </c>
      <c r="Y119" s="547" t="str">
        <f t="shared" ca="1" si="14"/>
        <v/>
      </c>
      <c r="Z119" s="494" t="s">
        <v>1379</v>
      </c>
      <c r="AA119" s="547" t="str">
        <f t="shared" ca="1" si="15"/>
        <v/>
      </c>
      <c r="AB119" s="494" t="s">
        <v>1380</v>
      </c>
      <c r="AC119" s="547" t="str">
        <f t="shared" ca="1" si="16"/>
        <v/>
      </c>
      <c r="AD119" s="557"/>
      <c r="AE119" s="958"/>
    </row>
    <row r="120" spans="1:31" ht="15" customHeight="1">
      <c r="A120" s="957">
        <v>51</v>
      </c>
      <c r="B120" s="566" t="s">
        <v>1008</v>
      </c>
      <c r="C120" s="567" t="s">
        <v>1369</v>
      </c>
      <c r="D120" s="958" t="s">
        <v>1406</v>
      </c>
      <c r="E120" s="959" t="s">
        <v>683</v>
      </c>
      <c r="F120" s="558" t="s">
        <v>1386</v>
      </c>
      <c r="G120" s="558">
        <v>294</v>
      </c>
      <c r="H120" s="558" t="s">
        <v>1039</v>
      </c>
      <c r="I120" s="559" t="s">
        <v>1412</v>
      </c>
      <c r="J120" s="567" t="s">
        <v>1372</v>
      </c>
      <c r="K120" s="960" t="s">
        <v>1373</v>
      </c>
      <c r="L120" s="555" t="str">
        <f t="shared" ca="1" si="9"/>
        <v/>
      </c>
      <c r="M120" s="494" t="s">
        <v>1374</v>
      </c>
      <c r="N120" s="555" t="str">
        <f t="shared" ca="1" si="10"/>
        <v/>
      </c>
      <c r="O120" s="494" t="s">
        <v>1375</v>
      </c>
      <c r="P120" s="555" t="str">
        <f t="shared" ca="1" si="11"/>
        <v/>
      </c>
      <c r="Q120" s="494" t="s">
        <v>1376</v>
      </c>
      <c r="R120" s="494" t="str">
        <f t="shared" si="17"/>
        <v>I120</v>
      </c>
      <c r="S120" s="494" t="s">
        <v>1377</v>
      </c>
      <c r="T120" s="494">
        <v>5</v>
      </c>
      <c r="U120" s="556" t="str">
        <f t="shared" ca="1" si="12"/>
        <v/>
      </c>
      <c r="V120" s="494">
        <v>6</v>
      </c>
      <c r="W120" s="556" t="str">
        <f t="shared" ca="1" si="13"/>
        <v/>
      </c>
      <c r="X120" s="494" t="s">
        <v>1378</v>
      </c>
      <c r="Y120" s="547" t="str">
        <f t="shared" ca="1" si="14"/>
        <v/>
      </c>
      <c r="Z120" s="494" t="s">
        <v>1379</v>
      </c>
      <c r="AA120" s="547" t="str">
        <f t="shared" ca="1" si="15"/>
        <v/>
      </c>
      <c r="AB120" s="494" t="s">
        <v>1380</v>
      </c>
      <c r="AC120" s="547" t="str">
        <f t="shared" ca="1" si="16"/>
        <v/>
      </c>
      <c r="AD120" s="557"/>
      <c r="AE120" s="958"/>
    </row>
    <row r="121" spans="1:31" ht="15" customHeight="1">
      <c r="A121" s="957">
        <v>51</v>
      </c>
      <c r="B121" s="566" t="s">
        <v>1008</v>
      </c>
      <c r="C121" s="567" t="s">
        <v>1369</v>
      </c>
      <c r="D121" s="958" t="s">
        <v>1406</v>
      </c>
      <c r="E121" s="959" t="s">
        <v>683</v>
      </c>
      <c r="F121" s="558" t="s">
        <v>1386</v>
      </c>
      <c r="G121" s="558">
        <v>294</v>
      </c>
      <c r="H121" s="558" t="s">
        <v>1039</v>
      </c>
      <c r="I121" s="559" t="s">
        <v>1413</v>
      </c>
      <c r="J121" s="567" t="s">
        <v>1372</v>
      </c>
      <c r="K121" s="960" t="s">
        <v>1373</v>
      </c>
      <c r="L121" s="555" t="str">
        <f t="shared" ca="1" si="9"/>
        <v/>
      </c>
      <c r="M121" s="494" t="s">
        <v>1374</v>
      </c>
      <c r="N121" s="555" t="str">
        <f t="shared" ca="1" si="10"/>
        <v/>
      </c>
      <c r="O121" s="494" t="s">
        <v>1375</v>
      </c>
      <c r="P121" s="555" t="str">
        <f t="shared" ca="1" si="11"/>
        <v/>
      </c>
      <c r="Q121" s="494" t="s">
        <v>1376</v>
      </c>
      <c r="R121" s="494" t="str">
        <f t="shared" si="17"/>
        <v>I121</v>
      </c>
      <c r="S121" s="494" t="s">
        <v>1377</v>
      </c>
      <c r="T121" s="494">
        <v>5</v>
      </c>
      <c r="U121" s="556" t="str">
        <f t="shared" ca="1" si="12"/>
        <v/>
      </c>
      <c r="V121" s="494">
        <v>6</v>
      </c>
      <c r="W121" s="556" t="str">
        <f t="shared" ca="1" si="13"/>
        <v/>
      </c>
      <c r="X121" s="494" t="s">
        <v>1378</v>
      </c>
      <c r="Y121" s="547" t="str">
        <f t="shared" ca="1" si="14"/>
        <v/>
      </c>
      <c r="Z121" s="494" t="s">
        <v>1379</v>
      </c>
      <c r="AA121" s="547" t="str">
        <f t="shared" ca="1" si="15"/>
        <v/>
      </c>
      <c r="AB121" s="494" t="s">
        <v>1380</v>
      </c>
      <c r="AC121" s="547" t="str">
        <f t="shared" ca="1" si="16"/>
        <v/>
      </c>
      <c r="AD121" s="557"/>
      <c r="AE121" s="958"/>
    </row>
    <row r="122" spans="1:31" ht="15" customHeight="1">
      <c r="A122" s="957">
        <v>51</v>
      </c>
      <c r="B122" s="566" t="s">
        <v>1008</v>
      </c>
      <c r="C122" s="567" t="s">
        <v>1369</v>
      </c>
      <c r="D122" s="958" t="s">
        <v>1406</v>
      </c>
      <c r="E122" s="959" t="s">
        <v>683</v>
      </c>
      <c r="F122" s="558" t="s">
        <v>1386</v>
      </c>
      <c r="G122" s="558">
        <v>294</v>
      </c>
      <c r="H122" s="558" t="s">
        <v>1039</v>
      </c>
      <c r="I122" s="559" t="s">
        <v>1414</v>
      </c>
      <c r="J122" s="567" t="s">
        <v>1372</v>
      </c>
      <c r="K122" s="960" t="s">
        <v>1373</v>
      </c>
      <c r="L122" s="555" t="str">
        <f t="shared" ca="1" si="9"/>
        <v/>
      </c>
      <c r="M122" s="494" t="s">
        <v>1374</v>
      </c>
      <c r="N122" s="555" t="str">
        <f t="shared" ca="1" si="10"/>
        <v/>
      </c>
      <c r="O122" s="494" t="s">
        <v>1375</v>
      </c>
      <c r="P122" s="555" t="str">
        <f t="shared" ca="1" si="11"/>
        <v/>
      </c>
      <c r="Q122" s="494" t="s">
        <v>1376</v>
      </c>
      <c r="R122" s="494" t="str">
        <f t="shared" si="17"/>
        <v>I122</v>
      </c>
      <c r="S122" s="494" t="s">
        <v>1377</v>
      </c>
      <c r="T122" s="494">
        <v>5</v>
      </c>
      <c r="U122" s="556" t="str">
        <f t="shared" ca="1" si="12"/>
        <v/>
      </c>
      <c r="V122" s="494">
        <v>6</v>
      </c>
      <c r="W122" s="556" t="str">
        <f t="shared" ca="1" si="13"/>
        <v/>
      </c>
      <c r="X122" s="494" t="s">
        <v>1378</v>
      </c>
      <c r="Y122" s="547" t="str">
        <f t="shared" ca="1" si="14"/>
        <v/>
      </c>
      <c r="Z122" s="494" t="s">
        <v>1379</v>
      </c>
      <c r="AA122" s="547" t="str">
        <f t="shared" ca="1" si="15"/>
        <v/>
      </c>
      <c r="AB122" s="494" t="s">
        <v>1380</v>
      </c>
      <c r="AC122" s="547" t="str">
        <f t="shared" ca="1" si="16"/>
        <v/>
      </c>
      <c r="AD122" s="557"/>
      <c r="AE122" s="958"/>
    </row>
    <row r="123" spans="1:31" ht="15" customHeight="1">
      <c r="A123" s="957">
        <v>51</v>
      </c>
      <c r="B123" s="566" t="s">
        <v>1008</v>
      </c>
      <c r="C123" s="567" t="s">
        <v>1369</v>
      </c>
      <c r="D123" s="958" t="s">
        <v>1406</v>
      </c>
      <c r="E123" s="959" t="s">
        <v>683</v>
      </c>
      <c r="F123" s="558" t="s">
        <v>1386</v>
      </c>
      <c r="G123" s="558">
        <v>294</v>
      </c>
      <c r="H123" s="558" t="s">
        <v>1039</v>
      </c>
      <c r="I123" s="559" t="s">
        <v>1040</v>
      </c>
      <c r="J123" s="567" t="s">
        <v>1372</v>
      </c>
      <c r="K123" s="960" t="s">
        <v>1373</v>
      </c>
      <c r="L123" s="555" t="str">
        <f t="shared" ca="1" si="9"/>
        <v/>
      </c>
      <c r="M123" s="494" t="s">
        <v>1374</v>
      </c>
      <c r="N123" s="555" t="str">
        <f t="shared" ca="1" si="10"/>
        <v/>
      </c>
      <c r="O123" s="494" t="s">
        <v>1375</v>
      </c>
      <c r="P123" s="555" t="str">
        <f t="shared" ca="1" si="11"/>
        <v/>
      </c>
      <c r="Q123" s="494" t="s">
        <v>1376</v>
      </c>
      <c r="R123" s="494" t="str">
        <f t="shared" si="17"/>
        <v>I123</v>
      </c>
      <c r="S123" s="494" t="s">
        <v>1377</v>
      </c>
      <c r="T123" s="494">
        <v>5</v>
      </c>
      <c r="U123" s="556" t="str">
        <f t="shared" ca="1" si="12"/>
        <v/>
      </c>
      <c r="V123" s="494">
        <v>6</v>
      </c>
      <c r="W123" s="556" t="str">
        <f t="shared" ca="1" si="13"/>
        <v/>
      </c>
      <c r="X123" s="494" t="s">
        <v>1378</v>
      </c>
      <c r="Y123" s="547" t="str">
        <f t="shared" ca="1" si="14"/>
        <v/>
      </c>
      <c r="Z123" s="494" t="s">
        <v>1379</v>
      </c>
      <c r="AA123" s="547" t="str">
        <f t="shared" ca="1" si="15"/>
        <v/>
      </c>
      <c r="AB123" s="494" t="s">
        <v>1380</v>
      </c>
      <c r="AC123" s="547" t="str">
        <f t="shared" ca="1" si="16"/>
        <v/>
      </c>
      <c r="AD123" s="557"/>
      <c r="AE123" s="958"/>
    </row>
    <row r="124" spans="1:31" ht="15" customHeight="1">
      <c r="A124" s="957">
        <v>51</v>
      </c>
      <c r="B124" s="566" t="s">
        <v>1008</v>
      </c>
      <c r="C124" s="567" t="s">
        <v>1369</v>
      </c>
      <c r="D124" s="958" t="s">
        <v>1406</v>
      </c>
      <c r="E124" s="959" t="s">
        <v>713</v>
      </c>
      <c r="F124" s="558" t="s">
        <v>1392</v>
      </c>
      <c r="G124" s="558">
        <v>295</v>
      </c>
      <c r="H124" s="558" t="s">
        <v>1045</v>
      </c>
      <c r="I124" s="559" t="s">
        <v>734</v>
      </c>
      <c r="J124" s="567" t="s">
        <v>1372</v>
      </c>
      <c r="K124" s="960" t="s">
        <v>1373</v>
      </c>
      <c r="L124" s="555" t="str">
        <f t="shared" ca="1" si="9"/>
        <v/>
      </c>
      <c r="M124" s="494" t="s">
        <v>1374</v>
      </c>
      <c r="N124" s="555" t="str">
        <f t="shared" ca="1" si="10"/>
        <v/>
      </c>
      <c r="O124" s="494" t="s">
        <v>1375</v>
      </c>
      <c r="P124" s="555" t="str">
        <f t="shared" ca="1" si="11"/>
        <v/>
      </c>
      <c r="Q124" s="494" t="s">
        <v>1376</v>
      </c>
      <c r="R124" s="494" t="str">
        <f t="shared" si="17"/>
        <v>I124</v>
      </c>
      <c r="S124" s="494" t="s">
        <v>1377</v>
      </c>
      <c r="T124" s="494">
        <v>5</v>
      </c>
      <c r="U124" s="556" t="str">
        <f t="shared" ca="1" si="12"/>
        <v/>
      </c>
      <c r="V124" s="494">
        <v>6</v>
      </c>
      <c r="W124" s="556" t="str">
        <f t="shared" ca="1" si="13"/>
        <v/>
      </c>
      <c r="X124" s="494" t="s">
        <v>1378</v>
      </c>
      <c r="Y124" s="547" t="str">
        <f t="shared" ca="1" si="14"/>
        <v/>
      </c>
      <c r="Z124" s="494" t="s">
        <v>1379</v>
      </c>
      <c r="AA124" s="547" t="str">
        <f t="shared" ca="1" si="15"/>
        <v/>
      </c>
      <c r="AB124" s="494" t="s">
        <v>1380</v>
      </c>
      <c r="AC124" s="547" t="str">
        <f t="shared" ca="1" si="16"/>
        <v/>
      </c>
      <c r="AD124" s="557"/>
      <c r="AE124" s="958"/>
    </row>
    <row r="125" spans="1:31" ht="15" customHeight="1">
      <c r="A125" s="957">
        <v>51</v>
      </c>
      <c r="B125" s="566" t="s">
        <v>1008</v>
      </c>
      <c r="C125" s="567" t="s">
        <v>1369</v>
      </c>
      <c r="D125" s="958" t="s">
        <v>1406</v>
      </c>
      <c r="E125" s="959" t="s">
        <v>713</v>
      </c>
      <c r="F125" s="558" t="s">
        <v>1392</v>
      </c>
      <c r="G125" s="558">
        <v>295</v>
      </c>
      <c r="H125" s="558" t="s">
        <v>1045</v>
      </c>
      <c r="I125" s="559" t="s">
        <v>735</v>
      </c>
      <c r="J125" s="567" t="s">
        <v>1372</v>
      </c>
      <c r="K125" s="960" t="s">
        <v>1373</v>
      </c>
      <c r="L125" s="555" t="str">
        <f t="shared" ca="1" si="9"/>
        <v/>
      </c>
      <c r="M125" s="494" t="s">
        <v>1374</v>
      </c>
      <c r="N125" s="555" t="str">
        <f t="shared" ca="1" si="10"/>
        <v/>
      </c>
      <c r="O125" s="494" t="s">
        <v>1375</v>
      </c>
      <c r="P125" s="555" t="str">
        <f t="shared" ca="1" si="11"/>
        <v/>
      </c>
      <c r="Q125" s="494" t="s">
        <v>1376</v>
      </c>
      <c r="R125" s="494" t="str">
        <f t="shared" si="17"/>
        <v>I125</v>
      </c>
      <c r="S125" s="494" t="s">
        <v>1377</v>
      </c>
      <c r="T125" s="494">
        <v>5</v>
      </c>
      <c r="U125" s="556" t="str">
        <f t="shared" ca="1" si="12"/>
        <v/>
      </c>
      <c r="V125" s="494">
        <v>6</v>
      </c>
      <c r="W125" s="556" t="str">
        <f t="shared" ca="1" si="13"/>
        <v/>
      </c>
      <c r="X125" s="494" t="s">
        <v>1378</v>
      </c>
      <c r="Y125" s="547" t="str">
        <f t="shared" ca="1" si="14"/>
        <v/>
      </c>
      <c r="Z125" s="494" t="s">
        <v>1379</v>
      </c>
      <c r="AA125" s="547" t="str">
        <f t="shared" ca="1" si="15"/>
        <v/>
      </c>
      <c r="AB125" s="494" t="s">
        <v>1380</v>
      </c>
      <c r="AC125" s="547" t="str">
        <f t="shared" ca="1" si="16"/>
        <v/>
      </c>
      <c r="AD125" s="557"/>
      <c r="AE125" s="958"/>
    </row>
    <row r="126" spans="1:31" ht="15" customHeight="1">
      <c r="A126" s="957">
        <v>51</v>
      </c>
      <c r="B126" s="566" t="s">
        <v>1008</v>
      </c>
      <c r="C126" s="567" t="s">
        <v>1369</v>
      </c>
      <c r="D126" s="958" t="s">
        <v>1406</v>
      </c>
      <c r="E126" s="959" t="s">
        <v>713</v>
      </c>
      <c r="F126" s="558" t="s">
        <v>1392</v>
      </c>
      <c r="G126" s="558">
        <v>296</v>
      </c>
      <c r="H126" s="558" t="s">
        <v>1046</v>
      </c>
      <c r="I126" s="559" t="s">
        <v>739</v>
      </c>
      <c r="J126" s="567" t="s">
        <v>1372</v>
      </c>
      <c r="K126" s="960" t="s">
        <v>1373</v>
      </c>
      <c r="L126" s="555" t="str">
        <f t="shared" ca="1" si="9"/>
        <v/>
      </c>
      <c r="M126" s="494" t="s">
        <v>1374</v>
      </c>
      <c r="N126" s="555" t="str">
        <f t="shared" ca="1" si="10"/>
        <v/>
      </c>
      <c r="O126" s="494" t="s">
        <v>1375</v>
      </c>
      <c r="P126" s="555" t="str">
        <f t="shared" ca="1" si="11"/>
        <v/>
      </c>
      <c r="Q126" s="494" t="s">
        <v>1376</v>
      </c>
      <c r="R126" s="494" t="str">
        <f t="shared" si="17"/>
        <v>I126</v>
      </c>
      <c r="S126" s="494" t="s">
        <v>1377</v>
      </c>
      <c r="T126" s="494">
        <v>5</v>
      </c>
      <c r="U126" s="556" t="str">
        <f t="shared" ca="1" si="12"/>
        <v/>
      </c>
      <c r="V126" s="494">
        <v>6</v>
      </c>
      <c r="W126" s="556" t="str">
        <f t="shared" ca="1" si="13"/>
        <v/>
      </c>
      <c r="X126" s="494" t="s">
        <v>1378</v>
      </c>
      <c r="Y126" s="547" t="str">
        <f t="shared" ca="1" si="14"/>
        <v/>
      </c>
      <c r="Z126" s="494" t="s">
        <v>1379</v>
      </c>
      <c r="AA126" s="547" t="str">
        <f t="shared" ca="1" si="15"/>
        <v/>
      </c>
      <c r="AB126" s="494" t="s">
        <v>1380</v>
      </c>
      <c r="AC126" s="547" t="str">
        <f t="shared" ca="1" si="16"/>
        <v/>
      </c>
      <c r="AD126" s="557"/>
      <c r="AE126" s="958"/>
    </row>
    <row r="127" spans="1:31" ht="15" customHeight="1">
      <c r="A127" s="957">
        <v>51</v>
      </c>
      <c r="B127" s="566" t="s">
        <v>1008</v>
      </c>
      <c r="C127" s="567" t="s">
        <v>1369</v>
      </c>
      <c r="D127" s="958" t="s">
        <v>1406</v>
      </c>
      <c r="E127" s="959" t="s">
        <v>713</v>
      </c>
      <c r="F127" s="558" t="s">
        <v>1392</v>
      </c>
      <c r="G127" s="558">
        <v>296</v>
      </c>
      <c r="H127" s="558" t="s">
        <v>1046</v>
      </c>
      <c r="I127" s="559" t="s">
        <v>740</v>
      </c>
      <c r="J127" s="567" t="s">
        <v>1372</v>
      </c>
      <c r="K127" s="960" t="s">
        <v>1373</v>
      </c>
      <c r="L127" s="555" t="str">
        <f t="shared" ca="1" si="9"/>
        <v/>
      </c>
      <c r="M127" s="494" t="s">
        <v>1374</v>
      </c>
      <c r="N127" s="555" t="str">
        <f t="shared" ca="1" si="10"/>
        <v/>
      </c>
      <c r="O127" s="494" t="s">
        <v>1375</v>
      </c>
      <c r="P127" s="555" t="str">
        <f t="shared" ca="1" si="11"/>
        <v/>
      </c>
      <c r="Q127" s="494" t="s">
        <v>1376</v>
      </c>
      <c r="R127" s="494" t="str">
        <f t="shared" si="17"/>
        <v>I127</v>
      </c>
      <c r="S127" s="494" t="s">
        <v>1377</v>
      </c>
      <c r="T127" s="494">
        <v>5</v>
      </c>
      <c r="U127" s="556" t="str">
        <f t="shared" ca="1" si="12"/>
        <v/>
      </c>
      <c r="V127" s="494">
        <v>6</v>
      </c>
      <c r="W127" s="556" t="str">
        <f t="shared" ca="1" si="13"/>
        <v/>
      </c>
      <c r="X127" s="494" t="s">
        <v>1378</v>
      </c>
      <c r="Y127" s="547" t="str">
        <f t="shared" ca="1" si="14"/>
        <v/>
      </c>
      <c r="Z127" s="494" t="s">
        <v>1379</v>
      </c>
      <c r="AA127" s="547" t="str">
        <f t="shared" ca="1" si="15"/>
        <v/>
      </c>
      <c r="AB127" s="494" t="s">
        <v>1380</v>
      </c>
      <c r="AC127" s="547" t="str">
        <f t="shared" ca="1" si="16"/>
        <v/>
      </c>
      <c r="AD127" s="557"/>
      <c r="AE127" s="958"/>
    </row>
    <row r="128" spans="1:31" ht="15" customHeight="1">
      <c r="A128" s="957">
        <v>51</v>
      </c>
      <c r="B128" s="566" t="s">
        <v>1008</v>
      </c>
      <c r="C128" s="567" t="s">
        <v>1369</v>
      </c>
      <c r="D128" s="958" t="s">
        <v>1406</v>
      </c>
      <c r="E128" s="959" t="s">
        <v>713</v>
      </c>
      <c r="F128" s="558" t="s">
        <v>1392</v>
      </c>
      <c r="G128" s="558">
        <v>297</v>
      </c>
      <c r="H128" s="558" t="s">
        <v>1047</v>
      </c>
      <c r="I128" s="559" t="s">
        <v>714</v>
      </c>
      <c r="J128" s="567" t="s">
        <v>1372</v>
      </c>
      <c r="K128" s="960" t="s">
        <v>1373</v>
      </c>
      <c r="L128" s="555" t="str">
        <f t="shared" ca="1" si="9"/>
        <v/>
      </c>
      <c r="M128" s="494" t="s">
        <v>1374</v>
      </c>
      <c r="N128" s="555" t="str">
        <f t="shared" ca="1" si="10"/>
        <v/>
      </c>
      <c r="O128" s="494" t="s">
        <v>1375</v>
      </c>
      <c r="P128" s="555" t="str">
        <f t="shared" ca="1" si="11"/>
        <v/>
      </c>
      <c r="Q128" s="494" t="s">
        <v>1376</v>
      </c>
      <c r="R128" s="494" t="str">
        <f t="shared" si="17"/>
        <v>I128</v>
      </c>
      <c r="S128" s="494" t="s">
        <v>1377</v>
      </c>
      <c r="T128" s="494">
        <v>5</v>
      </c>
      <c r="U128" s="556" t="str">
        <f t="shared" ca="1" si="12"/>
        <v/>
      </c>
      <c r="V128" s="494">
        <v>6</v>
      </c>
      <c r="W128" s="556" t="str">
        <f t="shared" ca="1" si="13"/>
        <v/>
      </c>
      <c r="X128" s="494" t="s">
        <v>1378</v>
      </c>
      <c r="Y128" s="547" t="str">
        <f t="shared" ca="1" si="14"/>
        <v/>
      </c>
      <c r="Z128" s="494" t="s">
        <v>1379</v>
      </c>
      <c r="AA128" s="547" t="str">
        <f t="shared" ca="1" si="15"/>
        <v/>
      </c>
      <c r="AB128" s="494" t="s">
        <v>1380</v>
      </c>
      <c r="AC128" s="547" t="str">
        <f t="shared" ca="1" si="16"/>
        <v/>
      </c>
      <c r="AD128" s="557"/>
      <c r="AE128" s="958"/>
    </row>
    <row r="129" spans="1:31" ht="15" customHeight="1">
      <c r="A129" s="957">
        <v>51</v>
      </c>
      <c r="B129" s="566" t="s">
        <v>1008</v>
      </c>
      <c r="C129" s="567" t="s">
        <v>1369</v>
      </c>
      <c r="D129" s="958" t="s">
        <v>1406</v>
      </c>
      <c r="E129" s="959" t="s">
        <v>713</v>
      </c>
      <c r="F129" s="558" t="s">
        <v>1392</v>
      </c>
      <c r="G129" s="558">
        <v>298</v>
      </c>
      <c r="H129" s="558" t="s">
        <v>1048</v>
      </c>
      <c r="I129" s="559" t="s">
        <v>717</v>
      </c>
      <c r="J129" s="567" t="s">
        <v>1372</v>
      </c>
      <c r="K129" s="960" t="s">
        <v>1373</v>
      </c>
      <c r="L129" s="555" t="str">
        <f t="shared" ca="1" si="9"/>
        <v/>
      </c>
      <c r="M129" s="494" t="s">
        <v>1374</v>
      </c>
      <c r="N129" s="555" t="str">
        <f t="shared" ca="1" si="10"/>
        <v/>
      </c>
      <c r="O129" s="494" t="s">
        <v>1375</v>
      </c>
      <c r="P129" s="555" t="str">
        <f t="shared" ca="1" si="11"/>
        <v/>
      </c>
      <c r="Q129" s="494" t="s">
        <v>1376</v>
      </c>
      <c r="R129" s="494" t="str">
        <f t="shared" si="17"/>
        <v>I129</v>
      </c>
      <c r="S129" s="494" t="s">
        <v>1377</v>
      </c>
      <c r="T129" s="494">
        <v>5</v>
      </c>
      <c r="U129" s="556" t="str">
        <f t="shared" ca="1" si="12"/>
        <v/>
      </c>
      <c r="V129" s="494">
        <v>6</v>
      </c>
      <c r="W129" s="556" t="str">
        <f t="shared" ca="1" si="13"/>
        <v/>
      </c>
      <c r="X129" s="494" t="s">
        <v>1378</v>
      </c>
      <c r="Y129" s="547" t="str">
        <f t="shared" ca="1" si="14"/>
        <v/>
      </c>
      <c r="Z129" s="494" t="s">
        <v>1379</v>
      </c>
      <c r="AA129" s="547" t="str">
        <f t="shared" ca="1" si="15"/>
        <v/>
      </c>
      <c r="AB129" s="494" t="s">
        <v>1380</v>
      </c>
      <c r="AC129" s="547" t="str">
        <f t="shared" ca="1" si="16"/>
        <v/>
      </c>
      <c r="AD129" s="557"/>
      <c r="AE129" s="958"/>
    </row>
    <row r="130" spans="1:31" ht="15" customHeight="1">
      <c r="A130" s="957">
        <v>51</v>
      </c>
      <c r="B130" s="566" t="s">
        <v>1008</v>
      </c>
      <c r="C130" s="567" t="s">
        <v>1369</v>
      </c>
      <c r="D130" s="958" t="s">
        <v>1406</v>
      </c>
      <c r="E130" s="959" t="s">
        <v>713</v>
      </c>
      <c r="F130" s="558" t="s">
        <v>1392</v>
      </c>
      <c r="G130" s="558">
        <v>299</v>
      </c>
      <c r="H130" s="558" t="s">
        <v>1049</v>
      </c>
      <c r="I130" s="559" t="s">
        <v>741</v>
      </c>
      <c r="J130" s="567" t="s">
        <v>1372</v>
      </c>
      <c r="K130" s="960" t="s">
        <v>1373</v>
      </c>
      <c r="L130" s="555" t="str">
        <f t="shared" ref="L130:L193" ca="1" si="18">IF(AND(INDIRECT(CONCATENATE($J130,$K130,5))=$B130,ISNUMBER(SEARCH("Please",INDIRECT(CONCATENATE($J130,$K130,2)),1))=FALSE),SUMPRODUCT(MID(0&amp;INDIRECT(CONCATENATE($J130,$K130,2)), LARGE(INDEX(ISNUMBER(--MID(INDIRECT(CONCATENATE($J130,$K130,2)), ROW(INDIRECT("1:"&amp;LEN(INDIRECT(CONCATENATE($J130,$K130,2))))),1))*ROW(INDIRECT("1:"&amp;LEN(INDIRECT(CONCATENATE($J130,$K130,2))))),0), ROW(INDIRECT("1:"&amp;LEN(INDIRECT(CONCATENATE($J130,$K130,2))))))+1,1)*10^ROW(INDIRECT("1:"&amp;LEN(INDIRECT(CONCATENATE($J130,$K130,2)))))/10),"")</f>
        <v/>
      </c>
      <c r="M130" s="494" t="s">
        <v>1374</v>
      </c>
      <c r="N130" s="555" t="str">
        <f t="shared" ref="N130:N193" ca="1" si="19">IF(AND(INDIRECT(CONCATENATE($J130,$K130,5))=$B130,ISNUMBER(SEARCH("Select",INDIRECT(CONCATENATE($J130,$M130,6)),1))=FALSE),INDIRECT(CONCATENATE($J130,$M130,6)),"")</f>
        <v/>
      </c>
      <c r="O130" s="494" t="s">
        <v>1375</v>
      </c>
      <c r="P130" s="555" t="str">
        <f t="shared" ref="P130:P193" ca="1" si="20">IF(AND(INDIRECT(CONCATENATE($J130,$K130,5))=$B130,ISNUMBER(SEARCH("Select",INDIRECT(CONCATENATE($J130,$O130,6)),1))=FALSE),INDIRECT(CONCATENATE($J130,$O130,6)),"")</f>
        <v/>
      </c>
      <c r="Q130" s="494" t="s">
        <v>1376</v>
      </c>
      <c r="R130" s="494" t="str">
        <f t="shared" si="17"/>
        <v>I130</v>
      </c>
      <c r="S130" s="494" t="s">
        <v>1377</v>
      </c>
      <c r="T130" s="494">
        <v>5</v>
      </c>
      <c r="U130" s="556" t="str">
        <f t="shared" ref="U130:U193" ca="1" si="21">IF(AND($B130=INDIRECT(CONCATENATE($J130,$K130,5)),ISBLANK(INDEX(INDIRECT(CONCATENATE($J130,$Q130)),MATCH(INDIRECT($R130),INDIRECT(CONCATENATE($J130,$S130)),0),T130))=FALSE),INDEX(INDIRECT(CONCATENATE($J130,$Q130)),MATCH(INDIRECT($R130),INDIRECT(CONCATENATE($J130,$S130)),0),T130),"")</f>
        <v/>
      </c>
      <c r="V130" s="494">
        <v>6</v>
      </c>
      <c r="W130" s="556" t="str">
        <f t="shared" ref="W130:W193" ca="1" si="22">IF(AND($B130=INDIRECT(CONCATENATE($J130,$K130,5)),ISBLANK(INDEX(INDIRECT(CONCATENATE($J130,$Q130)),MATCH(INDIRECT($R130),INDIRECT(CONCATENATE($J130,$S130)),0),V130))=FALSE),INDEX(INDIRECT(CONCATENATE($J130,$Q130)),MATCH(INDIRECT($R130),INDIRECT(CONCATENATE($J130,$S130)),0),V130),"")</f>
        <v/>
      </c>
      <c r="X130" s="494" t="s">
        <v>1378</v>
      </c>
      <c r="Y130" s="547" t="str">
        <f t="shared" ref="Y130:Y193" ca="1" si="23">IF(AND(INDIRECT(CONCATENATE($J130,$K130,5))=$B130,ISBLANK(INDIRECT(CONCATENATE($J130,X130)))=FALSE),INDIRECT(CONCATENATE($J130,X130)),"")</f>
        <v/>
      </c>
      <c r="Z130" s="494" t="s">
        <v>1379</v>
      </c>
      <c r="AA130" s="547" t="str">
        <f t="shared" ref="AA130:AA193" ca="1" si="24">IF(AND(INDIRECT(CONCATENATE($J130,$K130,"5"))=$B130,ISBLANK(INDIRECT(CONCATENATE($J130,Z130)))=FALSE),INDIRECT(CONCATENATE($J130,Z130)),"")</f>
        <v/>
      </c>
      <c r="AB130" s="494" t="s">
        <v>1380</v>
      </c>
      <c r="AC130" s="547" t="str">
        <f t="shared" ref="AC130:AC193" ca="1" si="25">IF(AND(INDIRECT(CONCATENATE($J130,$K130,"5"))=$B130,ISBLANK(INDIRECT(CONCATENATE($J130,AB130)))=FALSE),INDIRECT(CONCATENATE($J130,AB130)),"")</f>
        <v/>
      </c>
      <c r="AD130" s="557"/>
      <c r="AE130" s="958"/>
    </row>
    <row r="131" spans="1:31" ht="15" customHeight="1">
      <c r="A131" s="957">
        <v>51</v>
      </c>
      <c r="B131" s="566" t="s">
        <v>1008</v>
      </c>
      <c r="C131" s="567" t="s">
        <v>1369</v>
      </c>
      <c r="D131" s="958" t="s">
        <v>1406</v>
      </c>
      <c r="E131" s="959" t="s">
        <v>713</v>
      </c>
      <c r="F131" s="558" t="s">
        <v>1392</v>
      </c>
      <c r="G131" s="558">
        <v>615</v>
      </c>
      <c r="H131" s="558" t="s">
        <v>1050</v>
      </c>
      <c r="I131" s="559" t="s">
        <v>1415</v>
      </c>
      <c r="J131" s="567" t="s">
        <v>1372</v>
      </c>
      <c r="K131" s="960" t="s">
        <v>1373</v>
      </c>
      <c r="L131" s="555" t="str">
        <f t="shared" ca="1" si="18"/>
        <v/>
      </c>
      <c r="M131" s="494" t="s">
        <v>1374</v>
      </c>
      <c r="N131" s="555" t="str">
        <f t="shared" ca="1" si="19"/>
        <v/>
      </c>
      <c r="O131" s="494" t="s">
        <v>1375</v>
      </c>
      <c r="P131" s="555" t="str">
        <f t="shared" ca="1" si="20"/>
        <v/>
      </c>
      <c r="Q131" s="494" t="s">
        <v>1376</v>
      </c>
      <c r="R131" s="494" t="str">
        <f t="shared" ref="R131:R194" si="26">CONCATENATE("I",ROW(J131))</f>
        <v>I131</v>
      </c>
      <c r="S131" s="494" t="s">
        <v>1377</v>
      </c>
      <c r="T131" s="494">
        <v>5</v>
      </c>
      <c r="U131" s="556" t="str">
        <f t="shared" ca="1" si="21"/>
        <v/>
      </c>
      <c r="V131" s="494">
        <v>6</v>
      </c>
      <c r="W131" s="556" t="str">
        <f t="shared" ca="1" si="22"/>
        <v/>
      </c>
      <c r="X131" s="494" t="s">
        <v>1378</v>
      </c>
      <c r="Y131" s="547" t="str">
        <f t="shared" ca="1" si="23"/>
        <v/>
      </c>
      <c r="Z131" s="494" t="s">
        <v>1379</v>
      </c>
      <c r="AA131" s="547" t="str">
        <f t="shared" ca="1" si="24"/>
        <v/>
      </c>
      <c r="AB131" s="494" t="s">
        <v>1380</v>
      </c>
      <c r="AC131" s="547" t="str">
        <f t="shared" ca="1" si="25"/>
        <v/>
      </c>
      <c r="AD131" s="557"/>
      <c r="AE131" s="958"/>
    </row>
    <row r="132" spans="1:31" ht="15" customHeight="1">
      <c r="A132" s="957">
        <v>51</v>
      </c>
      <c r="B132" s="566" t="s">
        <v>1008</v>
      </c>
      <c r="C132" s="567" t="s">
        <v>1369</v>
      </c>
      <c r="D132" s="958" t="s">
        <v>1406</v>
      </c>
      <c r="E132" s="959" t="s">
        <v>713</v>
      </c>
      <c r="F132" s="558" t="s">
        <v>1392</v>
      </c>
      <c r="G132" s="558">
        <v>615</v>
      </c>
      <c r="H132" s="558" t="s">
        <v>1050</v>
      </c>
      <c r="I132" s="559" t="s">
        <v>747</v>
      </c>
      <c r="J132" s="567" t="s">
        <v>1372</v>
      </c>
      <c r="K132" s="960" t="s">
        <v>1373</v>
      </c>
      <c r="L132" s="555" t="str">
        <f t="shared" ca="1" si="18"/>
        <v/>
      </c>
      <c r="M132" s="494" t="s">
        <v>1374</v>
      </c>
      <c r="N132" s="555" t="str">
        <f t="shared" ca="1" si="19"/>
        <v/>
      </c>
      <c r="O132" s="494" t="s">
        <v>1375</v>
      </c>
      <c r="P132" s="555" t="str">
        <f t="shared" ca="1" si="20"/>
        <v/>
      </c>
      <c r="Q132" s="494" t="s">
        <v>1376</v>
      </c>
      <c r="R132" s="494" t="str">
        <f t="shared" si="26"/>
        <v>I132</v>
      </c>
      <c r="S132" s="494" t="s">
        <v>1377</v>
      </c>
      <c r="T132" s="494">
        <v>5</v>
      </c>
      <c r="U132" s="556" t="str">
        <f t="shared" ca="1" si="21"/>
        <v/>
      </c>
      <c r="V132" s="494">
        <v>6</v>
      </c>
      <c r="W132" s="556" t="str">
        <f t="shared" ca="1" si="22"/>
        <v/>
      </c>
      <c r="X132" s="494" t="s">
        <v>1378</v>
      </c>
      <c r="Y132" s="547" t="str">
        <f t="shared" ca="1" si="23"/>
        <v/>
      </c>
      <c r="Z132" s="494" t="s">
        <v>1379</v>
      </c>
      <c r="AA132" s="547" t="str">
        <f t="shared" ca="1" si="24"/>
        <v/>
      </c>
      <c r="AB132" s="494" t="s">
        <v>1380</v>
      </c>
      <c r="AC132" s="547" t="str">
        <f t="shared" ca="1" si="25"/>
        <v/>
      </c>
      <c r="AD132" s="557"/>
      <c r="AE132" s="958"/>
    </row>
    <row r="133" spans="1:31" ht="15" customHeight="1">
      <c r="A133" s="957">
        <v>51</v>
      </c>
      <c r="B133" s="566" t="s">
        <v>1008</v>
      </c>
      <c r="C133" s="567" t="s">
        <v>1369</v>
      </c>
      <c r="D133" s="958" t="s">
        <v>1406</v>
      </c>
      <c r="E133" s="959" t="s">
        <v>713</v>
      </c>
      <c r="F133" s="558" t="s">
        <v>1392</v>
      </c>
      <c r="G133" s="558">
        <v>301</v>
      </c>
      <c r="H133" s="558" t="s">
        <v>1051</v>
      </c>
      <c r="I133" s="559" t="s">
        <v>1052</v>
      </c>
      <c r="J133" s="567" t="s">
        <v>1372</v>
      </c>
      <c r="K133" s="960" t="s">
        <v>1373</v>
      </c>
      <c r="L133" s="555" t="str">
        <f t="shared" ca="1" si="18"/>
        <v/>
      </c>
      <c r="M133" s="494" t="s">
        <v>1374</v>
      </c>
      <c r="N133" s="555" t="str">
        <f t="shared" ca="1" si="19"/>
        <v/>
      </c>
      <c r="O133" s="494" t="s">
        <v>1375</v>
      </c>
      <c r="P133" s="555" t="str">
        <f t="shared" ca="1" si="20"/>
        <v/>
      </c>
      <c r="Q133" s="494" t="s">
        <v>1376</v>
      </c>
      <c r="R133" s="494" t="str">
        <f t="shared" si="26"/>
        <v>I133</v>
      </c>
      <c r="S133" s="494" t="s">
        <v>1377</v>
      </c>
      <c r="T133" s="494">
        <v>5</v>
      </c>
      <c r="U133" s="556" t="str">
        <f t="shared" ca="1" si="21"/>
        <v/>
      </c>
      <c r="V133" s="494">
        <v>6</v>
      </c>
      <c r="W133" s="556" t="str">
        <f t="shared" ca="1" si="22"/>
        <v/>
      </c>
      <c r="X133" s="494" t="s">
        <v>1378</v>
      </c>
      <c r="Y133" s="547" t="str">
        <f t="shared" ca="1" si="23"/>
        <v/>
      </c>
      <c r="Z133" s="494" t="s">
        <v>1379</v>
      </c>
      <c r="AA133" s="547" t="str">
        <f t="shared" ca="1" si="24"/>
        <v/>
      </c>
      <c r="AB133" s="494" t="s">
        <v>1380</v>
      </c>
      <c r="AC133" s="547" t="str">
        <f t="shared" ca="1" si="25"/>
        <v/>
      </c>
      <c r="AD133" s="557"/>
      <c r="AE133" s="958"/>
    </row>
    <row r="134" spans="1:31" ht="15" customHeight="1">
      <c r="A134" s="957">
        <v>51</v>
      </c>
      <c r="B134" s="566" t="s">
        <v>1008</v>
      </c>
      <c r="C134" s="567" t="s">
        <v>1369</v>
      </c>
      <c r="D134" s="958" t="s">
        <v>1406</v>
      </c>
      <c r="E134" s="959" t="s">
        <v>713</v>
      </c>
      <c r="F134" s="558" t="s">
        <v>1392</v>
      </c>
      <c r="G134" s="558">
        <v>301</v>
      </c>
      <c r="H134" s="558" t="s">
        <v>1051</v>
      </c>
      <c r="I134" s="559" t="s">
        <v>1054</v>
      </c>
      <c r="J134" s="567" t="s">
        <v>1372</v>
      </c>
      <c r="K134" s="960" t="s">
        <v>1373</v>
      </c>
      <c r="L134" s="555" t="str">
        <f t="shared" ca="1" si="18"/>
        <v/>
      </c>
      <c r="M134" s="494" t="s">
        <v>1374</v>
      </c>
      <c r="N134" s="555" t="str">
        <f t="shared" ca="1" si="19"/>
        <v/>
      </c>
      <c r="O134" s="494" t="s">
        <v>1375</v>
      </c>
      <c r="P134" s="555" t="str">
        <f t="shared" ca="1" si="20"/>
        <v/>
      </c>
      <c r="Q134" s="494" t="s">
        <v>1376</v>
      </c>
      <c r="R134" s="494" t="str">
        <f t="shared" si="26"/>
        <v>I134</v>
      </c>
      <c r="S134" s="494" t="s">
        <v>1377</v>
      </c>
      <c r="T134" s="494">
        <v>5</v>
      </c>
      <c r="U134" s="556" t="str">
        <f t="shared" ca="1" si="21"/>
        <v/>
      </c>
      <c r="V134" s="494">
        <v>6</v>
      </c>
      <c r="W134" s="556" t="str">
        <f t="shared" ca="1" si="22"/>
        <v/>
      </c>
      <c r="X134" s="494" t="s">
        <v>1378</v>
      </c>
      <c r="Y134" s="547" t="str">
        <f t="shared" ca="1" si="23"/>
        <v/>
      </c>
      <c r="Z134" s="494" t="s">
        <v>1379</v>
      </c>
      <c r="AA134" s="547" t="str">
        <f t="shared" ca="1" si="24"/>
        <v/>
      </c>
      <c r="AB134" s="494" t="s">
        <v>1380</v>
      </c>
      <c r="AC134" s="547" t="str">
        <f t="shared" ca="1" si="25"/>
        <v/>
      </c>
      <c r="AD134" s="557"/>
      <c r="AE134" s="958"/>
    </row>
    <row r="135" spans="1:31" ht="15" customHeight="1">
      <c r="A135" s="957">
        <v>51</v>
      </c>
      <c r="B135" s="566" t="s">
        <v>1008</v>
      </c>
      <c r="C135" s="567" t="s">
        <v>1369</v>
      </c>
      <c r="D135" s="958" t="s">
        <v>1406</v>
      </c>
      <c r="E135" s="959" t="s">
        <v>713</v>
      </c>
      <c r="F135" s="558" t="s">
        <v>1392</v>
      </c>
      <c r="G135" s="558">
        <v>301</v>
      </c>
      <c r="H135" s="558" t="s">
        <v>1051</v>
      </c>
      <c r="I135" s="559" t="s">
        <v>1056</v>
      </c>
      <c r="J135" s="567" t="s">
        <v>1372</v>
      </c>
      <c r="K135" s="960" t="s">
        <v>1373</v>
      </c>
      <c r="L135" s="555" t="str">
        <f t="shared" ca="1" si="18"/>
        <v/>
      </c>
      <c r="M135" s="494" t="s">
        <v>1374</v>
      </c>
      <c r="N135" s="555" t="str">
        <f t="shared" ca="1" si="19"/>
        <v/>
      </c>
      <c r="O135" s="494" t="s">
        <v>1375</v>
      </c>
      <c r="P135" s="555" t="str">
        <f t="shared" ca="1" si="20"/>
        <v/>
      </c>
      <c r="Q135" s="494" t="s">
        <v>1376</v>
      </c>
      <c r="R135" s="494" t="str">
        <f t="shared" si="26"/>
        <v>I135</v>
      </c>
      <c r="S135" s="494" t="s">
        <v>1377</v>
      </c>
      <c r="T135" s="494">
        <v>5</v>
      </c>
      <c r="U135" s="556" t="str">
        <f t="shared" ca="1" si="21"/>
        <v/>
      </c>
      <c r="V135" s="494">
        <v>6</v>
      </c>
      <c r="W135" s="556" t="str">
        <f t="shared" ca="1" si="22"/>
        <v/>
      </c>
      <c r="X135" s="494" t="s">
        <v>1378</v>
      </c>
      <c r="Y135" s="547" t="str">
        <f t="shared" ca="1" si="23"/>
        <v/>
      </c>
      <c r="Z135" s="494" t="s">
        <v>1379</v>
      </c>
      <c r="AA135" s="547" t="str">
        <f t="shared" ca="1" si="24"/>
        <v/>
      </c>
      <c r="AB135" s="494" t="s">
        <v>1380</v>
      </c>
      <c r="AC135" s="547" t="str">
        <f t="shared" ca="1" si="25"/>
        <v/>
      </c>
      <c r="AD135" s="557"/>
      <c r="AE135" s="958"/>
    </row>
    <row r="136" spans="1:31" ht="15" customHeight="1">
      <c r="A136" s="957">
        <v>51</v>
      </c>
      <c r="B136" s="566" t="s">
        <v>1008</v>
      </c>
      <c r="C136" s="567" t="s">
        <v>1369</v>
      </c>
      <c r="D136" s="958" t="s">
        <v>1406</v>
      </c>
      <c r="E136" s="959" t="s">
        <v>713</v>
      </c>
      <c r="F136" s="558" t="s">
        <v>1392</v>
      </c>
      <c r="G136" s="558">
        <v>301</v>
      </c>
      <c r="H136" s="558" t="s">
        <v>1051</v>
      </c>
      <c r="I136" s="559" t="s">
        <v>1058</v>
      </c>
      <c r="J136" s="567" t="s">
        <v>1372</v>
      </c>
      <c r="K136" s="960" t="s">
        <v>1373</v>
      </c>
      <c r="L136" s="555" t="str">
        <f t="shared" ca="1" si="18"/>
        <v/>
      </c>
      <c r="M136" s="494" t="s">
        <v>1374</v>
      </c>
      <c r="N136" s="555" t="str">
        <f t="shared" ca="1" si="19"/>
        <v/>
      </c>
      <c r="O136" s="494" t="s">
        <v>1375</v>
      </c>
      <c r="P136" s="555" t="str">
        <f t="shared" ca="1" si="20"/>
        <v/>
      </c>
      <c r="Q136" s="494" t="s">
        <v>1376</v>
      </c>
      <c r="R136" s="494" t="str">
        <f t="shared" si="26"/>
        <v>I136</v>
      </c>
      <c r="S136" s="494" t="s">
        <v>1377</v>
      </c>
      <c r="T136" s="494">
        <v>5</v>
      </c>
      <c r="U136" s="556" t="str">
        <f t="shared" ca="1" si="21"/>
        <v/>
      </c>
      <c r="V136" s="494">
        <v>6</v>
      </c>
      <c r="W136" s="556" t="str">
        <f t="shared" ca="1" si="22"/>
        <v/>
      </c>
      <c r="X136" s="494" t="s">
        <v>1378</v>
      </c>
      <c r="Y136" s="547" t="str">
        <f t="shared" ca="1" si="23"/>
        <v/>
      </c>
      <c r="Z136" s="494" t="s">
        <v>1379</v>
      </c>
      <c r="AA136" s="547" t="str">
        <f t="shared" ca="1" si="24"/>
        <v/>
      </c>
      <c r="AB136" s="494" t="s">
        <v>1380</v>
      </c>
      <c r="AC136" s="547" t="str">
        <f t="shared" ca="1" si="25"/>
        <v/>
      </c>
      <c r="AD136" s="557"/>
      <c r="AE136" s="958"/>
    </row>
    <row r="137" spans="1:31" ht="15" customHeight="1">
      <c r="A137" s="957">
        <v>51</v>
      </c>
      <c r="B137" s="566" t="s">
        <v>1008</v>
      </c>
      <c r="C137" s="567" t="s">
        <v>1369</v>
      </c>
      <c r="D137" s="958" t="s">
        <v>1406</v>
      </c>
      <c r="E137" s="959" t="s">
        <v>755</v>
      </c>
      <c r="F137" s="558" t="s">
        <v>1399</v>
      </c>
      <c r="G137" s="558">
        <v>381</v>
      </c>
      <c r="H137" s="558" t="s">
        <v>1059</v>
      </c>
      <c r="I137" s="559" t="s">
        <v>338</v>
      </c>
      <c r="J137" s="567" t="s">
        <v>1372</v>
      </c>
      <c r="K137" s="960" t="s">
        <v>1373</v>
      </c>
      <c r="L137" s="555" t="str">
        <f t="shared" ca="1" si="18"/>
        <v/>
      </c>
      <c r="M137" s="494" t="s">
        <v>1374</v>
      </c>
      <c r="N137" s="555" t="str">
        <f t="shared" ca="1" si="19"/>
        <v/>
      </c>
      <c r="O137" s="494" t="s">
        <v>1375</v>
      </c>
      <c r="P137" s="555" t="str">
        <f t="shared" ca="1" si="20"/>
        <v/>
      </c>
      <c r="Q137" s="494" t="s">
        <v>1376</v>
      </c>
      <c r="R137" s="494" t="str">
        <f t="shared" si="26"/>
        <v>I137</v>
      </c>
      <c r="S137" s="494" t="s">
        <v>1377</v>
      </c>
      <c r="T137" s="494">
        <v>5</v>
      </c>
      <c r="U137" s="556" t="str">
        <f t="shared" ca="1" si="21"/>
        <v/>
      </c>
      <c r="V137" s="494">
        <v>6</v>
      </c>
      <c r="W137" s="556" t="str">
        <f t="shared" ca="1" si="22"/>
        <v/>
      </c>
      <c r="X137" s="494" t="s">
        <v>1378</v>
      </c>
      <c r="Y137" s="547" t="str">
        <f t="shared" ca="1" si="23"/>
        <v/>
      </c>
      <c r="Z137" s="494" t="s">
        <v>1379</v>
      </c>
      <c r="AA137" s="547" t="str">
        <f t="shared" ca="1" si="24"/>
        <v/>
      </c>
      <c r="AB137" s="494" t="s">
        <v>1380</v>
      </c>
      <c r="AC137" s="547" t="str">
        <f t="shared" ca="1" si="25"/>
        <v/>
      </c>
      <c r="AD137" s="557"/>
      <c r="AE137" s="958"/>
    </row>
    <row r="138" spans="1:31" ht="15" customHeight="1">
      <c r="A138" s="957">
        <v>51</v>
      </c>
      <c r="B138" s="566" t="s">
        <v>1008</v>
      </c>
      <c r="C138" s="567" t="s">
        <v>1369</v>
      </c>
      <c r="D138" s="958" t="s">
        <v>1406</v>
      </c>
      <c r="E138" s="959" t="s">
        <v>755</v>
      </c>
      <c r="F138" s="558" t="s">
        <v>1399</v>
      </c>
      <c r="G138" s="558">
        <v>381</v>
      </c>
      <c r="H138" s="558" t="s">
        <v>1059</v>
      </c>
      <c r="I138" s="559" t="s">
        <v>780</v>
      </c>
      <c r="J138" s="567" t="s">
        <v>1372</v>
      </c>
      <c r="K138" s="960" t="s">
        <v>1373</v>
      </c>
      <c r="L138" s="555" t="str">
        <f t="shared" ca="1" si="18"/>
        <v/>
      </c>
      <c r="M138" s="494" t="s">
        <v>1374</v>
      </c>
      <c r="N138" s="555" t="str">
        <f t="shared" ca="1" si="19"/>
        <v/>
      </c>
      <c r="O138" s="494" t="s">
        <v>1375</v>
      </c>
      <c r="P138" s="555" t="str">
        <f t="shared" ca="1" si="20"/>
        <v/>
      </c>
      <c r="Q138" s="494" t="s">
        <v>1376</v>
      </c>
      <c r="R138" s="494" t="str">
        <f t="shared" si="26"/>
        <v>I138</v>
      </c>
      <c r="S138" s="494" t="s">
        <v>1377</v>
      </c>
      <c r="T138" s="494">
        <v>5</v>
      </c>
      <c r="U138" s="556" t="str">
        <f t="shared" ca="1" si="21"/>
        <v/>
      </c>
      <c r="V138" s="494">
        <v>6</v>
      </c>
      <c r="W138" s="556" t="str">
        <f t="shared" ca="1" si="22"/>
        <v/>
      </c>
      <c r="X138" s="494" t="s">
        <v>1378</v>
      </c>
      <c r="Y138" s="547" t="str">
        <f t="shared" ca="1" si="23"/>
        <v/>
      </c>
      <c r="Z138" s="494" t="s">
        <v>1379</v>
      </c>
      <c r="AA138" s="547" t="str">
        <f t="shared" ca="1" si="24"/>
        <v/>
      </c>
      <c r="AB138" s="494" t="s">
        <v>1380</v>
      </c>
      <c r="AC138" s="547" t="str">
        <f t="shared" ca="1" si="25"/>
        <v/>
      </c>
      <c r="AD138" s="557"/>
      <c r="AE138" s="958"/>
    </row>
    <row r="139" spans="1:31" ht="15" customHeight="1">
      <c r="A139" s="957">
        <v>51</v>
      </c>
      <c r="B139" s="566" t="s">
        <v>1008</v>
      </c>
      <c r="C139" s="567" t="s">
        <v>1369</v>
      </c>
      <c r="D139" s="958" t="s">
        <v>1406</v>
      </c>
      <c r="E139" s="959" t="s">
        <v>755</v>
      </c>
      <c r="F139" s="558" t="s">
        <v>1399</v>
      </c>
      <c r="G139" s="558">
        <v>381</v>
      </c>
      <c r="H139" s="558" t="s">
        <v>1059</v>
      </c>
      <c r="I139" s="559" t="s">
        <v>1384</v>
      </c>
      <c r="J139" s="567" t="s">
        <v>1372</v>
      </c>
      <c r="K139" s="960" t="s">
        <v>1373</v>
      </c>
      <c r="L139" s="555" t="str">
        <f t="shared" ca="1" si="18"/>
        <v/>
      </c>
      <c r="M139" s="494" t="s">
        <v>1374</v>
      </c>
      <c r="N139" s="555" t="str">
        <f t="shared" ca="1" si="19"/>
        <v/>
      </c>
      <c r="O139" s="494" t="s">
        <v>1375</v>
      </c>
      <c r="P139" s="555" t="str">
        <f t="shared" ca="1" si="20"/>
        <v/>
      </c>
      <c r="Q139" s="494" t="s">
        <v>1376</v>
      </c>
      <c r="R139" s="494" t="str">
        <f t="shared" si="26"/>
        <v>I139</v>
      </c>
      <c r="S139" s="494" t="s">
        <v>1377</v>
      </c>
      <c r="T139" s="494">
        <v>5</v>
      </c>
      <c r="U139" s="556" t="str">
        <f t="shared" ca="1" si="21"/>
        <v/>
      </c>
      <c r="V139" s="494">
        <v>6</v>
      </c>
      <c r="W139" s="556" t="str">
        <f t="shared" ca="1" si="22"/>
        <v/>
      </c>
      <c r="X139" s="494" t="s">
        <v>1378</v>
      </c>
      <c r="Y139" s="547" t="str">
        <f t="shared" ca="1" si="23"/>
        <v/>
      </c>
      <c r="Z139" s="494" t="s">
        <v>1379</v>
      </c>
      <c r="AA139" s="547" t="str">
        <f t="shared" ca="1" si="24"/>
        <v/>
      </c>
      <c r="AB139" s="494" t="s">
        <v>1380</v>
      </c>
      <c r="AC139" s="547" t="str">
        <f t="shared" ca="1" si="25"/>
        <v/>
      </c>
      <c r="AD139" s="557"/>
      <c r="AE139" s="958"/>
    </row>
    <row r="140" spans="1:31" ht="15" customHeight="1">
      <c r="A140" s="957">
        <v>51</v>
      </c>
      <c r="B140" s="566" t="s">
        <v>1008</v>
      </c>
      <c r="C140" s="567" t="s">
        <v>1369</v>
      </c>
      <c r="D140" s="958" t="s">
        <v>1406</v>
      </c>
      <c r="E140" s="959" t="s">
        <v>755</v>
      </c>
      <c r="F140" s="558" t="s">
        <v>1399</v>
      </c>
      <c r="G140" s="558">
        <v>311</v>
      </c>
      <c r="H140" s="558" t="s">
        <v>1074</v>
      </c>
      <c r="I140" s="559" t="s">
        <v>1075</v>
      </c>
      <c r="J140" s="567" t="s">
        <v>1372</v>
      </c>
      <c r="K140" s="960" t="s">
        <v>1373</v>
      </c>
      <c r="L140" s="555" t="str">
        <f t="shared" ca="1" si="18"/>
        <v/>
      </c>
      <c r="M140" s="494" t="s">
        <v>1374</v>
      </c>
      <c r="N140" s="555" t="str">
        <f t="shared" ca="1" si="19"/>
        <v/>
      </c>
      <c r="O140" s="494" t="s">
        <v>1375</v>
      </c>
      <c r="P140" s="555" t="str">
        <f t="shared" ca="1" si="20"/>
        <v/>
      </c>
      <c r="Q140" s="494" t="s">
        <v>1376</v>
      </c>
      <c r="R140" s="494" t="str">
        <f t="shared" si="26"/>
        <v>I140</v>
      </c>
      <c r="S140" s="494" t="s">
        <v>1377</v>
      </c>
      <c r="T140" s="494">
        <v>5</v>
      </c>
      <c r="U140" s="556" t="str">
        <f t="shared" ca="1" si="21"/>
        <v/>
      </c>
      <c r="V140" s="494">
        <v>6</v>
      </c>
      <c r="W140" s="556" t="str">
        <f t="shared" ca="1" si="22"/>
        <v/>
      </c>
      <c r="X140" s="494" t="s">
        <v>1378</v>
      </c>
      <c r="Y140" s="547" t="str">
        <f t="shared" ca="1" si="23"/>
        <v/>
      </c>
      <c r="Z140" s="494" t="s">
        <v>1379</v>
      </c>
      <c r="AA140" s="547" t="str">
        <f t="shared" ca="1" si="24"/>
        <v/>
      </c>
      <c r="AB140" s="494" t="s">
        <v>1380</v>
      </c>
      <c r="AC140" s="547" t="str">
        <f t="shared" ca="1" si="25"/>
        <v/>
      </c>
      <c r="AD140" s="557"/>
      <c r="AE140" s="958"/>
    </row>
    <row r="141" spans="1:31" ht="15" customHeight="1">
      <c r="A141" s="957">
        <v>51</v>
      </c>
      <c r="B141" s="566" t="s">
        <v>1008</v>
      </c>
      <c r="C141" s="567" t="s">
        <v>1369</v>
      </c>
      <c r="D141" s="958" t="s">
        <v>1406</v>
      </c>
      <c r="E141" s="959" t="s">
        <v>755</v>
      </c>
      <c r="F141" s="558" t="s">
        <v>1399</v>
      </c>
      <c r="G141" s="558">
        <v>311</v>
      </c>
      <c r="H141" s="558" t="s">
        <v>1074</v>
      </c>
      <c r="I141" s="559" t="s">
        <v>300</v>
      </c>
      <c r="J141" s="567" t="s">
        <v>1372</v>
      </c>
      <c r="K141" s="960" t="s">
        <v>1373</v>
      </c>
      <c r="L141" s="555" t="str">
        <f t="shared" ca="1" si="18"/>
        <v/>
      </c>
      <c r="M141" s="494" t="s">
        <v>1374</v>
      </c>
      <c r="N141" s="555" t="str">
        <f t="shared" ca="1" si="19"/>
        <v/>
      </c>
      <c r="O141" s="494" t="s">
        <v>1375</v>
      </c>
      <c r="P141" s="555" t="str">
        <f t="shared" ca="1" si="20"/>
        <v/>
      </c>
      <c r="Q141" s="494" t="s">
        <v>1376</v>
      </c>
      <c r="R141" s="494" t="str">
        <f t="shared" si="26"/>
        <v>I141</v>
      </c>
      <c r="S141" s="494" t="s">
        <v>1377</v>
      </c>
      <c r="T141" s="494">
        <v>5</v>
      </c>
      <c r="U141" s="556" t="str">
        <f t="shared" ca="1" si="21"/>
        <v/>
      </c>
      <c r="V141" s="494">
        <v>6</v>
      </c>
      <c r="W141" s="556" t="str">
        <f t="shared" ca="1" si="22"/>
        <v/>
      </c>
      <c r="X141" s="494" t="s">
        <v>1378</v>
      </c>
      <c r="Y141" s="547" t="str">
        <f t="shared" ca="1" si="23"/>
        <v/>
      </c>
      <c r="Z141" s="494" t="s">
        <v>1379</v>
      </c>
      <c r="AA141" s="547" t="str">
        <f t="shared" ca="1" si="24"/>
        <v/>
      </c>
      <c r="AB141" s="494" t="s">
        <v>1380</v>
      </c>
      <c r="AC141" s="547" t="str">
        <f t="shared" ca="1" si="25"/>
        <v/>
      </c>
      <c r="AD141" s="557"/>
      <c r="AE141" s="958"/>
    </row>
    <row r="142" spans="1:31" ht="15" customHeight="1">
      <c r="A142" s="957">
        <v>51</v>
      </c>
      <c r="B142" s="566" t="s">
        <v>1008</v>
      </c>
      <c r="C142" s="567" t="s">
        <v>1369</v>
      </c>
      <c r="D142" s="958" t="s">
        <v>1406</v>
      </c>
      <c r="E142" s="959" t="s">
        <v>755</v>
      </c>
      <c r="F142" s="558" t="s">
        <v>1399</v>
      </c>
      <c r="G142" s="558">
        <v>312</v>
      </c>
      <c r="H142" s="558" t="s">
        <v>1076</v>
      </c>
      <c r="I142" s="559" t="s">
        <v>1077</v>
      </c>
      <c r="J142" s="567" t="s">
        <v>1372</v>
      </c>
      <c r="K142" s="960" t="s">
        <v>1373</v>
      </c>
      <c r="L142" s="555" t="str">
        <f t="shared" ca="1" si="18"/>
        <v/>
      </c>
      <c r="M142" s="494" t="s">
        <v>1374</v>
      </c>
      <c r="N142" s="555" t="str">
        <f t="shared" ca="1" si="19"/>
        <v/>
      </c>
      <c r="O142" s="494" t="s">
        <v>1375</v>
      </c>
      <c r="P142" s="555" t="str">
        <f t="shared" ca="1" si="20"/>
        <v/>
      </c>
      <c r="Q142" s="494" t="s">
        <v>1376</v>
      </c>
      <c r="R142" s="494" t="str">
        <f t="shared" si="26"/>
        <v>I142</v>
      </c>
      <c r="S142" s="494" t="s">
        <v>1377</v>
      </c>
      <c r="T142" s="494">
        <v>5</v>
      </c>
      <c r="U142" s="556" t="str">
        <f t="shared" ca="1" si="21"/>
        <v/>
      </c>
      <c r="V142" s="494">
        <v>6</v>
      </c>
      <c r="W142" s="556" t="str">
        <f t="shared" ca="1" si="22"/>
        <v/>
      </c>
      <c r="X142" s="494" t="s">
        <v>1378</v>
      </c>
      <c r="Y142" s="547" t="str">
        <f t="shared" ca="1" si="23"/>
        <v/>
      </c>
      <c r="Z142" s="494" t="s">
        <v>1379</v>
      </c>
      <c r="AA142" s="547" t="str">
        <f t="shared" ca="1" si="24"/>
        <v/>
      </c>
      <c r="AB142" s="494" t="s">
        <v>1380</v>
      </c>
      <c r="AC142" s="547" t="str">
        <f t="shared" ca="1" si="25"/>
        <v/>
      </c>
      <c r="AD142" s="557"/>
      <c r="AE142" s="958"/>
    </row>
    <row r="143" spans="1:31" ht="15" customHeight="1">
      <c r="A143" s="957">
        <v>51</v>
      </c>
      <c r="B143" s="566" t="s">
        <v>1008</v>
      </c>
      <c r="C143" s="567" t="s">
        <v>1369</v>
      </c>
      <c r="D143" s="958" t="s">
        <v>1406</v>
      </c>
      <c r="E143" s="959" t="s">
        <v>755</v>
      </c>
      <c r="F143" s="558" t="s">
        <v>1399</v>
      </c>
      <c r="G143" s="558">
        <v>312</v>
      </c>
      <c r="H143" s="558" t="s">
        <v>1076</v>
      </c>
      <c r="I143" s="559" t="s">
        <v>1078</v>
      </c>
      <c r="J143" s="567" t="s">
        <v>1372</v>
      </c>
      <c r="K143" s="960" t="s">
        <v>1373</v>
      </c>
      <c r="L143" s="555" t="str">
        <f t="shared" ca="1" si="18"/>
        <v/>
      </c>
      <c r="M143" s="494" t="s">
        <v>1374</v>
      </c>
      <c r="N143" s="555" t="str">
        <f t="shared" ca="1" si="19"/>
        <v/>
      </c>
      <c r="O143" s="494" t="s">
        <v>1375</v>
      </c>
      <c r="P143" s="555" t="str">
        <f t="shared" ca="1" si="20"/>
        <v/>
      </c>
      <c r="Q143" s="494" t="s">
        <v>1376</v>
      </c>
      <c r="R143" s="494" t="str">
        <f t="shared" si="26"/>
        <v>I143</v>
      </c>
      <c r="S143" s="494" t="s">
        <v>1377</v>
      </c>
      <c r="T143" s="494">
        <v>5</v>
      </c>
      <c r="U143" s="556" t="str">
        <f t="shared" ca="1" si="21"/>
        <v/>
      </c>
      <c r="V143" s="494">
        <v>6</v>
      </c>
      <c r="W143" s="556" t="str">
        <f t="shared" ca="1" si="22"/>
        <v/>
      </c>
      <c r="X143" s="494" t="s">
        <v>1378</v>
      </c>
      <c r="Y143" s="547" t="str">
        <f t="shared" ca="1" si="23"/>
        <v/>
      </c>
      <c r="Z143" s="494" t="s">
        <v>1379</v>
      </c>
      <c r="AA143" s="547" t="str">
        <f t="shared" ca="1" si="24"/>
        <v/>
      </c>
      <c r="AB143" s="494" t="s">
        <v>1380</v>
      </c>
      <c r="AC143" s="547" t="str">
        <f t="shared" ca="1" si="25"/>
        <v/>
      </c>
      <c r="AD143" s="557"/>
      <c r="AE143" s="958"/>
    </row>
    <row r="144" spans="1:31" ht="15" customHeight="1">
      <c r="A144" s="957">
        <v>51</v>
      </c>
      <c r="B144" s="566" t="s">
        <v>1008</v>
      </c>
      <c r="C144" s="567" t="s">
        <v>1369</v>
      </c>
      <c r="D144" s="958" t="s">
        <v>1406</v>
      </c>
      <c r="E144" s="959" t="s">
        <v>755</v>
      </c>
      <c r="F144" s="558" t="s">
        <v>1399</v>
      </c>
      <c r="G144" s="558">
        <v>312</v>
      </c>
      <c r="H144" s="558" t="s">
        <v>1076</v>
      </c>
      <c r="I144" s="559" t="s">
        <v>1416</v>
      </c>
      <c r="J144" s="567" t="s">
        <v>1372</v>
      </c>
      <c r="K144" s="960" t="s">
        <v>1373</v>
      </c>
      <c r="L144" s="555" t="str">
        <f t="shared" ca="1" si="18"/>
        <v/>
      </c>
      <c r="M144" s="494" t="s">
        <v>1374</v>
      </c>
      <c r="N144" s="555" t="str">
        <f t="shared" ca="1" si="19"/>
        <v/>
      </c>
      <c r="O144" s="494" t="s">
        <v>1375</v>
      </c>
      <c r="P144" s="555" t="str">
        <f t="shared" ca="1" si="20"/>
        <v/>
      </c>
      <c r="Q144" s="494" t="s">
        <v>1376</v>
      </c>
      <c r="R144" s="494" t="str">
        <f t="shared" si="26"/>
        <v>I144</v>
      </c>
      <c r="S144" s="494" t="s">
        <v>1377</v>
      </c>
      <c r="T144" s="494">
        <v>5</v>
      </c>
      <c r="U144" s="556" t="str">
        <f t="shared" ca="1" si="21"/>
        <v/>
      </c>
      <c r="V144" s="494">
        <v>6</v>
      </c>
      <c r="W144" s="556" t="str">
        <f t="shared" ca="1" si="22"/>
        <v/>
      </c>
      <c r="X144" s="494" t="s">
        <v>1378</v>
      </c>
      <c r="Y144" s="547" t="str">
        <f t="shared" ca="1" si="23"/>
        <v/>
      </c>
      <c r="Z144" s="494" t="s">
        <v>1379</v>
      </c>
      <c r="AA144" s="547" t="str">
        <f t="shared" ca="1" si="24"/>
        <v/>
      </c>
      <c r="AB144" s="494" t="s">
        <v>1380</v>
      </c>
      <c r="AC144" s="547" t="str">
        <f t="shared" ca="1" si="25"/>
        <v/>
      </c>
      <c r="AD144" s="557"/>
      <c r="AE144" s="958"/>
    </row>
    <row r="145" spans="1:31" ht="15" customHeight="1">
      <c r="A145" s="957">
        <v>51</v>
      </c>
      <c r="B145" s="566" t="s">
        <v>1008</v>
      </c>
      <c r="C145" s="567" t="s">
        <v>1369</v>
      </c>
      <c r="D145" s="958" t="s">
        <v>1406</v>
      </c>
      <c r="E145" s="959" t="s">
        <v>755</v>
      </c>
      <c r="F145" s="558" t="s">
        <v>1399</v>
      </c>
      <c r="G145" s="558">
        <v>303</v>
      </c>
      <c r="H145" s="558" t="s">
        <v>1060</v>
      </c>
      <c r="I145" s="559" t="s">
        <v>783</v>
      </c>
      <c r="J145" s="567" t="s">
        <v>1372</v>
      </c>
      <c r="K145" s="960" t="s">
        <v>1373</v>
      </c>
      <c r="L145" s="555" t="str">
        <f t="shared" ca="1" si="18"/>
        <v/>
      </c>
      <c r="M145" s="494" t="s">
        <v>1374</v>
      </c>
      <c r="N145" s="555" t="str">
        <f t="shared" ca="1" si="19"/>
        <v/>
      </c>
      <c r="O145" s="494" t="s">
        <v>1375</v>
      </c>
      <c r="P145" s="555" t="str">
        <f t="shared" ca="1" si="20"/>
        <v/>
      </c>
      <c r="Q145" s="494" t="s">
        <v>1376</v>
      </c>
      <c r="R145" s="494" t="str">
        <f t="shared" si="26"/>
        <v>I145</v>
      </c>
      <c r="S145" s="494" t="s">
        <v>1377</v>
      </c>
      <c r="T145" s="494">
        <v>5</v>
      </c>
      <c r="U145" s="556" t="str">
        <f t="shared" ca="1" si="21"/>
        <v/>
      </c>
      <c r="V145" s="494">
        <v>6</v>
      </c>
      <c r="W145" s="556" t="str">
        <f t="shared" ca="1" si="22"/>
        <v/>
      </c>
      <c r="X145" s="494" t="s">
        <v>1378</v>
      </c>
      <c r="Y145" s="547" t="str">
        <f t="shared" ca="1" si="23"/>
        <v/>
      </c>
      <c r="Z145" s="494" t="s">
        <v>1379</v>
      </c>
      <c r="AA145" s="547" t="str">
        <f t="shared" ca="1" si="24"/>
        <v/>
      </c>
      <c r="AB145" s="494" t="s">
        <v>1380</v>
      </c>
      <c r="AC145" s="547" t="str">
        <f t="shared" ca="1" si="25"/>
        <v/>
      </c>
      <c r="AD145" s="557"/>
      <c r="AE145" s="958"/>
    </row>
    <row r="146" spans="1:31" ht="15" customHeight="1">
      <c r="A146" s="957">
        <v>51</v>
      </c>
      <c r="B146" s="566" t="s">
        <v>1008</v>
      </c>
      <c r="C146" s="567" t="s">
        <v>1369</v>
      </c>
      <c r="D146" s="958" t="s">
        <v>1406</v>
      </c>
      <c r="E146" s="959" t="s">
        <v>755</v>
      </c>
      <c r="F146" s="558" t="s">
        <v>1399</v>
      </c>
      <c r="G146" s="558">
        <v>303</v>
      </c>
      <c r="H146" s="558" t="s">
        <v>1060</v>
      </c>
      <c r="I146" s="559" t="s">
        <v>784</v>
      </c>
      <c r="J146" s="567" t="s">
        <v>1372</v>
      </c>
      <c r="K146" s="960" t="s">
        <v>1373</v>
      </c>
      <c r="L146" s="555" t="str">
        <f t="shared" ca="1" si="18"/>
        <v/>
      </c>
      <c r="M146" s="494" t="s">
        <v>1374</v>
      </c>
      <c r="N146" s="555" t="str">
        <f t="shared" ca="1" si="19"/>
        <v/>
      </c>
      <c r="O146" s="494" t="s">
        <v>1375</v>
      </c>
      <c r="P146" s="555" t="str">
        <f t="shared" ca="1" si="20"/>
        <v/>
      </c>
      <c r="Q146" s="494" t="s">
        <v>1376</v>
      </c>
      <c r="R146" s="494" t="str">
        <f t="shared" si="26"/>
        <v>I146</v>
      </c>
      <c r="S146" s="494" t="s">
        <v>1377</v>
      </c>
      <c r="T146" s="494">
        <v>5</v>
      </c>
      <c r="U146" s="556" t="str">
        <f t="shared" ca="1" si="21"/>
        <v/>
      </c>
      <c r="V146" s="494">
        <v>6</v>
      </c>
      <c r="W146" s="556" t="str">
        <f t="shared" ca="1" si="22"/>
        <v/>
      </c>
      <c r="X146" s="494" t="s">
        <v>1378</v>
      </c>
      <c r="Y146" s="547" t="str">
        <f t="shared" ca="1" si="23"/>
        <v/>
      </c>
      <c r="Z146" s="494" t="s">
        <v>1379</v>
      </c>
      <c r="AA146" s="547" t="str">
        <f t="shared" ca="1" si="24"/>
        <v/>
      </c>
      <c r="AB146" s="494" t="s">
        <v>1380</v>
      </c>
      <c r="AC146" s="547" t="str">
        <f t="shared" ca="1" si="25"/>
        <v/>
      </c>
      <c r="AD146" s="557"/>
      <c r="AE146" s="958"/>
    </row>
    <row r="147" spans="1:31" ht="15" customHeight="1">
      <c r="A147" s="957">
        <v>51</v>
      </c>
      <c r="B147" s="566" t="s">
        <v>1008</v>
      </c>
      <c r="C147" s="567" t="s">
        <v>1369</v>
      </c>
      <c r="D147" s="958" t="s">
        <v>1406</v>
      </c>
      <c r="E147" s="959" t="s">
        <v>755</v>
      </c>
      <c r="F147" s="558" t="s">
        <v>1399</v>
      </c>
      <c r="G147" s="558">
        <v>304</v>
      </c>
      <c r="H147" s="558" t="s">
        <v>1062</v>
      </c>
      <c r="I147" s="559" t="s">
        <v>515</v>
      </c>
      <c r="J147" s="567" t="s">
        <v>1372</v>
      </c>
      <c r="K147" s="960" t="s">
        <v>1373</v>
      </c>
      <c r="L147" s="555" t="str">
        <f t="shared" ca="1" si="18"/>
        <v/>
      </c>
      <c r="M147" s="494" t="s">
        <v>1374</v>
      </c>
      <c r="N147" s="555" t="str">
        <f t="shared" ca="1" si="19"/>
        <v/>
      </c>
      <c r="O147" s="494" t="s">
        <v>1375</v>
      </c>
      <c r="P147" s="555" t="str">
        <f t="shared" ca="1" si="20"/>
        <v/>
      </c>
      <c r="Q147" s="494" t="s">
        <v>1376</v>
      </c>
      <c r="R147" s="494" t="str">
        <f t="shared" si="26"/>
        <v>I147</v>
      </c>
      <c r="S147" s="494" t="s">
        <v>1377</v>
      </c>
      <c r="T147" s="494">
        <v>5</v>
      </c>
      <c r="U147" s="556" t="str">
        <f t="shared" ca="1" si="21"/>
        <v/>
      </c>
      <c r="V147" s="494">
        <v>6</v>
      </c>
      <c r="W147" s="556" t="str">
        <f t="shared" ca="1" si="22"/>
        <v/>
      </c>
      <c r="X147" s="494" t="s">
        <v>1378</v>
      </c>
      <c r="Y147" s="547" t="str">
        <f t="shared" ca="1" si="23"/>
        <v/>
      </c>
      <c r="Z147" s="494" t="s">
        <v>1379</v>
      </c>
      <c r="AA147" s="547" t="str">
        <f t="shared" ca="1" si="24"/>
        <v/>
      </c>
      <c r="AB147" s="494" t="s">
        <v>1380</v>
      </c>
      <c r="AC147" s="547" t="str">
        <f t="shared" ca="1" si="25"/>
        <v/>
      </c>
      <c r="AD147" s="557"/>
      <c r="AE147" s="958"/>
    </row>
    <row r="148" spans="1:31" ht="15" customHeight="1">
      <c r="A148" s="957">
        <v>51</v>
      </c>
      <c r="B148" s="566" t="s">
        <v>1008</v>
      </c>
      <c r="C148" s="567" t="s">
        <v>1369</v>
      </c>
      <c r="D148" s="958" t="s">
        <v>1406</v>
      </c>
      <c r="E148" s="959" t="s">
        <v>755</v>
      </c>
      <c r="F148" s="558" t="s">
        <v>1399</v>
      </c>
      <c r="G148" s="558">
        <v>305</v>
      </c>
      <c r="H148" s="558" t="s">
        <v>1063</v>
      </c>
      <c r="I148" s="559" t="s">
        <v>409</v>
      </c>
      <c r="J148" s="567" t="s">
        <v>1372</v>
      </c>
      <c r="K148" s="960" t="s">
        <v>1373</v>
      </c>
      <c r="L148" s="555" t="str">
        <f t="shared" ca="1" si="18"/>
        <v/>
      </c>
      <c r="M148" s="494" t="s">
        <v>1374</v>
      </c>
      <c r="N148" s="555" t="str">
        <f t="shared" ca="1" si="19"/>
        <v/>
      </c>
      <c r="O148" s="494" t="s">
        <v>1375</v>
      </c>
      <c r="P148" s="555" t="str">
        <f t="shared" ca="1" si="20"/>
        <v/>
      </c>
      <c r="Q148" s="494" t="s">
        <v>1376</v>
      </c>
      <c r="R148" s="494" t="str">
        <f t="shared" si="26"/>
        <v>I148</v>
      </c>
      <c r="S148" s="494" t="s">
        <v>1377</v>
      </c>
      <c r="T148" s="494">
        <v>5</v>
      </c>
      <c r="U148" s="556" t="str">
        <f t="shared" ca="1" si="21"/>
        <v/>
      </c>
      <c r="V148" s="494">
        <v>6</v>
      </c>
      <c r="W148" s="556" t="str">
        <f t="shared" ca="1" si="22"/>
        <v/>
      </c>
      <c r="X148" s="494" t="s">
        <v>1378</v>
      </c>
      <c r="Y148" s="547" t="str">
        <f t="shared" ca="1" si="23"/>
        <v/>
      </c>
      <c r="Z148" s="494" t="s">
        <v>1379</v>
      </c>
      <c r="AA148" s="547" t="str">
        <f t="shared" ca="1" si="24"/>
        <v/>
      </c>
      <c r="AB148" s="494" t="s">
        <v>1380</v>
      </c>
      <c r="AC148" s="547" t="str">
        <f t="shared" ca="1" si="25"/>
        <v/>
      </c>
      <c r="AD148" s="557"/>
      <c r="AE148" s="958"/>
    </row>
    <row r="149" spans="1:31" ht="15" customHeight="1">
      <c r="A149" s="957">
        <v>51</v>
      </c>
      <c r="B149" s="566" t="s">
        <v>1008</v>
      </c>
      <c r="C149" s="567" t="s">
        <v>1369</v>
      </c>
      <c r="D149" s="958" t="s">
        <v>1406</v>
      </c>
      <c r="E149" s="959" t="s">
        <v>755</v>
      </c>
      <c r="F149" s="558" t="s">
        <v>1399</v>
      </c>
      <c r="G149" s="558">
        <v>382</v>
      </c>
      <c r="H149" s="558" t="s">
        <v>1064</v>
      </c>
      <c r="I149" s="559" t="s">
        <v>1417</v>
      </c>
      <c r="J149" s="567" t="s">
        <v>1372</v>
      </c>
      <c r="K149" s="960" t="s">
        <v>1373</v>
      </c>
      <c r="L149" s="555" t="str">
        <f t="shared" ca="1" si="18"/>
        <v/>
      </c>
      <c r="M149" s="494" t="s">
        <v>1374</v>
      </c>
      <c r="N149" s="555" t="str">
        <f t="shared" ca="1" si="19"/>
        <v/>
      </c>
      <c r="O149" s="494" t="s">
        <v>1375</v>
      </c>
      <c r="P149" s="555" t="str">
        <f t="shared" ca="1" si="20"/>
        <v/>
      </c>
      <c r="Q149" s="494" t="s">
        <v>1376</v>
      </c>
      <c r="R149" s="494" t="str">
        <f t="shared" si="26"/>
        <v>I149</v>
      </c>
      <c r="S149" s="494" t="s">
        <v>1377</v>
      </c>
      <c r="T149" s="494">
        <v>5</v>
      </c>
      <c r="U149" s="556" t="str">
        <f t="shared" ca="1" si="21"/>
        <v/>
      </c>
      <c r="V149" s="494">
        <v>6</v>
      </c>
      <c r="W149" s="556" t="str">
        <f t="shared" ca="1" si="22"/>
        <v/>
      </c>
      <c r="X149" s="494" t="s">
        <v>1378</v>
      </c>
      <c r="Y149" s="547" t="str">
        <f t="shared" ca="1" si="23"/>
        <v/>
      </c>
      <c r="Z149" s="494" t="s">
        <v>1379</v>
      </c>
      <c r="AA149" s="547" t="str">
        <f t="shared" ca="1" si="24"/>
        <v/>
      </c>
      <c r="AB149" s="494" t="s">
        <v>1380</v>
      </c>
      <c r="AC149" s="547" t="str">
        <f t="shared" ca="1" si="25"/>
        <v/>
      </c>
      <c r="AD149" s="557"/>
      <c r="AE149" s="958"/>
    </row>
    <row r="150" spans="1:31" ht="15" customHeight="1">
      <c r="A150" s="957">
        <v>51</v>
      </c>
      <c r="B150" s="566" t="s">
        <v>1008</v>
      </c>
      <c r="C150" s="567" t="s">
        <v>1369</v>
      </c>
      <c r="D150" s="958" t="s">
        <v>1406</v>
      </c>
      <c r="E150" s="959" t="s">
        <v>755</v>
      </c>
      <c r="F150" s="558" t="s">
        <v>1399</v>
      </c>
      <c r="G150" s="558">
        <v>383</v>
      </c>
      <c r="H150" s="558" t="s">
        <v>1065</v>
      </c>
      <c r="I150" s="559" t="s">
        <v>1418</v>
      </c>
      <c r="J150" s="567" t="s">
        <v>1372</v>
      </c>
      <c r="K150" s="960" t="s">
        <v>1373</v>
      </c>
      <c r="L150" s="555" t="str">
        <f t="shared" ca="1" si="18"/>
        <v/>
      </c>
      <c r="M150" s="494" t="s">
        <v>1374</v>
      </c>
      <c r="N150" s="555" t="str">
        <f t="shared" ca="1" si="19"/>
        <v/>
      </c>
      <c r="O150" s="494" t="s">
        <v>1375</v>
      </c>
      <c r="P150" s="555" t="str">
        <f t="shared" ca="1" si="20"/>
        <v/>
      </c>
      <c r="Q150" s="494" t="s">
        <v>1376</v>
      </c>
      <c r="R150" s="494" t="str">
        <f t="shared" si="26"/>
        <v>I150</v>
      </c>
      <c r="S150" s="494" t="s">
        <v>1377</v>
      </c>
      <c r="T150" s="494">
        <v>5</v>
      </c>
      <c r="U150" s="556" t="str">
        <f t="shared" ca="1" si="21"/>
        <v/>
      </c>
      <c r="V150" s="494">
        <v>6</v>
      </c>
      <c r="W150" s="556" t="str">
        <f t="shared" ca="1" si="22"/>
        <v/>
      </c>
      <c r="X150" s="494" t="s">
        <v>1378</v>
      </c>
      <c r="Y150" s="547" t="str">
        <f t="shared" ca="1" si="23"/>
        <v/>
      </c>
      <c r="Z150" s="494" t="s">
        <v>1379</v>
      </c>
      <c r="AA150" s="547" t="str">
        <f t="shared" ca="1" si="24"/>
        <v/>
      </c>
      <c r="AB150" s="494" t="s">
        <v>1380</v>
      </c>
      <c r="AC150" s="547" t="str">
        <f t="shared" ca="1" si="25"/>
        <v/>
      </c>
      <c r="AD150" s="557"/>
      <c r="AE150" s="958"/>
    </row>
    <row r="151" spans="1:31" ht="15" customHeight="1">
      <c r="A151" s="957">
        <v>51</v>
      </c>
      <c r="B151" s="566" t="s">
        <v>1008</v>
      </c>
      <c r="C151" s="567" t="s">
        <v>1369</v>
      </c>
      <c r="D151" s="958" t="s">
        <v>1406</v>
      </c>
      <c r="E151" s="959" t="s">
        <v>755</v>
      </c>
      <c r="F151" s="558" t="s">
        <v>1399</v>
      </c>
      <c r="G151" s="558">
        <v>383</v>
      </c>
      <c r="H151" s="558" t="s">
        <v>1065</v>
      </c>
      <c r="I151" s="559" t="s">
        <v>1419</v>
      </c>
      <c r="J151" s="567" t="s">
        <v>1372</v>
      </c>
      <c r="K151" s="960" t="s">
        <v>1373</v>
      </c>
      <c r="L151" s="555" t="str">
        <f t="shared" ca="1" si="18"/>
        <v/>
      </c>
      <c r="M151" s="494" t="s">
        <v>1374</v>
      </c>
      <c r="N151" s="555" t="str">
        <f t="shared" ca="1" si="19"/>
        <v/>
      </c>
      <c r="O151" s="494" t="s">
        <v>1375</v>
      </c>
      <c r="P151" s="555" t="str">
        <f t="shared" ca="1" si="20"/>
        <v/>
      </c>
      <c r="Q151" s="494" t="s">
        <v>1376</v>
      </c>
      <c r="R151" s="494" t="str">
        <f t="shared" si="26"/>
        <v>I151</v>
      </c>
      <c r="S151" s="494" t="s">
        <v>1377</v>
      </c>
      <c r="T151" s="494">
        <v>5</v>
      </c>
      <c r="U151" s="556" t="str">
        <f t="shared" ca="1" si="21"/>
        <v/>
      </c>
      <c r="V151" s="494">
        <v>6</v>
      </c>
      <c r="W151" s="556" t="str">
        <f t="shared" ca="1" si="22"/>
        <v/>
      </c>
      <c r="X151" s="494" t="s">
        <v>1378</v>
      </c>
      <c r="Y151" s="547" t="str">
        <f t="shared" ca="1" si="23"/>
        <v/>
      </c>
      <c r="Z151" s="494" t="s">
        <v>1379</v>
      </c>
      <c r="AA151" s="547" t="str">
        <f t="shared" ca="1" si="24"/>
        <v/>
      </c>
      <c r="AB151" s="494" t="s">
        <v>1380</v>
      </c>
      <c r="AC151" s="547" t="str">
        <f t="shared" ca="1" si="25"/>
        <v/>
      </c>
      <c r="AD151" s="557"/>
      <c r="AE151" s="958"/>
    </row>
    <row r="152" spans="1:31" ht="15" customHeight="1">
      <c r="A152" s="957">
        <v>51</v>
      </c>
      <c r="B152" s="566" t="s">
        <v>1008</v>
      </c>
      <c r="C152" s="567" t="s">
        <v>1369</v>
      </c>
      <c r="D152" s="958" t="s">
        <v>1406</v>
      </c>
      <c r="E152" s="959" t="s">
        <v>755</v>
      </c>
      <c r="F152" s="558" t="s">
        <v>1399</v>
      </c>
      <c r="G152" s="558">
        <v>308</v>
      </c>
      <c r="H152" s="558" t="s">
        <v>1066</v>
      </c>
      <c r="I152" s="559" t="s">
        <v>1068</v>
      </c>
      <c r="J152" s="567" t="s">
        <v>1372</v>
      </c>
      <c r="K152" s="960" t="s">
        <v>1373</v>
      </c>
      <c r="L152" s="555" t="str">
        <f t="shared" ca="1" si="18"/>
        <v/>
      </c>
      <c r="M152" s="494" t="s">
        <v>1374</v>
      </c>
      <c r="N152" s="555" t="str">
        <f t="shared" ca="1" si="19"/>
        <v/>
      </c>
      <c r="O152" s="494" t="s">
        <v>1375</v>
      </c>
      <c r="P152" s="555" t="str">
        <f t="shared" ca="1" si="20"/>
        <v/>
      </c>
      <c r="Q152" s="494" t="s">
        <v>1376</v>
      </c>
      <c r="R152" s="494" t="str">
        <f t="shared" si="26"/>
        <v>I152</v>
      </c>
      <c r="S152" s="494" t="s">
        <v>1377</v>
      </c>
      <c r="T152" s="494">
        <v>5</v>
      </c>
      <c r="U152" s="556" t="str">
        <f t="shared" ca="1" si="21"/>
        <v/>
      </c>
      <c r="V152" s="494">
        <v>6</v>
      </c>
      <c r="W152" s="556" t="str">
        <f t="shared" ca="1" si="22"/>
        <v/>
      </c>
      <c r="X152" s="494" t="s">
        <v>1378</v>
      </c>
      <c r="Y152" s="547" t="str">
        <f t="shared" ca="1" si="23"/>
        <v/>
      </c>
      <c r="Z152" s="494" t="s">
        <v>1379</v>
      </c>
      <c r="AA152" s="547" t="str">
        <f t="shared" ca="1" si="24"/>
        <v/>
      </c>
      <c r="AB152" s="494" t="s">
        <v>1380</v>
      </c>
      <c r="AC152" s="547" t="str">
        <f t="shared" ca="1" si="25"/>
        <v/>
      </c>
      <c r="AD152" s="557"/>
      <c r="AE152" s="958"/>
    </row>
    <row r="153" spans="1:31" ht="15" customHeight="1">
      <c r="A153" s="957">
        <v>51</v>
      </c>
      <c r="B153" s="566" t="s">
        <v>1008</v>
      </c>
      <c r="C153" s="567" t="s">
        <v>1369</v>
      </c>
      <c r="D153" s="958" t="s">
        <v>1406</v>
      </c>
      <c r="E153" s="959" t="s">
        <v>755</v>
      </c>
      <c r="F153" s="558" t="s">
        <v>1399</v>
      </c>
      <c r="G153" s="558">
        <v>309</v>
      </c>
      <c r="H153" s="558" t="s">
        <v>1069</v>
      </c>
      <c r="I153" s="559" t="s">
        <v>1070</v>
      </c>
      <c r="J153" s="567" t="s">
        <v>1372</v>
      </c>
      <c r="K153" s="960" t="s">
        <v>1373</v>
      </c>
      <c r="L153" s="555" t="str">
        <f t="shared" ca="1" si="18"/>
        <v/>
      </c>
      <c r="M153" s="494" t="s">
        <v>1374</v>
      </c>
      <c r="N153" s="555" t="str">
        <f t="shared" ca="1" si="19"/>
        <v/>
      </c>
      <c r="O153" s="494" t="s">
        <v>1375</v>
      </c>
      <c r="P153" s="555" t="str">
        <f t="shared" ca="1" si="20"/>
        <v/>
      </c>
      <c r="Q153" s="494" t="s">
        <v>1376</v>
      </c>
      <c r="R153" s="494" t="str">
        <f t="shared" si="26"/>
        <v>I153</v>
      </c>
      <c r="S153" s="494" t="s">
        <v>1377</v>
      </c>
      <c r="T153" s="494">
        <v>5</v>
      </c>
      <c r="U153" s="556" t="str">
        <f t="shared" ca="1" si="21"/>
        <v/>
      </c>
      <c r="V153" s="494">
        <v>6</v>
      </c>
      <c r="W153" s="556" t="str">
        <f t="shared" ca="1" si="22"/>
        <v/>
      </c>
      <c r="X153" s="494" t="s">
        <v>1378</v>
      </c>
      <c r="Y153" s="547" t="str">
        <f t="shared" ca="1" si="23"/>
        <v/>
      </c>
      <c r="Z153" s="494" t="s">
        <v>1379</v>
      </c>
      <c r="AA153" s="547" t="str">
        <f t="shared" ca="1" si="24"/>
        <v/>
      </c>
      <c r="AB153" s="494" t="s">
        <v>1380</v>
      </c>
      <c r="AC153" s="547" t="str">
        <f t="shared" ca="1" si="25"/>
        <v/>
      </c>
      <c r="AD153" s="557"/>
      <c r="AE153" s="958"/>
    </row>
    <row r="154" spans="1:31" ht="15" customHeight="1">
      <c r="A154" s="957">
        <v>51</v>
      </c>
      <c r="B154" s="566" t="s">
        <v>1008</v>
      </c>
      <c r="C154" s="567" t="s">
        <v>1369</v>
      </c>
      <c r="D154" s="958" t="s">
        <v>1406</v>
      </c>
      <c r="E154" s="959" t="s">
        <v>755</v>
      </c>
      <c r="F154" s="558" t="s">
        <v>1399</v>
      </c>
      <c r="G154" s="558">
        <v>309</v>
      </c>
      <c r="H154" s="558" t="s">
        <v>1069</v>
      </c>
      <c r="I154" s="559" t="s">
        <v>1071</v>
      </c>
      <c r="J154" s="567" t="s">
        <v>1372</v>
      </c>
      <c r="K154" s="960" t="s">
        <v>1373</v>
      </c>
      <c r="L154" s="555" t="str">
        <f t="shared" ca="1" si="18"/>
        <v/>
      </c>
      <c r="M154" s="494" t="s">
        <v>1374</v>
      </c>
      <c r="N154" s="555" t="str">
        <f t="shared" ca="1" si="19"/>
        <v/>
      </c>
      <c r="O154" s="494" t="s">
        <v>1375</v>
      </c>
      <c r="P154" s="555" t="str">
        <f t="shared" ca="1" si="20"/>
        <v/>
      </c>
      <c r="Q154" s="494" t="s">
        <v>1376</v>
      </c>
      <c r="R154" s="494" t="str">
        <f t="shared" si="26"/>
        <v>I154</v>
      </c>
      <c r="S154" s="494" t="s">
        <v>1377</v>
      </c>
      <c r="T154" s="494">
        <v>5</v>
      </c>
      <c r="U154" s="556" t="str">
        <f t="shared" ca="1" si="21"/>
        <v/>
      </c>
      <c r="V154" s="494">
        <v>6</v>
      </c>
      <c r="W154" s="556" t="str">
        <f t="shared" ca="1" si="22"/>
        <v/>
      </c>
      <c r="X154" s="494" t="s">
        <v>1378</v>
      </c>
      <c r="Y154" s="547" t="str">
        <f t="shared" ca="1" si="23"/>
        <v/>
      </c>
      <c r="Z154" s="494" t="s">
        <v>1379</v>
      </c>
      <c r="AA154" s="547" t="str">
        <f t="shared" ca="1" si="24"/>
        <v/>
      </c>
      <c r="AB154" s="494" t="s">
        <v>1380</v>
      </c>
      <c r="AC154" s="547" t="str">
        <f t="shared" ca="1" si="25"/>
        <v/>
      </c>
      <c r="AD154" s="557"/>
      <c r="AE154" s="958"/>
    </row>
    <row r="155" spans="1:31" ht="15" customHeight="1">
      <c r="A155" s="957">
        <v>51</v>
      </c>
      <c r="B155" s="566" t="s">
        <v>1008</v>
      </c>
      <c r="C155" s="567" t="s">
        <v>1369</v>
      </c>
      <c r="D155" s="958" t="s">
        <v>1406</v>
      </c>
      <c r="E155" s="959" t="s">
        <v>755</v>
      </c>
      <c r="F155" s="558" t="s">
        <v>1399</v>
      </c>
      <c r="G155" s="558">
        <v>309</v>
      </c>
      <c r="H155" s="558" t="s">
        <v>1069</v>
      </c>
      <c r="I155" s="559" t="s">
        <v>1420</v>
      </c>
      <c r="J155" s="567" t="s">
        <v>1372</v>
      </c>
      <c r="K155" s="960" t="s">
        <v>1373</v>
      </c>
      <c r="L155" s="555" t="str">
        <f t="shared" ca="1" si="18"/>
        <v/>
      </c>
      <c r="M155" s="494" t="s">
        <v>1374</v>
      </c>
      <c r="N155" s="555" t="str">
        <f t="shared" ca="1" si="19"/>
        <v/>
      </c>
      <c r="O155" s="494" t="s">
        <v>1375</v>
      </c>
      <c r="P155" s="555" t="str">
        <f t="shared" ca="1" si="20"/>
        <v/>
      </c>
      <c r="Q155" s="494" t="s">
        <v>1376</v>
      </c>
      <c r="R155" s="494" t="str">
        <f t="shared" si="26"/>
        <v>I155</v>
      </c>
      <c r="S155" s="494" t="s">
        <v>1377</v>
      </c>
      <c r="T155" s="494">
        <v>5</v>
      </c>
      <c r="U155" s="556" t="str">
        <f t="shared" ca="1" si="21"/>
        <v/>
      </c>
      <c r="V155" s="494">
        <v>6</v>
      </c>
      <c r="W155" s="556" t="str">
        <f t="shared" ca="1" si="22"/>
        <v/>
      </c>
      <c r="X155" s="494" t="s">
        <v>1378</v>
      </c>
      <c r="Y155" s="547" t="str">
        <f t="shared" ca="1" si="23"/>
        <v/>
      </c>
      <c r="Z155" s="494" t="s">
        <v>1379</v>
      </c>
      <c r="AA155" s="547" t="str">
        <f t="shared" ca="1" si="24"/>
        <v/>
      </c>
      <c r="AB155" s="494" t="s">
        <v>1380</v>
      </c>
      <c r="AC155" s="547" t="str">
        <f t="shared" ca="1" si="25"/>
        <v/>
      </c>
      <c r="AD155" s="557"/>
      <c r="AE155" s="958"/>
    </row>
    <row r="156" spans="1:31" ht="15" customHeight="1">
      <c r="A156" s="957">
        <v>51</v>
      </c>
      <c r="B156" s="566" t="s">
        <v>1008</v>
      </c>
      <c r="C156" s="567" t="s">
        <v>1369</v>
      </c>
      <c r="D156" s="958" t="s">
        <v>1406</v>
      </c>
      <c r="E156" s="959" t="s">
        <v>755</v>
      </c>
      <c r="F156" s="558" t="s">
        <v>1399</v>
      </c>
      <c r="G156" s="558">
        <v>310</v>
      </c>
      <c r="H156" s="558" t="s">
        <v>1072</v>
      </c>
      <c r="I156" s="559" t="s">
        <v>1073</v>
      </c>
      <c r="J156" s="567" t="s">
        <v>1372</v>
      </c>
      <c r="K156" s="960" t="s">
        <v>1373</v>
      </c>
      <c r="L156" s="555" t="str">
        <f t="shared" ca="1" si="18"/>
        <v/>
      </c>
      <c r="M156" s="494" t="s">
        <v>1374</v>
      </c>
      <c r="N156" s="555" t="str">
        <f t="shared" ca="1" si="19"/>
        <v/>
      </c>
      <c r="O156" s="494" t="s">
        <v>1375</v>
      </c>
      <c r="P156" s="555" t="str">
        <f t="shared" ca="1" si="20"/>
        <v/>
      </c>
      <c r="Q156" s="494" t="s">
        <v>1376</v>
      </c>
      <c r="R156" s="494" t="str">
        <f t="shared" si="26"/>
        <v>I156</v>
      </c>
      <c r="S156" s="494" t="s">
        <v>1377</v>
      </c>
      <c r="T156" s="494">
        <v>5</v>
      </c>
      <c r="U156" s="556" t="str">
        <f t="shared" ca="1" si="21"/>
        <v/>
      </c>
      <c r="V156" s="494">
        <v>6</v>
      </c>
      <c r="W156" s="556" t="str">
        <f t="shared" ca="1" si="22"/>
        <v/>
      </c>
      <c r="X156" s="494" t="s">
        <v>1378</v>
      </c>
      <c r="Y156" s="547" t="str">
        <f t="shared" ca="1" si="23"/>
        <v/>
      </c>
      <c r="Z156" s="494" t="s">
        <v>1379</v>
      </c>
      <c r="AA156" s="547" t="str">
        <f t="shared" ca="1" si="24"/>
        <v/>
      </c>
      <c r="AB156" s="494" t="s">
        <v>1380</v>
      </c>
      <c r="AC156" s="547" t="str">
        <f t="shared" ca="1" si="25"/>
        <v/>
      </c>
      <c r="AD156" s="557"/>
      <c r="AE156" s="958"/>
    </row>
    <row r="157" spans="1:31" ht="15" customHeight="1">
      <c r="A157" s="957">
        <v>51</v>
      </c>
      <c r="B157" s="566" t="s">
        <v>1008</v>
      </c>
      <c r="C157" s="567" t="s">
        <v>1369</v>
      </c>
      <c r="D157" s="958" t="s">
        <v>1406</v>
      </c>
      <c r="E157" s="959" t="s">
        <v>755</v>
      </c>
      <c r="F157" s="558" t="s">
        <v>1399</v>
      </c>
      <c r="G157" s="558">
        <v>310</v>
      </c>
      <c r="H157" s="558" t="s">
        <v>1072</v>
      </c>
      <c r="I157" s="559" t="s">
        <v>1421</v>
      </c>
      <c r="J157" s="567" t="s">
        <v>1372</v>
      </c>
      <c r="K157" s="960" t="s">
        <v>1373</v>
      </c>
      <c r="L157" s="555" t="str">
        <f t="shared" ca="1" si="18"/>
        <v/>
      </c>
      <c r="M157" s="494" t="s">
        <v>1374</v>
      </c>
      <c r="N157" s="555" t="str">
        <f t="shared" ca="1" si="19"/>
        <v/>
      </c>
      <c r="O157" s="494" t="s">
        <v>1375</v>
      </c>
      <c r="P157" s="555" t="str">
        <f t="shared" ca="1" si="20"/>
        <v/>
      </c>
      <c r="Q157" s="494" t="s">
        <v>1376</v>
      </c>
      <c r="R157" s="494" t="str">
        <f t="shared" si="26"/>
        <v>I157</v>
      </c>
      <c r="S157" s="494" t="s">
        <v>1377</v>
      </c>
      <c r="T157" s="494">
        <v>5</v>
      </c>
      <c r="U157" s="556" t="str">
        <f t="shared" ca="1" si="21"/>
        <v/>
      </c>
      <c r="V157" s="494">
        <v>6</v>
      </c>
      <c r="W157" s="556" t="str">
        <f t="shared" ca="1" si="22"/>
        <v/>
      </c>
      <c r="X157" s="494" t="s">
        <v>1378</v>
      </c>
      <c r="Y157" s="547" t="str">
        <f t="shared" ca="1" si="23"/>
        <v/>
      </c>
      <c r="Z157" s="494" t="s">
        <v>1379</v>
      </c>
      <c r="AA157" s="547" t="str">
        <f t="shared" ca="1" si="24"/>
        <v/>
      </c>
      <c r="AB157" s="494" t="s">
        <v>1380</v>
      </c>
      <c r="AC157" s="547" t="str">
        <f t="shared" ca="1" si="25"/>
        <v/>
      </c>
      <c r="AD157" s="557"/>
      <c r="AE157" s="958"/>
    </row>
    <row r="158" spans="1:31" ht="15" customHeight="1">
      <c r="A158" s="957">
        <v>57</v>
      </c>
      <c r="B158" s="566" t="s">
        <v>1009</v>
      </c>
      <c r="C158" s="567" t="s">
        <v>1369</v>
      </c>
      <c r="D158" s="958" t="s">
        <v>1422</v>
      </c>
      <c r="E158" s="959" t="s">
        <v>659</v>
      </c>
      <c r="F158" s="558" t="s">
        <v>1371</v>
      </c>
      <c r="G158" s="558">
        <v>317</v>
      </c>
      <c r="H158" s="558" t="s">
        <v>1010</v>
      </c>
      <c r="I158" s="559" t="s">
        <v>492</v>
      </c>
      <c r="J158" s="567" t="s">
        <v>1372</v>
      </c>
      <c r="K158" s="960" t="s">
        <v>1373</v>
      </c>
      <c r="L158" s="555" t="str">
        <f t="shared" ca="1" si="18"/>
        <v/>
      </c>
      <c r="M158" s="494" t="s">
        <v>1374</v>
      </c>
      <c r="N158" s="555" t="str">
        <f t="shared" ca="1" si="19"/>
        <v/>
      </c>
      <c r="O158" s="494" t="s">
        <v>1375</v>
      </c>
      <c r="P158" s="555" t="str">
        <f t="shared" ca="1" si="20"/>
        <v/>
      </c>
      <c r="Q158" s="494" t="s">
        <v>1376</v>
      </c>
      <c r="R158" s="494" t="str">
        <f t="shared" si="26"/>
        <v>I158</v>
      </c>
      <c r="S158" s="494" t="s">
        <v>1377</v>
      </c>
      <c r="T158" s="494">
        <v>5</v>
      </c>
      <c r="U158" s="556" t="str">
        <f t="shared" ca="1" si="21"/>
        <v/>
      </c>
      <c r="V158" s="494">
        <v>6</v>
      </c>
      <c r="W158" s="556" t="str">
        <f t="shared" ca="1" si="22"/>
        <v/>
      </c>
      <c r="X158" s="494" t="s">
        <v>1378</v>
      </c>
      <c r="Y158" s="547" t="str">
        <f t="shared" ca="1" si="23"/>
        <v/>
      </c>
      <c r="Z158" s="494" t="s">
        <v>1379</v>
      </c>
      <c r="AA158" s="547" t="str">
        <f t="shared" ca="1" si="24"/>
        <v/>
      </c>
      <c r="AB158" s="494" t="s">
        <v>1380</v>
      </c>
      <c r="AC158" s="547" t="str">
        <f t="shared" ca="1" si="25"/>
        <v/>
      </c>
      <c r="AD158" s="557"/>
      <c r="AE158" s="958"/>
    </row>
    <row r="159" spans="1:31" ht="15" customHeight="1">
      <c r="A159" s="957">
        <v>57</v>
      </c>
      <c r="B159" s="566" t="s">
        <v>1009</v>
      </c>
      <c r="C159" s="567" t="s">
        <v>1369</v>
      </c>
      <c r="D159" s="958" t="s">
        <v>1422</v>
      </c>
      <c r="E159" s="959" t="s">
        <v>659</v>
      </c>
      <c r="F159" s="558" t="s">
        <v>1371</v>
      </c>
      <c r="G159" s="558">
        <v>318</v>
      </c>
      <c r="H159" s="558" t="s">
        <v>1011</v>
      </c>
      <c r="I159" s="559" t="s">
        <v>1012</v>
      </c>
      <c r="J159" s="567" t="s">
        <v>1372</v>
      </c>
      <c r="K159" s="960" t="s">
        <v>1373</v>
      </c>
      <c r="L159" s="555" t="str">
        <f t="shared" ca="1" si="18"/>
        <v/>
      </c>
      <c r="M159" s="494" t="s">
        <v>1374</v>
      </c>
      <c r="N159" s="555" t="str">
        <f t="shared" ca="1" si="19"/>
        <v/>
      </c>
      <c r="O159" s="494" t="s">
        <v>1375</v>
      </c>
      <c r="P159" s="555" t="str">
        <f t="shared" ca="1" si="20"/>
        <v/>
      </c>
      <c r="Q159" s="494" t="s">
        <v>1376</v>
      </c>
      <c r="R159" s="494" t="str">
        <f t="shared" si="26"/>
        <v>I159</v>
      </c>
      <c r="S159" s="494" t="s">
        <v>1377</v>
      </c>
      <c r="T159" s="494">
        <v>5</v>
      </c>
      <c r="U159" s="556" t="str">
        <f t="shared" ca="1" si="21"/>
        <v/>
      </c>
      <c r="V159" s="494">
        <v>6</v>
      </c>
      <c r="W159" s="556" t="str">
        <f t="shared" ca="1" si="22"/>
        <v/>
      </c>
      <c r="X159" s="494" t="s">
        <v>1378</v>
      </c>
      <c r="Y159" s="547" t="str">
        <f t="shared" ca="1" si="23"/>
        <v/>
      </c>
      <c r="Z159" s="494" t="s">
        <v>1379</v>
      </c>
      <c r="AA159" s="547" t="str">
        <f t="shared" ca="1" si="24"/>
        <v/>
      </c>
      <c r="AB159" s="494" t="s">
        <v>1380</v>
      </c>
      <c r="AC159" s="547" t="str">
        <f t="shared" ca="1" si="25"/>
        <v/>
      </c>
      <c r="AD159" s="557"/>
      <c r="AE159" s="958"/>
    </row>
    <row r="160" spans="1:31" ht="15" customHeight="1">
      <c r="A160" s="957">
        <v>57</v>
      </c>
      <c r="B160" s="566" t="s">
        <v>1009</v>
      </c>
      <c r="C160" s="567" t="s">
        <v>1369</v>
      </c>
      <c r="D160" s="958" t="s">
        <v>1422</v>
      </c>
      <c r="E160" s="959" t="s">
        <v>659</v>
      </c>
      <c r="F160" s="558" t="s">
        <v>1371</v>
      </c>
      <c r="G160" s="558">
        <v>318</v>
      </c>
      <c r="H160" s="558" t="s">
        <v>1011</v>
      </c>
      <c r="I160" s="559" t="s">
        <v>1407</v>
      </c>
      <c r="J160" s="567" t="s">
        <v>1372</v>
      </c>
      <c r="K160" s="960" t="s">
        <v>1373</v>
      </c>
      <c r="L160" s="555" t="str">
        <f t="shared" ca="1" si="18"/>
        <v/>
      </c>
      <c r="M160" s="494" t="s">
        <v>1374</v>
      </c>
      <c r="N160" s="555" t="str">
        <f t="shared" ca="1" si="19"/>
        <v/>
      </c>
      <c r="O160" s="494" t="s">
        <v>1375</v>
      </c>
      <c r="P160" s="555" t="str">
        <f t="shared" ca="1" si="20"/>
        <v/>
      </c>
      <c r="Q160" s="494" t="s">
        <v>1376</v>
      </c>
      <c r="R160" s="494" t="str">
        <f t="shared" si="26"/>
        <v>I160</v>
      </c>
      <c r="S160" s="494" t="s">
        <v>1377</v>
      </c>
      <c r="T160" s="494">
        <v>5</v>
      </c>
      <c r="U160" s="556" t="str">
        <f t="shared" ca="1" si="21"/>
        <v/>
      </c>
      <c r="V160" s="494">
        <v>6</v>
      </c>
      <c r="W160" s="556" t="str">
        <f t="shared" ca="1" si="22"/>
        <v/>
      </c>
      <c r="X160" s="494" t="s">
        <v>1378</v>
      </c>
      <c r="Y160" s="547" t="str">
        <f t="shared" ca="1" si="23"/>
        <v/>
      </c>
      <c r="Z160" s="494" t="s">
        <v>1379</v>
      </c>
      <c r="AA160" s="547" t="str">
        <f t="shared" ca="1" si="24"/>
        <v/>
      </c>
      <c r="AB160" s="494" t="s">
        <v>1380</v>
      </c>
      <c r="AC160" s="547" t="str">
        <f t="shared" ca="1" si="25"/>
        <v/>
      </c>
      <c r="AD160" s="557"/>
      <c r="AE160" s="958"/>
    </row>
    <row r="161" spans="1:31" ht="15" customHeight="1">
      <c r="A161" s="957">
        <v>57</v>
      </c>
      <c r="B161" s="566" t="s">
        <v>1009</v>
      </c>
      <c r="C161" s="567" t="s">
        <v>1369</v>
      </c>
      <c r="D161" s="958" t="s">
        <v>1422</v>
      </c>
      <c r="E161" s="959" t="s">
        <v>659</v>
      </c>
      <c r="F161" s="558" t="s">
        <v>1371</v>
      </c>
      <c r="G161" s="558">
        <v>318</v>
      </c>
      <c r="H161" s="558" t="s">
        <v>1011</v>
      </c>
      <c r="I161" s="559" t="s">
        <v>1408</v>
      </c>
      <c r="J161" s="567" t="s">
        <v>1372</v>
      </c>
      <c r="K161" s="960" t="s">
        <v>1373</v>
      </c>
      <c r="L161" s="555" t="str">
        <f t="shared" ca="1" si="18"/>
        <v/>
      </c>
      <c r="M161" s="494" t="s">
        <v>1374</v>
      </c>
      <c r="N161" s="555" t="str">
        <f t="shared" ca="1" si="19"/>
        <v/>
      </c>
      <c r="O161" s="494" t="s">
        <v>1375</v>
      </c>
      <c r="P161" s="555" t="str">
        <f t="shared" ca="1" si="20"/>
        <v/>
      </c>
      <c r="Q161" s="494" t="s">
        <v>1376</v>
      </c>
      <c r="R161" s="494" t="str">
        <f t="shared" si="26"/>
        <v>I161</v>
      </c>
      <c r="S161" s="494" t="s">
        <v>1377</v>
      </c>
      <c r="T161" s="494">
        <v>5</v>
      </c>
      <c r="U161" s="556" t="str">
        <f t="shared" ca="1" si="21"/>
        <v/>
      </c>
      <c r="V161" s="494">
        <v>6</v>
      </c>
      <c r="W161" s="556" t="str">
        <f t="shared" ca="1" si="22"/>
        <v/>
      </c>
      <c r="X161" s="494" t="s">
        <v>1378</v>
      </c>
      <c r="Y161" s="547" t="str">
        <f t="shared" ca="1" si="23"/>
        <v/>
      </c>
      <c r="Z161" s="494" t="s">
        <v>1379</v>
      </c>
      <c r="AA161" s="547" t="str">
        <f t="shared" ca="1" si="24"/>
        <v/>
      </c>
      <c r="AB161" s="494" t="s">
        <v>1380</v>
      </c>
      <c r="AC161" s="547" t="str">
        <f t="shared" ca="1" si="25"/>
        <v/>
      </c>
      <c r="AD161" s="557"/>
      <c r="AE161" s="958"/>
    </row>
    <row r="162" spans="1:31" ht="15" customHeight="1">
      <c r="A162" s="957">
        <v>57</v>
      </c>
      <c r="B162" s="566" t="s">
        <v>1009</v>
      </c>
      <c r="C162" s="567" t="s">
        <v>1369</v>
      </c>
      <c r="D162" s="958" t="s">
        <v>1422</v>
      </c>
      <c r="E162" s="959" t="s">
        <v>659</v>
      </c>
      <c r="F162" s="558" t="s">
        <v>1371</v>
      </c>
      <c r="G162" s="558">
        <v>319</v>
      </c>
      <c r="H162" s="558" t="s">
        <v>1013</v>
      </c>
      <c r="I162" s="559" t="s">
        <v>675</v>
      </c>
      <c r="J162" s="567" t="s">
        <v>1372</v>
      </c>
      <c r="K162" s="960" t="s">
        <v>1373</v>
      </c>
      <c r="L162" s="555" t="str">
        <f t="shared" ca="1" si="18"/>
        <v/>
      </c>
      <c r="M162" s="494" t="s">
        <v>1374</v>
      </c>
      <c r="N162" s="555" t="str">
        <f t="shared" ca="1" si="19"/>
        <v/>
      </c>
      <c r="O162" s="494" t="s">
        <v>1375</v>
      </c>
      <c r="P162" s="555" t="str">
        <f t="shared" ca="1" si="20"/>
        <v/>
      </c>
      <c r="Q162" s="494" t="s">
        <v>1376</v>
      </c>
      <c r="R162" s="494" t="str">
        <f t="shared" si="26"/>
        <v>I162</v>
      </c>
      <c r="S162" s="494" t="s">
        <v>1377</v>
      </c>
      <c r="T162" s="494">
        <v>5</v>
      </c>
      <c r="U162" s="556" t="str">
        <f t="shared" ca="1" si="21"/>
        <v/>
      </c>
      <c r="V162" s="494">
        <v>6</v>
      </c>
      <c r="W162" s="556" t="str">
        <f t="shared" ca="1" si="22"/>
        <v/>
      </c>
      <c r="X162" s="494" t="s">
        <v>1378</v>
      </c>
      <c r="Y162" s="547" t="str">
        <f t="shared" ca="1" si="23"/>
        <v/>
      </c>
      <c r="Z162" s="494" t="s">
        <v>1379</v>
      </c>
      <c r="AA162" s="547" t="str">
        <f t="shared" ca="1" si="24"/>
        <v/>
      </c>
      <c r="AB162" s="494" t="s">
        <v>1380</v>
      </c>
      <c r="AC162" s="547" t="str">
        <f t="shared" ca="1" si="25"/>
        <v/>
      </c>
      <c r="AD162" s="557"/>
      <c r="AE162" s="958"/>
    </row>
    <row r="163" spans="1:31" ht="15" customHeight="1">
      <c r="A163" s="957">
        <v>57</v>
      </c>
      <c r="B163" s="566" t="s">
        <v>1009</v>
      </c>
      <c r="C163" s="567" t="s">
        <v>1369</v>
      </c>
      <c r="D163" s="958" t="s">
        <v>1422</v>
      </c>
      <c r="E163" s="959" t="s">
        <v>659</v>
      </c>
      <c r="F163" s="558" t="s">
        <v>1371</v>
      </c>
      <c r="G163" s="558">
        <v>319</v>
      </c>
      <c r="H163" s="558" t="s">
        <v>1013</v>
      </c>
      <c r="I163" s="559" t="s">
        <v>1014</v>
      </c>
      <c r="J163" s="567" t="s">
        <v>1372</v>
      </c>
      <c r="K163" s="960" t="s">
        <v>1373</v>
      </c>
      <c r="L163" s="555" t="str">
        <f t="shared" ca="1" si="18"/>
        <v/>
      </c>
      <c r="M163" s="494" t="s">
        <v>1374</v>
      </c>
      <c r="N163" s="555" t="str">
        <f t="shared" ca="1" si="19"/>
        <v/>
      </c>
      <c r="O163" s="494" t="s">
        <v>1375</v>
      </c>
      <c r="P163" s="555" t="str">
        <f t="shared" ca="1" si="20"/>
        <v/>
      </c>
      <c r="Q163" s="494" t="s">
        <v>1376</v>
      </c>
      <c r="R163" s="494" t="str">
        <f t="shared" si="26"/>
        <v>I163</v>
      </c>
      <c r="S163" s="494" t="s">
        <v>1377</v>
      </c>
      <c r="T163" s="494">
        <v>5</v>
      </c>
      <c r="U163" s="556" t="str">
        <f t="shared" ca="1" si="21"/>
        <v/>
      </c>
      <c r="V163" s="494">
        <v>6</v>
      </c>
      <c r="W163" s="556" t="str">
        <f t="shared" ca="1" si="22"/>
        <v/>
      </c>
      <c r="X163" s="494" t="s">
        <v>1378</v>
      </c>
      <c r="Y163" s="547" t="str">
        <f t="shared" ca="1" si="23"/>
        <v/>
      </c>
      <c r="Z163" s="494" t="s">
        <v>1379</v>
      </c>
      <c r="AA163" s="547" t="str">
        <f t="shared" ca="1" si="24"/>
        <v/>
      </c>
      <c r="AB163" s="494" t="s">
        <v>1380</v>
      </c>
      <c r="AC163" s="547" t="str">
        <f t="shared" ca="1" si="25"/>
        <v/>
      </c>
      <c r="AD163" s="557"/>
      <c r="AE163" s="958"/>
    </row>
    <row r="164" spans="1:31" ht="15" customHeight="1">
      <c r="A164" s="957">
        <v>57</v>
      </c>
      <c r="B164" s="566" t="s">
        <v>1009</v>
      </c>
      <c r="C164" s="567" t="s">
        <v>1369</v>
      </c>
      <c r="D164" s="958" t="s">
        <v>1422</v>
      </c>
      <c r="E164" s="959" t="s">
        <v>659</v>
      </c>
      <c r="F164" s="558" t="s">
        <v>1371</v>
      </c>
      <c r="G164" s="558">
        <v>319</v>
      </c>
      <c r="H164" s="558" t="s">
        <v>1013</v>
      </c>
      <c r="I164" s="559" t="s">
        <v>1015</v>
      </c>
      <c r="J164" s="567" t="s">
        <v>1372</v>
      </c>
      <c r="K164" s="960" t="s">
        <v>1373</v>
      </c>
      <c r="L164" s="555" t="str">
        <f t="shared" ca="1" si="18"/>
        <v/>
      </c>
      <c r="M164" s="494" t="s">
        <v>1374</v>
      </c>
      <c r="N164" s="555" t="str">
        <f t="shared" ca="1" si="19"/>
        <v/>
      </c>
      <c r="O164" s="494" t="s">
        <v>1375</v>
      </c>
      <c r="P164" s="555" t="str">
        <f t="shared" ca="1" si="20"/>
        <v/>
      </c>
      <c r="Q164" s="494" t="s">
        <v>1376</v>
      </c>
      <c r="R164" s="494" t="str">
        <f t="shared" si="26"/>
        <v>I164</v>
      </c>
      <c r="S164" s="494" t="s">
        <v>1377</v>
      </c>
      <c r="T164" s="494">
        <v>5</v>
      </c>
      <c r="U164" s="556" t="str">
        <f t="shared" ca="1" si="21"/>
        <v/>
      </c>
      <c r="V164" s="494">
        <v>6</v>
      </c>
      <c r="W164" s="556" t="str">
        <f t="shared" ca="1" si="22"/>
        <v/>
      </c>
      <c r="X164" s="494" t="s">
        <v>1378</v>
      </c>
      <c r="Y164" s="547" t="str">
        <f t="shared" ca="1" si="23"/>
        <v/>
      </c>
      <c r="Z164" s="494" t="s">
        <v>1379</v>
      </c>
      <c r="AA164" s="547" t="str">
        <f t="shared" ca="1" si="24"/>
        <v/>
      </c>
      <c r="AB164" s="494" t="s">
        <v>1380</v>
      </c>
      <c r="AC164" s="547" t="str">
        <f t="shared" ca="1" si="25"/>
        <v/>
      </c>
      <c r="AD164" s="557"/>
      <c r="AE164" s="958"/>
    </row>
    <row r="165" spans="1:31" ht="15" customHeight="1">
      <c r="A165" s="957">
        <v>57</v>
      </c>
      <c r="B165" s="566" t="s">
        <v>1009</v>
      </c>
      <c r="C165" s="567" t="s">
        <v>1369</v>
      </c>
      <c r="D165" s="958" t="s">
        <v>1422</v>
      </c>
      <c r="E165" s="959" t="s">
        <v>659</v>
      </c>
      <c r="F165" s="558" t="s">
        <v>1371</v>
      </c>
      <c r="G165" s="558">
        <v>320</v>
      </c>
      <c r="H165" s="558" t="s">
        <v>1016</v>
      </c>
      <c r="I165" s="559" t="s">
        <v>665</v>
      </c>
      <c r="J165" s="567" t="s">
        <v>1372</v>
      </c>
      <c r="K165" s="960" t="s">
        <v>1373</v>
      </c>
      <c r="L165" s="555" t="str">
        <f t="shared" ca="1" si="18"/>
        <v/>
      </c>
      <c r="M165" s="494" t="s">
        <v>1374</v>
      </c>
      <c r="N165" s="555" t="str">
        <f t="shared" ca="1" si="19"/>
        <v/>
      </c>
      <c r="O165" s="494" t="s">
        <v>1375</v>
      </c>
      <c r="P165" s="555" t="str">
        <f t="shared" ca="1" si="20"/>
        <v/>
      </c>
      <c r="Q165" s="494" t="s">
        <v>1376</v>
      </c>
      <c r="R165" s="494" t="str">
        <f t="shared" si="26"/>
        <v>I165</v>
      </c>
      <c r="S165" s="494" t="s">
        <v>1377</v>
      </c>
      <c r="T165" s="494">
        <v>5</v>
      </c>
      <c r="U165" s="556" t="str">
        <f t="shared" ca="1" si="21"/>
        <v/>
      </c>
      <c r="V165" s="494">
        <v>6</v>
      </c>
      <c r="W165" s="556" t="str">
        <f t="shared" ca="1" si="22"/>
        <v/>
      </c>
      <c r="X165" s="494" t="s">
        <v>1378</v>
      </c>
      <c r="Y165" s="547" t="str">
        <f t="shared" ca="1" si="23"/>
        <v/>
      </c>
      <c r="Z165" s="494" t="s">
        <v>1379</v>
      </c>
      <c r="AA165" s="547" t="str">
        <f t="shared" ca="1" si="24"/>
        <v/>
      </c>
      <c r="AB165" s="494" t="s">
        <v>1380</v>
      </c>
      <c r="AC165" s="547" t="str">
        <f t="shared" ca="1" si="25"/>
        <v/>
      </c>
      <c r="AD165" s="557"/>
      <c r="AE165" s="958"/>
    </row>
    <row r="166" spans="1:31" ht="15" customHeight="1">
      <c r="A166" s="957">
        <v>57</v>
      </c>
      <c r="B166" s="566" t="s">
        <v>1009</v>
      </c>
      <c r="C166" s="567" t="s">
        <v>1369</v>
      </c>
      <c r="D166" s="958" t="s">
        <v>1422</v>
      </c>
      <c r="E166" s="959" t="s">
        <v>659</v>
      </c>
      <c r="F166" s="558" t="s">
        <v>1371</v>
      </c>
      <c r="G166" s="558">
        <v>320</v>
      </c>
      <c r="H166" s="558" t="s">
        <v>1016</v>
      </c>
      <c r="I166" s="559" t="s">
        <v>666</v>
      </c>
      <c r="J166" s="567" t="s">
        <v>1372</v>
      </c>
      <c r="K166" s="960" t="s">
        <v>1373</v>
      </c>
      <c r="L166" s="555" t="str">
        <f t="shared" ca="1" si="18"/>
        <v/>
      </c>
      <c r="M166" s="494" t="s">
        <v>1374</v>
      </c>
      <c r="N166" s="555" t="str">
        <f t="shared" ca="1" si="19"/>
        <v/>
      </c>
      <c r="O166" s="494" t="s">
        <v>1375</v>
      </c>
      <c r="P166" s="555" t="str">
        <f t="shared" ca="1" si="20"/>
        <v/>
      </c>
      <c r="Q166" s="494" t="s">
        <v>1376</v>
      </c>
      <c r="R166" s="494" t="str">
        <f t="shared" si="26"/>
        <v>I166</v>
      </c>
      <c r="S166" s="494" t="s">
        <v>1377</v>
      </c>
      <c r="T166" s="494">
        <v>5</v>
      </c>
      <c r="U166" s="556" t="str">
        <f t="shared" ca="1" si="21"/>
        <v/>
      </c>
      <c r="V166" s="494">
        <v>6</v>
      </c>
      <c r="W166" s="556" t="str">
        <f t="shared" ca="1" si="22"/>
        <v/>
      </c>
      <c r="X166" s="494" t="s">
        <v>1378</v>
      </c>
      <c r="Y166" s="547" t="str">
        <f t="shared" ca="1" si="23"/>
        <v/>
      </c>
      <c r="Z166" s="494" t="s">
        <v>1379</v>
      </c>
      <c r="AA166" s="547" t="str">
        <f t="shared" ca="1" si="24"/>
        <v/>
      </c>
      <c r="AB166" s="494" t="s">
        <v>1380</v>
      </c>
      <c r="AC166" s="547" t="str">
        <f t="shared" ca="1" si="25"/>
        <v/>
      </c>
      <c r="AD166" s="557"/>
      <c r="AE166" s="958"/>
    </row>
    <row r="167" spans="1:31" ht="15" customHeight="1">
      <c r="A167" s="957">
        <v>57</v>
      </c>
      <c r="B167" s="566" t="s">
        <v>1009</v>
      </c>
      <c r="C167" s="567" t="s">
        <v>1369</v>
      </c>
      <c r="D167" s="958" t="s">
        <v>1422</v>
      </c>
      <c r="E167" s="959" t="s">
        <v>659</v>
      </c>
      <c r="F167" s="558" t="s">
        <v>1371</v>
      </c>
      <c r="G167" s="558">
        <v>320</v>
      </c>
      <c r="H167" s="558" t="s">
        <v>1016</v>
      </c>
      <c r="I167" s="559" t="s">
        <v>1017</v>
      </c>
      <c r="J167" s="567" t="s">
        <v>1372</v>
      </c>
      <c r="K167" s="960" t="s">
        <v>1373</v>
      </c>
      <c r="L167" s="555" t="str">
        <f t="shared" ca="1" si="18"/>
        <v/>
      </c>
      <c r="M167" s="494" t="s">
        <v>1374</v>
      </c>
      <c r="N167" s="555" t="str">
        <f t="shared" ca="1" si="19"/>
        <v/>
      </c>
      <c r="O167" s="494" t="s">
        <v>1375</v>
      </c>
      <c r="P167" s="555" t="str">
        <f t="shared" ca="1" si="20"/>
        <v/>
      </c>
      <c r="Q167" s="494" t="s">
        <v>1376</v>
      </c>
      <c r="R167" s="494" t="str">
        <f t="shared" si="26"/>
        <v>I167</v>
      </c>
      <c r="S167" s="494" t="s">
        <v>1377</v>
      </c>
      <c r="T167" s="494">
        <v>5</v>
      </c>
      <c r="U167" s="556" t="str">
        <f t="shared" ca="1" si="21"/>
        <v/>
      </c>
      <c r="V167" s="494">
        <v>6</v>
      </c>
      <c r="W167" s="556" t="str">
        <f t="shared" ca="1" si="22"/>
        <v/>
      </c>
      <c r="X167" s="494" t="s">
        <v>1378</v>
      </c>
      <c r="Y167" s="547" t="str">
        <f t="shared" ca="1" si="23"/>
        <v/>
      </c>
      <c r="Z167" s="494" t="s">
        <v>1379</v>
      </c>
      <c r="AA167" s="547" t="str">
        <f t="shared" ca="1" si="24"/>
        <v/>
      </c>
      <c r="AB167" s="494" t="s">
        <v>1380</v>
      </c>
      <c r="AC167" s="547" t="str">
        <f t="shared" ca="1" si="25"/>
        <v/>
      </c>
      <c r="AD167" s="557"/>
      <c r="AE167" s="958"/>
    </row>
    <row r="168" spans="1:31" ht="15" customHeight="1">
      <c r="A168" s="957">
        <v>57</v>
      </c>
      <c r="B168" s="566" t="s">
        <v>1009</v>
      </c>
      <c r="C168" s="567" t="s">
        <v>1369</v>
      </c>
      <c r="D168" s="958" t="s">
        <v>1422</v>
      </c>
      <c r="E168" s="959" t="s">
        <v>659</v>
      </c>
      <c r="F168" s="558" t="s">
        <v>1371</v>
      </c>
      <c r="G168" s="558">
        <v>321</v>
      </c>
      <c r="H168" s="558" t="s">
        <v>1018</v>
      </c>
      <c r="I168" s="559" t="s">
        <v>678</v>
      </c>
      <c r="J168" s="567" t="s">
        <v>1372</v>
      </c>
      <c r="K168" s="960" t="s">
        <v>1373</v>
      </c>
      <c r="L168" s="555" t="str">
        <f t="shared" ca="1" si="18"/>
        <v/>
      </c>
      <c r="M168" s="494" t="s">
        <v>1374</v>
      </c>
      <c r="N168" s="555" t="str">
        <f t="shared" ca="1" si="19"/>
        <v/>
      </c>
      <c r="O168" s="494" t="s">
        <v>1375</v>
      </c>
      <c r="P168" s="555" t="str">
        <f t="shared" ca="1" si="20"/>
        <v/>
      </c>
      <c r="Q168" s="494" t="s">
        <v>1376</v>
      </c>
      <c r="R168" s="494" t="str">
        <f t="shared" si="26"/>
        <v>I168</v>
      </c>
      <c r="S168" s="494" t="s">
        <v>1377</v>
      </c>
      <c r="T168" s="494">
        <v>5</v>
      </c>
      <c r="U168" s="556" t="str">
        <f t="shared" ca="1" si="21"/>
        <v/>
      </c>
      <c r="V168" s="494">
        <v>6</v>
      </c>
      <c r="W168" s="556" t="str">
        <f t="shared" ca="1" si="22"/>
        <v/>
      </c>
      <c r="X168" s="494" t="s">
        <v>1378</v>
      </c>
      <c r="Y168" s="547" t="str">
        <f t="shared" ca="1" si="23"/>
        <v/>
      </c>
      <c r="Z168" s="494" t="s">
        <v>1379</v>
      </c>
      <c r="AA168" s="547" t="str">
        <f t="shared" ca="1" si="24"/>
        <v/>
      </c>
      <c r="AB168" s="494" t="s">
        <v>1380</v>
      </c>
      <c r="AC168" s="547" t="str">
        <f t="shared" ca="1" si="25"/>
        <v/>
      </c>
      <c r="AD168" s="557"/>
      <c r="AE168" s="958"/>
    </row>
    <row r="169" spans="1:31" ht="15" customHeight="1">
      <c r="A169" s="957">
        <v>57</v>
      </c>
      <c r="B169" s="566" t="s">
        <v>1009</v>
      </c>
      <c r="C169" s="567" t="s">
        <v>1369</v>
      </c>
      <c r="D169" s="958" t="s">
        <v>1422</v>
      </c>
      <c r="E169" s="959" t="s">
        <v>659</v>
      </c>
      <c r="F169" s="558" t="s">
        <v>1371</v>
      </c>
      <c r="G169" s="558">
        <v>321</v>
      </c>
      <c r="H169" s="558" t="s">
        <v>1018</v>
      </c>
      <c r="I169" s="559" t="s">
        <v>679</v>
      </c>
      <c r="J169" s="567" t="s">
        <v>1372</v>
      </c>
      <c r="K169" s="960" t="s">
        <v>1373</v>
      </c>
      <c r="L169" s="555" t="str">
        <f t="shared" ca="1" si="18"/>
        <v/>
      </c>
      <c r="M169" s="494" t="s">
        <v>1374</v>
      </c>
      <c r="N169" s="555" t="str">
        <f t="shared" ca="1" si="19"/>
        <v/>
      </c>
      <c r="O169" s="494" t="s">
        <v>1375</v>
      </c>
      <c r="P169" s="555" t="str">
        <f t="shared" ca="1" si="20"/>
        <v/>
      </c>
      <c r="Q169" s="494" t="s">
        <v>1376</v>
      </c>
      <c r="R169" s="494" t="str">
        <f t="shared" si="26"/>
        <v>I169</v>
      </c>
      <c r="S169" s="494" t="s">
        <v>1377</v>
      </c>
      <c r="T169" s="494">
        <v>5</v>
      </c>
      <c r="U169" s="556" t="str">
        <f t="shared" ca="1" si="21"/>
        <v/>
      </c>
      <c r="V169" s="494">
        <v>6</v>
      </c>
      <c r="W169" s="556" t="str">
        <f t="shared" ca="1" si="22"/>
        <v/>
      </c>
      <c r="X169" s="494" t="s">
        <v>1378</v>
      </c>
      <c r="Y169" s="547" t="str">
        <f t="shared" ca="1" si="23"/>
        <v/>
      </c>
      <c r="Z169" s="494" t="s">
        <v>1379</v>
      </c>
      <c r="AA169" s="547" t="str">
        <f t="shared" ca="1" si="24"/>
        <v/>
      </c>
      <c r="AB169" s="494" t="s">
        <v>1380</v>
      </c>
      <c r="AC169" s="547" t="str">
        <f t="shared" ca="1" si="25"/>
        <v/>
      </c>
      <c r="AD169" s="557"/>
      <c r="AE169" s="958"/>
    </row>
    <row r="170" spans="1:31" ht="15" customHeight="1">
      <c r="A170" s="957">
        <v>57</v>
      </c>
      <c r="B170" s="566" t="s">
        <v>1009</v>
      </c>
      <c r="C170" s="567" t="s">
        <v>1369</v>
      </c>
      <c r="D170" s="958" t="s">
        <v>1422</v>
      </c>
      <c r="E170" s="959" t="s">
        <v>659</v>
      </c>
      <c r="F170" s="558" t="s">
        <v>1371</v>
      </c>
      <c r="G170" s="558">
        <v>322</v>
      </c>
      <c r="H170" s="558" t="s">
        <v>1020</v>
      </c>
      <c r="I170" s="559" t="s">
        <v>667</v>
      </c>
      <c r="J170" s="567" t="s">
        <v>1372</v>
      </c>
      <c r="K170" s="960" t="s">
        <v>1373</v>
      </c>
      <c r="L170" s="555" t="str">
        <f t="shared" ca="1" si="18"/>
        <v/>
      </c>
      <c r="M170" s="494" t="s">
        <v>1374</v>
      </c>
      <c r="N170" s="555" t="str">
        <f t="shared" ca="1" si="19"/>
        <v/>
      </c>
      <c r="O170" s="494" t="s">
        <v>1375</v>
      </c>
      <c r="P170" s="555" t="str">
        <f t="shared" ca="1" si="20"/>
        <v/>
      </c>
      <c r="Q170" s="494" t="s">
        <v>1376</v>
      </c>
      <c r="R170" s="494" t="str">
        <f t="shared" si="26"/>
        <v>I170</v>
      </c>
      <c r="S170" s="494" t="s">
        <v>1377</v>
      </c>
      <c r="T170" s="494">
        <v>5</v>
      </c>
      <c r="U170" s="556" t="str">
        <f t="shared" ca="1" si="21"/>
        <v/>
      </c>
      <c r="V170" s="494">
        <v>6</v>
      </c>
      <c r="W170" s="556" t="str">
        <f t="shared" ca="1" si="22"/>
        <v/>
      </c>
      <c r="X170" s="494" t="s">
        <v>1378</v>
      </c>
      <c r="Y170" s="547" t="str">
        <f t="shared" ca="1" si="23"/>
        <v/>
      </c>
      <c r="Z170" s="494" t="s">
        <v>1379</v>
      </c>
      <c r="AA170" s="547" t="str">
        <f t="shared" ca="1" si="24"/>
        <v/>
      </c>
      <c r="AB170" s="494" t="s">
        <v>1380</v>
      </c>
      <c r="AC170" s="547" t="str">
        <f t="shared" ca="1" si="25"/>
        <v/>
      </c>
      <c r="AD170" s="557"/>
      <c r="AE170" s="958"/>
    </row>
    <row r="171" spans="1:31" ht="15" customHeight="1">
      <c r="A171" s="957">
        <v>57</v>
      </c>
      <c r="B171" s="566" t="s">
        <v>1009</v>
      </c>
      <c r="C171" s="567" t="s">
        <v>1369</v>
      </c>
      <c r="D171" s="958" t="s">
        <v>1422</v>
      </c>
      <c r="E171" s="959" t="s">
        <v>659</v>
      </c>
      <c r="F171" s="558" t="s">
        <v>1371</v>
      </c>
      <c r="G171" s="558">
        <v>322</v>
      </c>
      <c r="H171" s="558" t="s">
        <v>1020</v>
      </c>
      <c r="I171" s="559" t="s">
        <v>668</v>
      </c>
      <c r="J171" s="567" t="s">
        <v>1372</v>
      </c>
      <c r="K171" s="960" t="s">
        <v>1373</v>
      </c>
      <c r="L171" s="555" t="str">
        <f t="shared" ca="1" si="18"/>
        <v/>
      </c>
      <c r="M171" s="494" t="s">
        <v>1374</v>
      </c>
      <c r="N171" s="555" t="str">
        <f t="shared" ca="1" si="19"/>
        <v/>
      </c>
      <c r="O171" s="494" t="s">
        <v>1375</v>
      </c>
      <c r="P171" s="555" t="str">
        <f t="shared" ca="1" si="20"/>
        <v/>
      </c>
      <c r="Q171" s="494" t="s">
        <v>1376</v>
      </c>
      <c r="R171" s="494" t="str">
        <f t="shared" si="26"/>
        <v>I171</v>
      </c>
      <c r="S171" s="494" t="s">
        <v>1377</v>
      </c>
      <c r="T171" s="494">
        <v>5</v>
      </c>
      <c r="U171" s="556" t="str">
        <f t="shared" ca="1" si="21"/>
        <v/>
      </c>
      <c r="V171" s="494">
        <v>6</v>
      </c>
      <c r="W171" s="556" t="str">
        <f t="shared" ca="1" si="22"/>
        <v/>
      </c>
      <c r="X171" s="494" t="s">
        <v>1378</v>
      </c>
      <c r="Y171" s="547" t="str">
        <f t="shared" ca="1" si="23"/>
        <v/>
      </c>
      <c r="Z171" s="494" t="s">
        <v>1379</v>
      </c>
      <c r="AA171" s="547" t="str">
        <f t="shared" ca="1" si="24"/>
        <v/>
      </c>
      <c r="AB171" s="494" t="s">
        <v>1380</v>
      </c>
      <c r="AC171" s="547" t="str">
        <f t="shared" ca="1" si="25"/>
        <v/>
      </c>
      <c r="AD171" s="557"/>
      <c r="AE171" s="958"/>
    </row>
    <row r="172" spans="1:31" ht="15" customHeight="1">
      <c r="A172" s="957">
        <v>57</v>
      </c>
      <c r="B172" s="566" t="s">
        <v>1009</v>
      </c>
      <c r="C172" s="567" t="s">
        <v>1369</v>
      </c>
      <c r="D172" s="958" t="s">
        <v>1422</v>
      </c>
      <c r="E172" s="959" t="s">
        <v>659</v>
      </c>
      <c r="F172" s="558" t="s">
        <v>1371</v>
      </c>
      <c r="G172" s="558">
        <v>323</v>
      </c>
      <c r="H172" s="558" t="s">
        <v>1021</v>
      </c>
      <c r="I172" s="559" t="s">
        <v>298</v>
      </c>
      <c r="J172" s="567" t="s">
        <v>1372</v>
      </c>
      <c r="K172" s="960" t="s">
        <v>1373</v>
      </c>
      <c r="L172" s="555" t="str">
        <f t="shared" ca="1" si="18"/>
        <v/>
      </c>
      <c r="M172" s="494" t="s">
        <v>1374</v>
      </c>
      <c r="N172" s="555" t="str">
        <f t="shared" ca="1" si="19"/>
        <v/>
      </c>
      <c r="O172" s="494" t="s">
        <v>1375</v>
      </c>
      <c r="P172" s="555" t="str">
        <f t="shared" ca="1" si="20"/>
        <v/>
      </c>
      <c r="Q172" s="494" t="s">
        <v>1376</v>
      </c>
      <c r="R172" s="494" t="str">
        <f t="shared" si="26"/>
        <v>I172</v>
      </c>
      <c r="S172" s="494" t="s">
        <v>1377</v>
      </c>
      <c r="T172" s="494">
        <v>5</v>
      </c>
      <c r="U172" s="556" t="str">
        <f t="shared" ca="1" si="21"/>
        <v/>
      </c>
      <c r="V172" s="494">
        <v>6</v>
      </c>
      <c r="W172" s="556" t="str">
        <f t="shared" ca="1" si="22"/>
        <v/>
      </c>
      <c r="X172" s="494" t="s">
        <v>1378</v>
      </c>
      <c r="Y172" s="547" t="str">
        <f t="shared" ca="1" si="23"/>
        <v/>
      </c>
      <c r="Z172" s="494" t="s">
        <v>1379</v>
      </c>
      <c r="AA172" s="547" t="str">
        <f t="shared" ca="1" si="24"/>
        <v/>
      </c>
      <c r="AB172" s="494" t="s">
        <v>1380</v>
      </c>
      <c r="AC172" s="547" t="str">
        <f t="shared" ca="1" si="25"/>
        <v/>
      </c>
      <c r="AD172" s="557"/>
      <c r="AE172" s="958"/>
    </row>
    <row r="173" spans="1:31" ht="15" customHeight="1">
      <c r="A173" s="957">
        <v>57</v>
      </c>
      <c r="B173" s="566" t="s">
        <v>1009</v>
      </c>
      <c r="C173" s="567" t="s">
        <v>1369</v>
      </c>
      <c r="D173" s="958" t="s">
        <v>1422</v>
      </c>
      <c r="E173" s="959" t="s">
        <v>659</v>
      </c>
      <c r="F173" s="558" t="s">
        <v>1371</v>
      </c>
      <c r="G173" s="558">
        <v>323</v>
      </c>
      <c r="H173" s="558" t="s">
        <v>1021</v>
      </c>
      <c r="I173" s="559" t="s">
        <v>682</v>
      </c>
      <c r="J173" s="567" t="s">
        <v>1372</v>
      </c>
      <c r="K173" s="960" t="s">
        <v>1373</v>
      </c>
      <c r="L173" s="555" t="str">
        <f t="shared" ca="1" si="18"/>
        <v/>
      </c>
      <c r="M173" s="494" t="s">
        <v>1374</v>
      </c>
      <c r="N173" s="555" t="str">
        <f t="shared" ca="1" si="19"/>
        <v/>
      </c>
      <c r="O173" s="494" t="s">
        <v>1375</v>
      </c>
      <c r="P173" s="555" t="str">
        <f t="shared" ca="1" si="20"/>
        <v/>
      </c>
      <c r="Q173" s="494" t="s">
        <v>1376</v>
      </c>
      <c r="R173" s="494" t="str">
        <f t="shared" si="26"/>
        <v>I173</v>
      </c>
      <c r="S173" s="494" t="s">
        <v>1377</v>
      </c>
      <c r="T173" s="494">
        <v>5</v>
      </c>
      <c r="U173" s="556" t="str">
        <f t="shared" ca="1" si="21"/>
        <v/>
      </c>
      <c r="V173" s="494">
        <v>6</v>
      </c>
      <c r="W173" s="556" t="str">
        <f t="shared" ca="1" si="22"/>
        <v/>
      </c>
      <c r="X173" s="494" t="s">
        <v>1378</v>
      </c>
      <c r="Y173" s="547" t="str">
        <f t="shared" ca="1" si="23"/>
        <v/>
      </c>
      <c r="Z173" s="494" t="s">
        <v>1379</v>
      </c>
      <c r="AA173" s="547" t="str">
        <f t="shared" ca="1" si="24"/>
        <v/>
      </c>
      <c r="AB173" s="494" t="s">
        <v>1380</v>
      </c>
      <c r="AC173" s="547" t="str">
        <f t="shared" ca="1" si="25"/>
        <v/>
      </c>
      <c r="AD173" s="557"/>
      <c r="AE173" s="958"/>
    </row>
    <row r="174" spans="1:31" ht="15" customHeight="1">
      <c r="A174" s="957">
        <v>57</v>
      </c>
      <c r="B174" s="566" t="s">
        <v>1009</v>
      </c>
      <c r="C174" s="567" t="s">
        <v>1369</v>
      </c>
      <c r="D174" s="958" t="s">
        <v>1422</v>
      </c>
      <c r="E174" s="959" t="s">
        <v>1022</v>
      </c>
      <c r="F174" s="558" t="s">
        <v>1383</v>
      </c>
      <c r="G174" s="558">
        <v>380</v>
      </c>
      <c r="H174" s="558" t="s">
        <v>1024</v>
      </c>
      <c r="I174" s="559" t="s">
        <v>1409</v>
      </c>
      <c r="J174" s="567" t="s">
        <v>1372</v>
      </c>
      <c r="K174" s="960" t="s">
        <v>1373</v>
      </c>
      <c r="L174" s="555" t="str">
        <f t="shared" ca="1" si="18"/>
        <v/>
      </c>
      <c r="M174" s="494" t="s">
        <v>1374</v>
      </c>
      <c r="N174" s="555" t="str">
        <f t="shared" ca="1" si="19"/>
        <v/>
      </c>
      <c r="O174" s="494" t="s">
        <v>1375</v>
      </c>
      <c r="P174" s="555" t="str">
        <f t="shared" ca="1" si="20"/>
        <v/>
      </c>
      <c r="Q174" s="494" t="s">
        <v>1376</v>
      </c>
      <c r="R174" s="494" t="str">
        <f t="shared" si="26"/>
        <v>I174</v>
      </c>
      <c r="S174" s="494" t="s">
        <v>1377</v>
      </c>
      <c r="T174" s="494">
        <v>5</v>
      </c>
      <c r="U174" s="556" t="str">
        <f t="shared" ca="1" si="21"/>
        <v/>
      </c>
      <c r="V174" s="494">
        <v>6</v>
      </c>
      <c r="W174" s="556" t="str">
        <f t="shared" ca="1" si="22"/>
        <v/>
      </c>
      <c r="X174" s="494" t="s">
        <v>1378</v>
      </c>
      <c r="Y174" s="547" t="str">
        <f t="shared" ca="1" si="23"/>
        <v/>
      </c>
      <c r="Z174" s="494" t="s">
        <v>1379</v>
      </c>
      <c r="AA174" s="547" t="str">
        <f t="shared" ca="1" si="24"/>
        <v/>
      </c>
      <c r="AB174" s="494" t="s">
        <v>1380</v>
      </c>
      <c r="AC174" s="547" t="str">
        <f t="shared" ca="1" si="25"/>
        <v/>
      </c>
      <c r="AD174" s="557"/>
      <c r="AE174" s="958"/>
    </row>
    <row r="175" spans="1:31" ht="15" customHeight="1">
      <c r="A175" s="957">
        <v>57</v>
      </c>
      <c r="B175" s="566" t="s">
        <v>1009</v>
      </c>
      <c r="C175" s="567" t="s">
        <v>1369</v>
      </c>
      <c r="D175" s="958" t="s">
        <v>1422</v>
      </c>
      <c r="E175" s="959" t="s">
        <v>1022</v>
      </c>
      <c r="F175" s="558" t="s">
        <v>1383</v>
      </c>
      <c r="G175" s="558">
        <v>379</v>
      </c>
      <c r="H175" s="558" t="s">
        <v>1025</v>
      </c>
      <c r="I175" s="559" t="s">
        <v>661</v>
      </c>
      <c r="J175" s="567" t="s">
        <v>1372</v>
      </c>
      <c r="K175" s="960" t="s">
        <v>1373</v>
      </c>
      <c r="L175" s="555" t="str">
        <f t="shared" ca="1" si="18"/>
        <v/>
      </c>
      <c r="M175" s="494" t="s">
        <v>1374</v>
      </c>
      <c r="N175" s="555" t="str">
        <f t="shared" ca="1" si="19"/>
        <v/>
      </c>
      <c r="O175" s="494" t="s">
        <v>1375</v>
      </c>
      <c r="P175" s="555" t="str">
        <f t="shared" ca="1" si="20"/>
        <v/>
      </c>
      <c r="Q175" s="494" t="s">
        <v>1376</v>
      </c>
      <c r="R175" s="494" t="str">
        <f t="shared" si="26"/>
        <v>I175</v>
      </c>
      <c r="S175" s="494" t="s">
        <v>1377</v>
      </c>
      <c r="T175" s="494">
        <v>5</v>
      </c>
      <c r="U175" s="556" t="str">
        <f t="shared" ca="1" si="21"/>
        <v/>
      </c>
      <c r="V175" s="494">
        <v>6</v>
      </c>
      <c r="W175" s="556" t="str">
        <f t="shared" ca="1" si="22"/>
        <v/>
      </c>
      <c r="X175" s="494" t="s">
        <v>1378</v>
      </c>
      <c r="Y175" s="547" t="str">
        <f t="shared" ca="1" si="23"/>
        <v/>
      </c>
      <c r="Z175" s="494" t="s">
        <v>1379</v>
      </c>
      <c r="AA175" s="547" t="str">
        <f t="shared" ca="1" si="24"/>
        <v/>
      </c>
      <c r="AB175" s="494" t="s">
        <v>1380</v>
      </c>
      <c r="AC175" s="547" t="str">
        <f t="shared" ca="1" si="25"/>
        <v/>
      </c>
      <c r="AD175" s="557"/>
      <c r="AE175" s="958"/>
    </row>
    <row r="176" spans="1:31" ht="15" customHeight="1">
      <c r="A176" s="957">
        <v>57</v>
      </c>
      <c r="B176" s="566" t="s">
        <v>1009</v>
      </c>
      <c r="C176" s="567" t="s">
        <v>1369</v>
      </c>
      <c r="D176" s="958" t="s">
        <v>1422</v>
      </c>
      <c r="E176" s="959" t="s">
        <v>1022</v>
      </c>
      <c r="F176" s="558" t="s">
        <v>1383</v>
      </c>
      <c r="G176" s="558">
        <v>379</v>
      </c>
      <c r="H176" s="558" t="s">
        <v>1025</v>
      </c>
      <c r="I176" s="559" t="s">
        <v>662</v>
      </c>
      <c r="J176" s="567" t="s">
        <v>1372</v>
      </c>
      <c r="K176" s="960" t="s">
        <v>1373</v>
      </c>
      <c r="L176" s="555" t="str">
        <f t="shared" ca="1" si="18"/>
        <v/>
      </c>
      <c r="M176" s="494" t="s">
        <v>1374</v>
      </c>
      <c r="N176" s="555" t="str">
        <f t="shared" ca="1" si="19"/>
        <v/>
      </c>
      <c r="O176" s="494" t="s">
        <v>1375</v>
      </c>
      <c r="P176" s="555" t="str">
        <f t="shared" ca="1" si="20"/>
        <v/>
      </c>
      <c r="Q176" s="494" t="s">
        <v>1376</v>
      </c>
      <c r="R176" s="494" t="str">
        <f t="shared" si="26"/>
        <v>I176</v>
      </c>
      <c r="S176" s="494" t="s">
        <v>1377</v>
      </c>
      <c r="T176" s="494">
        <v>5</v>
      </c>
      <c r="U176" s="556" t="str">
        <f t="shared" ca="1" si="21"/>
        <v/>
      </c>
      <c r="V176" s="494">
        <v>6</v>
      </c>
      <c r="W176" s="556" t="str">
        <f t="shared" ca="1" si="22"/>
        <v/>
      </c>
      <c r="X176" s="494" t="s">
        <v>1378</v>
      </c>
      <c r="Y176" s="547" t="str">
        <f t="shared" ca="1" si="23"/>
        <v/>
      </c>
      <c r="Z176" s="494" t="s">
        <v>1379</v>
      </c>
      <c r="AA176" s="547" t="str">
        <f t="shared" ca="1" si="24"/>
        <v/>
      </c>
      <c r="AB176" s="494" t="s">
        <v>1380</v>
      </c>
      <c r="AC176" s="547" t="str">
        <f t="shared" ca="1" si="25"/>
        <v/>
      </c>
      <c r="AD176" s="557"/>
      <c r="AE176" s="958"/>
    </row>
    <row r="177" spans="1:31" ht="15" customHeight="1">
      <c r="A177" s="957">
        <v>57</v>
      </c>
      <c r="B177" s="566" t="s">
        <v>1009</v>
      </c>
      <c r="C177" s="567" t="s">
        <v>1369</v>
      </c>
      <c r="D177" s="958" t="s">
        <v>1422</v>
      </c>
      <c r="E177" s="959" t="s">
        <v>683</v>
      </c>
      <c r="F177" s="558" t="s">
        <v>1386</v>
      </c>
      <c r="G177" s="558">
        <v>288</v>
      </c>
      <c r="H177" s="558" t="s">
        <v>1028</v>
      </c>
      <c r="I177" s="559" t="s">
        <v>1029</v>
      </c>
      <c r="J177" s="567" t="s">
        <v>1372</v>
      </c>
      <c r="K177" s="960" t="s">
        <v>1373</v>
      </c>
      <c r="L177" s="555" t="str">
        <f t="shared" ca="1" si="18"/>
        <v/>
      </c>
      <c r="M177" s="494" t="s">
        <v>1374</v>
      </c>
      <c r="N177" s="555" t="str">
        <f t="shared" ca="1" si="19"/>
        <v/>
      </c>
      <c r="O177" s="494" t="s">
        <v>1375</v>
      </c>
      <c r="P177" s="555" t="str">
        <f t="shared" ca="1" si="20"/>
        <v/>
      </c>
      <c r="Q177" s="494" t="s">
        <v>1376</v>
      </c>
      <c r="R177" s="494" t="str">
        <f t="shared" si="26"/>
        <v>I177</v>
      </c>
      <c r="S177" s="494" t="s">
        <v>1377</v>
      </c>
      <c r="T177" s="494">
        <v>5</v>
      </c>
      <c r="U177" s="556" t="str">
        <f t="shared" ca="1" si="21"/>
        <v/>
      </c>
      <c r="V177" s="494">
        <v>6</v>
      </c>
      <c r="W177" s="556" t="str">
        <f t="shared" ca="1" si="22"/>
        <v/>
      </c>
      <c r="X177" s="494" t="s">
        <v>1378</v>
      </c>
      <c r="Y177" s="547" t="str">
        <f t="shared" ca="1" si="23"/>
        <v/>
      </c>
      <c r="Z177" s="494" t="s">
        <v>1379</v>
      </c>
      <c r="AA177" s="547" t="str">
        <f t="shared" ca="1" si="24"/>
        <v/>
      </c>
      <c r="AB177" s="494" t="s">
        <v>1380</v>
      </c>
      <c r="AC177" s="547" t="str">
        <f t="shared" ca="1" si="25"/>
        <v/>
      </c>
      <c r="AD177" s="557"/>
      <c r="AE177" s="958"/>
    </row>
    <row r="178" spans="1:31" ht="15" customHeight="1">
      <c r="A178" s="957">
        <v>57</v>
      </c>
      <c r="B178" s="566" t="s">
        <v>1009</v>
      </c>
      <c r="C178" s="567" t="s">
        <v>1369</v>
      </c>
      <c r="D178" s="958" t="s">
        <v>1422</v>
      </c>
      <c r="E178" s="959" t="s">
        <v>683</v>
      </c>
      <c r="F178" s="558" t="s">
        <v>1386</v>
      </c>
      <c r="G178" s="558">
        <v>288</v>
      </c>
      <c r="H178" s="558" t="s">
        <v>1030</v>
      </c>
      <c r="I178" s="559" t="s">
        <v>692</v>
      </c>
      <c r="J178" s="567" t="s">
        <v>1372</v>
      </c>
      <c r="K178" s="960" t="s">
        <v>1373</v>
      </c>
      <c r="L178" s="555" t="str">
        <f t="shared" ca="1" si="18"/>
        <v/>
      </c>
      <c r="M178" s="494" t="s">
        <v>1374</v>
      </c>
      <c r="N178" s="555" t="str">
        <f t="shared" ca="1" si="19"/>
        <v/>
      </c>
      <c r="O178" s="494" t="s">
        <v>1375</v>
      </c>
      <c r="P178" s="555" t="str">
        <f t="shared" ca="1" si="20"/>
        <v/>
      </c>
      <c r="Q178" s="494" t="s">
        <v>1376</v>
      </c>
      <c r="R178" s="494" t="str">
        <f t="shared" si="26"/>
        <v>I178</v>
      </c>
      <c r="S178" s="494" t="s">
        <v>1377</v>
      </c>
      <c r="T178" s="494">
        <v>5</v>
      </c>
      <c r="U178" s="556" t="str">
        <f t="shared" ca="1" si="21"/>
        <v/>
      </c>
      <c r="V178" s="494">
        <v>6</v>
      </c>
      <c r="W178" s="556" t="str">
        <f t="shared" ca="1" si="22"/>
        <v/>
      </c>
      <c r="X178" s="494" t="s">
        <v>1378</v>
      </c>
      <c r="Y178" s="547" t="str">
        <f t="shared" ca="1" si="23"/>
        <v/>
      </c>
      <c r="Z178" s="494" t="s">
        <v>1379</v>
      </c>
      <c r="AA178" s="547" t="str">
        <f t="shared" ca="1" si="24"/>
        <v/>
      </c>
      <c r="AB178" s="494" t="s">
        <v>1380</v>
      </c>
      <c r="AC178" s="547" t="str">
        <f t="shared" ca="1" si="25"/>
        <v/>
      </c>
      <c r="AD178" s="557"/>
      <c r="AE178" s="958"/>
    </row>
    <row r="179" spans="1:31" ht="15" customHeight="1">
      <c r="A179" s="957">
        <v>57</v>
      </c>
      <c r="B179" s="566" t="s">
        <v>1009</v>
      </c>
      <c r="C179" s="567" t="s">
        <v>1369</v>
      </c>
      <c r="D179" s="958" t="s">
        <v>1422</v>
      </c>
      <c r="E179" s="959" t="s">
        <v>683</v>
      </c>
      <c r="F179" s="558" t="s">
        <v>1386</v>
      </c>
      <c r="G179" s="558">
        <v>288</v>
      </c>
      <c r="H179" s="558" t="s">
        <v>1030</v>
      </c>
      <c r="I179" s="559" t="s">
        <v>693</v>
      </c>
      <c r="J179" s="567" t="s">
        <v>1372</v>
      </c>
      <c r="K179" s="960" t="s">
        <v>1373</v>
      </c>
      <c r="L179" s="555" t="str">
        <f t="shared" ca="1" si="18"/>
        <v/>
      </c>
      <c r="M179" s="494" t="s">
        <v>1374</v>
      </c>
      <c r="N179" s="555" t="str">
        <f t="shared" ca="1" si="19"/>
        <v/>
      </c>
      <c r="O179" s="494" t="s">
        <v>1375</v>
      </c>
      <c r="P179" s="555" t="str">
        <f t="shared" ca="1" si="20"/>
        <v/>
      </c>
      <c r="Q179" s="494" t="s">
        <v>1376</v>
      </c>
      <c r="R179" s="494" t="str">
        <f t="shared" si="26"/>
        <v>I179</v>
      </c>
      <c r="S179" s="494" t="s">
        <v>1377</v>
      </c>
      <c r="T179" s="494">
        <v>5</v>
      </c>
      <c r="U179" s="556" t="str">
        <f t="shared" ca="1" si="21"/>
        <v/>
      </c>
      <c r="V179" s="494">
        <v>6</v>
      </c>
      <c r="W179" s="556" t="str">
        <f t="shared" ca="1" si="22"/>
        <v/>
      </c>
      <c r="X179" s="494" t="s">
        <v>1378</v>
      </c>
      <c r="Y179" s="547" t="str">
        <f t="shared" ca="1" si="23"/>
        <v/>
      </c>
      <c r="Z179" s="494" t="s">
        <v>1379</v>
      </c>
      <c r="AA179" s="547" t="str">
        <f t="shared" ca="1" si="24"/>
        <v/>
      </c>
      <c r="AB179" s="494" t="s">
        <v>1380</v>
      </c>
      <c r="AC179" s="547" t="str">
        <f t="shared" ca="1" si="25"/>
        <v/>
      </c>
      <c r="AD179" s="557"/>
      <c r="AE179" s="958"/>
    </row>
    <row r="180" spans="1:31" ht="15" customHeight="1">
      <c r="A180" s="957">
        <v>57</v>
      </c>
      <c r="B180" s="566" t="s">
        <v>1009</v>
      </c>
      <c r="C180" s="567" t="s">
        <v>1369</v>
      </c>
      <c r="D180" s="958" t="s">
        <v>1422</v>
      </c>
      <c r="E180" s="959" t="s">
        <v>683</v>
      </c>
      <c r="F180" s="558" t="s">
        <v>1386</v>
      </c>
      <c r="G180" s="558">
        <v>288</v>
      </c>
      <c r="H180" s="558" t="s">
        <v>1030</v>
      </c>
      <c r="I180" s="559" t="s">
        <v>694</v>
      </c>
      <c r="J180" s="567" t="s">
        <v>1372</v>
      </c>
      <c r="K180" s="960" t="s">
        <v>1373</v>
      </c>
      <c r="L180" s="555" t="str">
        <f t="shared" ca="1" si="18"/>
        <v/>
      </c>
      <c r="M180" s="494" t="s">
        <v>1374</v>
      </c>
      <c r="N180" s="555" t="str">
        <f t="shared" ca="1" si="19"/>
        <v/>
      </c>
      <c r="O180" s="494" t="s">
        <v>1375</v>
      </c>
      <c r="P180" s="555" t="str">
        <f t="shared" ca="1" si="20"/>
        <v/>
      </c>
      <c r="Q180" s="494" t="s">
        <v>1376</v>
      </c>
      <c r="R180" s="494" t="str">
        <f t="shared" si="26"/>
        <v>I180</v>
      </c>
      <c r="S180" s="494" t="s">
        <v>1377</v>
      </c>
      <c r="T180" s="494">
        <v>5</v>
      </c>
      <c r="U180" s="556" t="str">
        <f t="shared" ca="1" si="21"/>
        <v/>
      </c>
      <c r="V180" s="494">
        <v>6</v>
      </c>
      <c r="W180" s="556" t="str">
        <f t="shared" ca="1" si="22"/>
        <v/>
      </c>
      <c r="X180" s="494" t="s">
        <v>1378</v>
      </c>
      <c r="Y180" s="547" t="str">
        <f t="shared" ca="1" si="23"/>
        <v/>
      </c>
      <c r="Z180" s="494" t="s">
        <v>1379</v>
      </c>
      <c r="AA180" s="547" t="str">
        <f t="shared" ca="1" si="24"/>
        <v/>
      </c>
      <c r="AB180" s="494" t="s">
        <v>1380</v>
      </c>
      <c r="AC180" s="547" t="str">
        <f t="shared" ca="1" si="25"/>
        <v/>
      </c>
      <c r="AD180" s="557"/>
      <c r="AE180" s="958"/>
    </row>
    <row r="181" spans="1:31" ht="15" customHeight="1">
      <c r="A181" s="957">
        <v>57</v>
      </c>
      <c r="B181" s="566" t="s">
        <v>1009</v>
      </c>
      <c r="C181" s="567" t="s">
        <v>1369</v>
      </c>
      <c r="D181" s="958" t="s">
        <v>1422</v>
      </c>
      <c r="E181" s="959" t="s">
        <v>683</v>
      </c>
      <c r="F181" s="558" t="s">
        <v>1386</v>
      </c>
      <c r="G181" s="558">
        <v>288</v>
      </c>
      <c r="H181" s="558" t="s">
        <v>1030</v>
      </c>
      <c r="I181" s="559" t="s">
        <v>695</v>
      </c>
      <c r="J181" s="567" t="s">
        <v>1372</v>
      </c>
      <c r="K181" s="960" t="s">
        <v>1373</v>
      </c>
      <c r="L181" s="555" t="str">
        <f t="shared" ca="1" si="18"/>
        <v/>
      </c>
      <c r="M181" s="494" t="s">
        <v>1374</v>
      </c>
      <c r="N181" s="555" t="str">
        <f t="shared" ca="1" si="19"/>
        <v/>
      </c>
      <c r="O181" s="494" t="s">
        <v>1375</v>
      </c>
      <c r="P181" s="555" t="str">
        <f t="shared" ca="1" si="20"/>
        <v/>
      </c>
      <c r="Q181" s="494" t="s">
        <v>1376</v>
      </c>
      <c r="R181" s="494" t="str">
        <f t="shared" si="26"/>
        <v>I181</v>
      </c>
      <c r="S181" s="494" t="s">
        <v>1377</v>
      </c>
      <c r="T181" s="494">
        <v>5</v>
      </c>
      <c r="U181" s="556" t="str">
        <f t="shared" ca="1" si="21"/>
        <v/>
      </c>
      <c r="V181" s="494">
        <v>6</v>
      </c>
      <c r="W181" s="556" t="str">
        <f t="shared" ca="1" si="22"/>
        <v/>
      </c>
      <c r="X181" s="494" t="s">
        <v>1378</v>
      </c>
      <c r="Y181" s="547" t="str">
        <f t="shared" ca="1" si="23"/>
        <v/>
      </c>
      <c r="Z181" s="494" t="s">
        <v>1379</v>
      </c>
      <c r="AA181" s="547" t="str">
        <f t="shared" ca="1" si="24"/>
        <v/>
      </c>
      <c r="AB181" s="494" t="s">
        <v>1380</v>
      </c>
      <c r="AC181" s="547" t="str">
        <f t="shared" ca="1" si="25"/>
        <v/>
      </c>
      <c r="AD181" s="557"/>
      <c r="AE181" s="958"/>
    </row>
    <row r="182" spans="1:31" ht="15" customHeight="1">
      <c r="A182" s="957">
        <v>57</v>
      </c>
      <c r="B182" s="566" t="s">
        <v>1009</v>
      </c>
      <c r="C182" s="567" t="s">
        <v>1369</v>
      </c>
      <c r="D182" s="958" t="s">
        <v>1422</v>
      </c>
      <c r="E182" s="959" t="s">
        <v>683</v>
      </c>
      <c r="F182" s="558" t="s">
        <v>1386</v>
      </c>
      <c r="G182" s="558">
        <v>288</v>
      </c>
      <c r="H182" s="558" t="s">
        <v>1030</v>
      </c>
      <c r="I182" s="559" t="s">
        <v>696</v>
      </c>
      <c r="J182" s="567" t="s">
        <v>1372</v>
      </c>
      <c r="K182" s="960" t="s">
        <v>1373</v>
      </c>
      <c r="L182" s="555" t="str">
        <f t="shared" ca="1" si="18"/>
        <v/>
      </c>
      <c r="M182" s="494" t="s">
        <v>1374</v>
      </c>
      <c r="N182" s="555" t="str">
        <f t="shared" ca="1" si="19"/>
        <v/>
      </c>
      <c r="O182" s="494" t="s">
        <v>1375</v>
      </c>
      <c r="P182" s="555" t="str">
        <f t="shared" ca="1" si="20"/>
        <v/>
      </c>
      <c r="Q182" s="494" t="s">
        <v>1376</v>
      </c>
      <c r="R182" s="494" t="str">
        <f t="shared" si="26"/>
        <v>I182</v>
      </c>
      <c r="S182" s="494" t="s">
        <v>1377</v>
      </c>
      <c r="T182" s="494">
        <v>5</v>
      </c>
      <c r="U182" s="556" t="str">
        <f t="shared" ca="1" si="21"/>
        <v/>
      </c>
      <c r="V182" s="494">
        <v>6</v>
      </c>
      <c r="W182" s="556" t="str">
        <f t="shared" ca="1" si="22"/>
        <v/>
      </c>
      <c r="X182" s="494" t="s">
        <v>1378</v>
      </c>
      <c r="Y182" s="547" t="str">
        <f t="shared" ca="1" si="23"/>
        <v/>
      </c>
      <c r="Z182" s="494" t="s">
        <v>1379</v>
      </c>
      <c r="AA182" s="547" t="str">
        <f t="shared" ca="1" si="24"/>
        <v/>
      </c>
      <c r="AB182" s="494" t="s">
        <v>1380</v>
      </c>
      <c r="AC182" s="547" t="str">
        <f t="shared" ca="1" si="25"/>
        <v/>
      </c>
      <c r="AD182" s="557"/>
      <c r="AE182" s="958"/>
    </row>
    <row r="183" spans="1:31" ht="15" customHeight="1">
      <c r="A183" s="957">
        <v>57</v>
      </c>
      <c r="B183" s="566" t="s">
        <v>1009</v>
      </c>
      <c r="C183" s="567" t="s">
        <v>1369</v>
      </c>
      <c r="D183" s="958" t="s">
        <v>1422</v>
      </c>
      <c r="E183" s="959" t="s">
        <v>683</v>
      </c>
      <c r="F183" s="558" t="s">
        <v>1386</v>
      </c>
      <c r="G183" s="558">
        <v>289</v>
      </c>
      <c r="H183" s="558" t="s">
        <v>1031</v>
      </c>
      <c r="I183" s="559" t="s">
        <v>686</v>
      </c>
      <c r="J183" s="567" t="s">
        <v>1372</v>
      </c>
      <c r="K183" s="960" t="s">
        <v>1373</v>
      </c>
      <c r="L183" s="555" t="str">
        <f t="shared" ca="1" si="18"/>
        <v/>
      </c>
      <c r="M183" s="494" t="s">
        <v>1374</v>
      </c>
      <c r="N183" s="555" t="str">
        <f t="shared" ca="1" si="19"/>
        <v/>
      </c>
      <c r="O183" s="494" t="s">
        <v>1375</v>
      </c>
      <c r="P183" s="555" t="str">
        <f t="shared" ca="1" si="20"/>
        <v/>
      </c>
      <c r="Q183" s="494" t="s">
        <v>1376</v>
      </c>
      <c r="R183" s="494" t="str">
        <f t="shared" si="26"/>
        <v>I183</v>
      </c>
      <c r="S183" s="494" t="s">
        <v>1377</v>
      </c>
      <c r="T183" s="494">
        <v>5</v>
      </c>
      <c r="U183" s="556" t="str">
        <f t="shared" ca="1" si="21"/>
        <v/>
      </c>
      <c r="V183" s="494">
        <v>6</v>
      </c>
      <c r="W183" s="556" t="str">
        <f t="shared" ca="1" si="22"/>
        <v/>
      </c>
      <c r="X183" s="494" t="s">
        <v>1378</v>
      </c>
      <c r="Y183" s="547" t="str">
        <f t="shared" ca="1" si="23"/>
        <v/>
      </c>
      <c r="Z183" s="494" t="s">
        <v>1379</v>
      </c>
      <c r="AA183" s="547" t="str">
        <f t="shared" ca="1" si="24"/>
        <v/>
      </c>
      <c r="AB183" s="494" t="s">
        <v>1380</v>
      </c>
      <c r="AC183" s="547" t="str">
        <f t="shared" ca="1" si="25"/>
        <v/>
      </c>
      <c r="AD183" s="557"/>
      <c r="AE183" s="958"/>
    </row>
    <row r="184" spans="1:31" ht="15" customHeight="1">
      <c r="A184" s="957">
        <v>57</v>
      </c>
      <c r="B184" s="566" t="s">
        <v>1009</v>
      </c>
      <c r="C184" s="567" t="s">
        <v>1369</v>
      </c>
      <c r="D184" s="958" t="s">
        <v>1422</v>
      </c>
      <c r="E184" s="959" t="s">
        <v>683</v>
      </c>
      <c r="F184" s="558" t="s">
        <v>1386</v>
      </c>
      <c r="G184" s="558">
        <v>289</v>
      </c>
      <c r="H184" s="558" t="s">
        <v>1031</v>
      </c>
      <c r="I184" s="559" t="s">
        <v>687</v>
      </c>
      <c r="J184" s="567" t="s">
        <v>1372</v>
      </c>
      <c r="K184" s="960" t="s">
        <v>1373</v>
      </c>
      <c r="L184" s="555" t="str">
        <f t="shared" ca="1" si="18"/>
        <v/>
      </c>
      <c r="M184" s="494" t="s">
        <v>1374</v>
      </c>
      <c r="N184" s="555" t="str">
        <f t="shared" ca="1" si="19"/>
        <v/>
      </c>
      <c r="O184" s="494" t="s">
        <v>1375</v>
      </c>
      <c r="P184" s="555" t="str">
        <f t="shared" ca="1" si="20"/>
        <v/>
      </c>
      <c r="Q184" s="494" t="s">
        <v>1376</v>
      </c>
      <c r="R184" s="494" t="str">
        <f t="shared" si="26"/>
        <v>I184</v>
      </c>
      <c r="S184" s="494" t="s">
        <v>1377</v>
      </c>
      <c r="T184" s="494">
        <v>5</v>
      </c>
      <c r="U184" s="556" t="str">
        <f t="shared" ca="1" si="21"/>
        <v/>
      </c>
      <c r="V184" s="494">
        <v>6</v>
      </c>
      <c r="W184" s="556" t="str">
        <f t="shared" ca="1" si="22"/>
        <v/>
      </c>
      <c r="X184" s="494" t="s">
        <v>1378</v>
      </c>
      <c r="Y184" s="547" t="str">
        <f t="shared" ca="1" si="23"/>
        <v/>
      </c>
      <c r="Z184" s="494" t="s">
        <v>1379</v>
      </c>
      <c r="AA184" s="547" t="str">
        <f t="shared" ca="1" si="24"/>
        <v/>
      </c>
      <c r="AB184" s="494" t="s">
        <v>1380</v>
      </c>
      <c r="AC184" s="547" t="str">
        <f t="shared" ca="1" si="25"/>
        <v/>
      </c>
      <c r="AD184" s="557"/>
      <c r="AE184" s="958"/>
    </row>
    <row r="185" spans="1:31" ht="15" customHeight="1">
      <c r="A185" s="957">
        <v>57</v>
      </c>
      <c r="B185" s="566" t="s">
        <v>1009</v>
      </c>
      <c r="C185" s="567" t="s">
        <v>1369</v>
      </c>
      <c r="D185" s="958" t="s">
        <v>1422</v>
      </c>
      <c r="E185" s="959" t="s">
        <v>683</v>
      </c>
      <c r="F185" s="558" t="s">
        <v>1386</v>
      </c>
      <c r="G185" s="558">
        <v>289</v>
      </c>
      <c r="H185" s="558" t="s">
        <v>1031</v>
      </c>
      <c r="I185" s="559" t="s">
        <v>688</v>
      </c>
      <c r="J185" s="567" t="s">
        <v>1372</v>
      </c>
      <c r="K185" s="960" t="s">
        <v>1373</v>
      </c>
      <c r="L185" s="555" t="str">
        <f t="shared" ca="1" si="18"/>
        <v/>
      </c>
      <c r="M185" s="494" t="s">
        <v>1374</v>
      </c>
      <c r="N185" s="555" t="str">
        <f t="shared" ca="1" si="19"/>
        <v/>
      </c>
      <c r="O185" s="494" t="s">
        <v>1375</v>
      </c>
      <c r="P185" s="555" t="str">
        <f t="shared" ca="1" si="20"/>
        <v/>
      </c>
      <c r="Q185" s="494" t="s">
        <v>1376</v>
      </c>
      <c r="R185" s="494" t="str">
        <f t="shared" si="26"/>
        <v>I185</v>
      </c>
      <c r="S185" s="494" t="s">
        <v>1377</v>
      </c>
      <c r="T185" s="494">
        <v>5</v>
      </c>
      <c r="U185" s="556" t="str">
        <f t="shared" ca="1" si="21"/>
        <v/>
      </c>
      <c r="V185" s="494">
        <v>6</v>
      </c>
      <c r="W185" s="556" t="str">
        <f t="shared" ca="1" si="22"/>
        <v/>
      </c>
      <c r="X185" s="494" t="s">
        <v>1378</v>
      </c>
      <c r="Y185" s="547" t="str">
        <f t="shared" ca="1" si="23"/>
        <v/>
      </c>
      <c r="Z185" s="494" t="s">
        <v>1379</v>
      </c>
      <c r="AA185" s="547" t="str">
        <f t="shared" ca="1" si="24"/>
        <v/>
      </c>
      <c r="AB185" s="494" t="s">
        <v>1380</v>
      </c>
      <c r="AC185" s="547" t="str">
        <f t="shared" ca="1" si="25"/>
        <v/>
      </c>
      <c r="AD185" s="557"/>
      <c r="AE185" s="958"/>
    </row>
    <row r="186" spans="1:31" ht="15" customHeight="1">
      <c r="A186" s="957">
        <v>57</v>
      </c>
      <c r="B186" s="566" t="s">
        <v>1009</v>
      </c>
      <c r="C186" s="567" t="s">
        <v>1369</v>
      </c>
      <c r="D186" s="958" t="s">
        <v>1422</v>
      </c>
      <c r="E186" s="959" t="s">
        <v>683</v>
      </c>
      <c r="F186" s="558" t="s">
        <v>1386</v>
      </c>
      <c r="G186" s="558">
        <v>289</v>
      </c>
      <c r="H186" s="558" t="s">
        <v>1031</v>
      </c>
      <c r="I186" s="559" t="s">
        <v>689</v>
      </c>
      <c r="J186" s="567" t="s">
        <v>1372</v>
      </c>
      <c r="K186" s="960" t="s">
        <v>1373</v>
      </c>
      <c r="L186" s="555" t="str">
        <f t="shared" ca="1" si="18"/>
        <v/>
      </c>
      <c r="M186" s="494" t="s">
        <v>1374</v>
      </c>
      <c r="N186" s="555" t="str">
        <f t="shared" ca="1" si="19"/>
        <v/>
      </c>
      <c r="O186" s="494" t="s">
        <v>1375</v>
      </c>
      <c r="P186" s="555" t="str">
        <f t="shared" ca="1" si="20"/>
        <v/>
      </c>
      <c r="Q186" s="494" t="s">
        <v>1376</v>
      </c>
      <c r="R186" s="494" t="str">
        <f t="shared" si="26"/>
        <v>I186</v>
      </c>
      <c r="S186" s="494" t="s">
        <v>1377</v>
      </c>
      <c r="T186" s="494">
        <v>5</v>
      </c>
      <c r="U186" s="556" t="str">
        <f t="shared" ca="1" si="21"/>
        <v/>
      </c>
      <c r="V186" s="494">
        <v>6</v>
      </c>
      <c r="W186" s="556" t="str">
        <f t="shared" ca="1" si="22"/>
        <v/>
      </c>
      <c r="X186" s="494" t="s">
        <v>1378</v>
      </c>
      <c r="Y186" s="547" t="str">
        <f t="shared" ca="1" si="23"/>
        <v/>
      </c>
      <c r="Z186" s="494" t="s">
        <v>1379</v>
      </c>
      <c r="AA186" s="547" t="str">
        <f t="shared" ca="1" si="24"/>
        <v/>
      </c>
      <c r="AB186" s="494" t="s">
        <v>1380</v>
      </c>
      <c r="AC186" s="547" t="str">
        <f t="shared" ca="1" si="25"/>
        <v/>
      </c>
      <c r="AD186" s="557"/>
      <c r="AE186" s="958"/>
    </row>
    <row r="187" spans="1:31" ht="15" customHeight="1">
      <c r="A187" s="957">
        <v>57</v>
      </c>
      <c r="B187" s="566" t="s">
        <v>1009</v>
      </c>
      <c r="C187" s="567" t="s">
        <v>1369</v>
      </c>
      <c r="D187" s="958" t="s">
        <v>1422</v>
      </c>
      <c r="E187" s="959" t="s">
        <v>683</v>
      </c>
      <c r="F187" s="558" t="s">
        <v>1386</v>
      </c>
      <c r="G187" s="558">
        <v>290</v>
      </c>
      <c r="H187" s="558" t="s">
        <v>1032</v>
      </c>
      <c r="I187" s="559" t="s">
        <v>706</v>
      </c>
      <c r="J187" s="567" t="s">
        <v>1372</v>
      </c>
      <c r="K187" s="960" t="s">
        <v>1373</v>
      </c>
      <c r="L187" s="555" t="str">
        <f t="shared" ca="1" si="18"/>
        <v/>
      </c>
      <c r="M187" s="494" t="s">
        <v>1374</v>
      </c>
      <c r="N187" s="555" t="str">
        <f t="shared" ca="1" si="19"/>
        <v/>
      </c>
      <c r="O187" s="494" t="s">
        <v>1375</v>
      </c>
      <c r="P187" s="555" t="str">
        <f t="shared" ca="1" si="20"/>
        <v/>
      </c>
      <c r="Q187" s="494" t="s">
        <v>1376</v>
      </c>
      <c r="R187" s="494" t="str">
        <f t="shared" si="26"/>
        <v>I187</v>
      </c>
      <c r="S187" s="494" t="s">
        <v>1377</v>
      </c>
      <c r="T187" s="494">
        <v>5</v>
      </c>
      <c r="U187" s="556" t="str">
        <f t="shared" ca="1" si="21"/>
        <v/>
      </c>
      <c r="V187" s="494">
        <v>6</v>
      </c>
      <c r="W187" s="556" t="str">
        <f t="shared" ca="1" si="22"/>
        <v/>
      </c>
      <c r="X187" s="494" t="s">
        <v>1378</v>
      </c>
      <c r="Y187" s="547" t="str">
        <f t="shared" ca="1" si="23"/>
        <v/>
      </c>
      <c r="Z187" s="494" t="s">
        <v>1379</v>
      </c>
      <c r="AA187" s="547" t="str">
        <f t="shared" ca="1" si="24"/>
        <v/>
      </c>
      <c r="AB187" s="494" t="s">
        <v>1380</v>
      </c>
      <c r="AC187" s="547" t="str">
        <f t="shared" ca="1" si="25"/>
        <v/>
      </c>
      <c r="AD187" s="557"/>
      <c r="AE187" s="958"/>
    </row>
    <row r="188" spans="1:31" ht="15" customHeight="1">
      <c r="A188" s="957">
        <v>57</v>
      </c>
      <c r="B188" s="566" t="s">
        <v>1009</v>
      </c>
      <c r="C188" s="567" t="s">
        <v>1369</v>
      </c>
      <c r="D188" s="958" t="s">
        <v>1422</v>
      </c>
      <c r="E188" s="959" t="s">
        <v>683</v>
      </c>
      <c r="F188" s="558" t="s">
        <v>1386</v>
      </c>
      <c r="G188" s="558">
        <v>290</v>
      </c>
      <c r="H188" s="558" t="s">
        <v>1032</v>
      </c>
      <c r="I188" s="559" t="s">
        <v>708</v>
      </c>
      <c r="J188" s="567" t="s">
        <v>1372</v>
      </c>
      <c r="K188" s="960" t="s">
        <v>1373</v>
      </c>
      <c r="L188" s="555" t="str">
        <f t="shared" ca="1" si="18"/>
        <v/>
      </c>
      <c r="M188" s="494" t="s">
        <v>1374</v>
      </c>
      <c r="N188" s="555" t="str">
        <f t="shared" ca="1" si="19"/>
        <v/>
      </c>
      <c r="O188" s="494" t="s">
        <v>1375</v>
      </c>
      <c r="P188" s="555" t="str">
        <f t="shared" ca="1" si="20"/>
        <v/>
      </c>
      <c r="Q188" s="494" t="s">
        <v>1376</v>
      </c>
      <c r="R188" s="494" t="str">
        <f t="shared" si="26"/>
        <v>I188</v>
      </c>
      <c r="S188" s="494" t="s">
        <v>1377</v>
      </c>
      <c r="T188" s="494">
        <v>5</v>
      </c>
      <c r="U188" s="556" t="str">
        <f t="shared" ca="1" si="21"/>
        <v/>
      </c>
      <c r="V188" s="494">
        <v>6</v>
      </c>
      <c r="W188" s="556" t="str">
        <f t="shared" ca="1" si="22"/>
        <v/>
      </c>
      <c r="X188" s="494" t="s">
        <v>1378</v>
      </c>
      <c r="Y188" s="547" t="str">
        <f t="shared" ca="1" si="23"/>
        <v/>
      </c>
      <c r="Z188" s="494" t="s">
        <v>1379</v>
      </c>
      <c r="AA188" s="547" t="str">
        <f t="shared" ca="1" si="24"/>
        <v/>
      </c>
      <c r="AB188" s="494" t="s">
        <v>1380</v>
      </c>
      <c r="AC188" s="547" t="str">
        <f t="shared" ca="1" si="25"/>
        <v/>
      </c>
      <c r="AD188" s="557"/>
      <c r="AE188" s="958"/>
    </row>
    <row r="189" spans="1:31" ht="15" customHeight="1">
      <c r="A189" s="957">
        <v>57</v>
      </c>
      <c r="B189" s="566" t="s">
        <v>1009</v>
      </c>
      <c r="C189" s="567" t="s">
        <v>1369</v>
      </c>
      <c r="D189" s="958" t="s">
        <v>1422</v>
      </c>
      <c r="E189" s="959" t="s">
        <v>683</v>
      </c>
      <c r="F189" s="558" t="s">
        <v>1386</v>
      </c>
      <c r="G189" s="558">
        <v>291</v>
      </c>
      <c r="H189" s="558" t="s">
        <v>1033</v>
      </c>
      <c r="I189" s="559" t="s">
        <v>711</v>
      </c>
      <c r="J189" s="567" t="s">
        <v>1372</v>
      </c>
      <c r="K189" s="960" t="s">
        <v>1373</v>
      </c>
      <c r="L189" s="555" t="str">
        <f t="shared" ca="1" si="18"/>
        <v/>
      </c>
      <c r="M189" s="494" t="s">
        <v>1374</v>
      </c>
      <c r="N189" s="555" t="str">
        <f t="shared" ca="1" si="19"/>
        <v/>
      </c>
      <c r="O189" s="494" t="s">
        <v>1375</v>
      </c>
      <c r="P189" s="555" t="str">
        <f t="shared" ca="1" si="20"/>
        <v/>
      </c>
      <c r="Q189" s="494" t="s">
        <v>1376</v>
      </c>
      <c r="R189" s="494" t="str">
        <f t="shared" si="26"/>
        <v>I189</v>
      </c>
      <c r="S189" s="494" t="s">
        <v>1377</v>
      </c>
      <c r="T189" s="494">
        <v>5</v>
      </c>
      <c r="U189" s="556" t="str">
        <f t="shared" ca="1" si="21"/>
        <v/>
      </c>
      <c r="V189" s="494">
        <v>6</v>
      </c>
      <c r="W189" s="556" t="str">
        <f t="shared" ca="1" si="22"/>
        <v/>
      </c>
      <c r="X189" s="494" t="s">
        <v>1378</v>
      </c>
      <c r="Y189" s="547" t="str">
        <f t="shared" ca="1" si="23"/>
        <v/>
      </c>
      <c r="Z189" s="494" t="s">
        <v>1379</v>
      </c>
      <c r="AA189" s="547" t="str">
        <f t="shared" ca="1" si="24"/>
        <v/>
      </c>
      <c r="AB189" s="494" t="s">
        <v>1380</v>
      </c>
      <c r="AC189" s="547" t="str">
        <f t="shared" ca="1" si="25"/>
        <v/>
      </c>
      <c r="AD189" s="557"/>
      <c r="AE189" s="958"/>
    </row>
    <row r="190" spans="1:31" ht="15" customHeight="1">
      <c r="A190" s="957">
        <v>57</v>
      </c>
      <c r="B190" s="566" t="s">
        <v>1009</v>
      </c>
      <c r="C190" s="567" t="s">
        <v>1369</v>
      </c>
      <c r="D190" s="958" t="s">
        <v>1422</v>
      </c>
      <c r="E190" s="959" t="s">
        <v>683</v>
      </c>
      <c r="F190" s="558" t="s">
        <v>1386</v>
      </c>
      <c r="G190" s="558">
        <v>291</v>
      </c>
      <c r="H190" s="558" t="s">
        <v>1033</v>
      </c>
      <c r="I190" s="559" t="s">
        <v>712</v>
      </c>
      <c r="J190" s="567" t="s">
        <v>1372</v>
      </c>
      <c r="K190" s="960" t="s">
        <v>1373</v>
      </c>
      <c r="L190" s="555" t="str">
        <f t="shared" ca="1" si="18"/>
        <v/>
      </c>
      <c r="M190" s="494" t="s">
        <v>1374</v>
      </c>
      <c r="N190" s="555" t="str">
        <f t="shared" ca="1" si="19"/>
        <v/>
      </c>
      <c r="O190" s="494" t="s">
        <v>1375</v>
      </c>
      <c r="P190" s="555" t="str">
        <f t="shared" ca="1" si="20"/>
        <v/>
      </c>
      <c r="Q190" s="494" t="s">
        <v>1376</v>
      </c>
      <c r="R190" s="494" t="str">
        <f t="shared" si="26"/>
        <v>I190</v>
      </c>
      <c r="S190" s="494" t="s">
        <v>1377</v>
      </c>
      <c r="T190" s="494">
        <v>5</v>
      </c>
      <c r="U190" s="556" t="str">
        <f t="shared" ca="1" si="21"/>
        <v/>
      </c>
      <c r="V190" s="494">
        <v>6</v>
      </c>
      <c r="W190" s="556" t="str">
        <f t="shared" ca="1" si="22"/>
        <v/>
      </c>
      <c r="X190" s="494" t="s">
        <v>1378</v>
      </c>
      <c r="Y190" s="547" t="str">
        <f t="shared" ca="1" si="23"/>
        <v/>
      </c>
      <c r="Z190" s="494" t="s">
        <v>1379</v>
      </c>
      <c r="AA190" s="547" t="str">
        <f t="shared" ca="1" si="24"/>
        <v/>
      </c>
      <c r="AB190" s="494" t="s">
        <v>1380</v>
      </c>
      <c r="AC190" s="547" t="str">
        <f t="shared" ca="1" si="25"/>
        <v/>
      </c>
      <c r="AD190" s="557"/>
      <c r="AE190" s="958"/>
    </row>
    <row r="191" spans="1:31" ht="15" customHeight="1">
      <c r="A191" s="957">
        <v>57</v>
      </c>
      <c r="B191" s="566" t="s">
        <v>1009</v>
      </c>
      <c r="C191" s="567" t="s">
        <v>1369</v>
      </c>
      <c r="D191" s="958" t="s">
        <v>1422</v>
      </c>
      <c r="E191" s="959" t="s">
        <v>683</v>
      </c>
      <c r="F191" s="558" t="s">
        <v>1386</v>
      </c>
      <c r="G191" s="558">
        <v>292</v>
      </c>
      <c r="H191" s="558" t="s">
        <v>1034</v>
      </c>
      <c r="I191" s="559" t="s">
        <v>1410</v>
      </c>
      <c r="J191" s="567" t="s">
        <v>1372</v>
      </c>
      <c r="K191" s="960" t="s">
        <v>1373</v>
      </c>
      <c r="L191" s="555" t="str">
        <f t="shared" ca="1" si="18"/>
        <v/>
      </c>
      <c r="M191" s="494" t="s">
        <v>1374</v>
      </c>
      <c r="N191" s="555" t="str">
        <f t="shared" ca="1" si="19"/>
        <v/>
      </c>
      <c r="O191" s="494" t="s">
        <v>1375</v>
      </c>
      <c r="P191" s="555" t="str">
        <f t="shared" ca="1" si="20"/>
        <v/>
      </c>
      <c r="Q191" s="494" t="s">
        <v>1376</v>
      </c>
      <c r="R191" s="494" t="str">
        <f t="shared" si="26"/>
        <v>I191</v>
      </c>
      <c r="S191" s="494" t="s">
        <v>1377</v>
      </c>
      <c r="T191" s="494">
        <v>5</v>
      </c>
      <c r="U191" s="556" t="str">
        <f t="shared" ca="1" si="21"/>
        <v/>
      </c>
      <c r="V191" s="494">
        <v>6</v>
      </c>
      <c r="W191" s="556" t="str">
        <f t="shared" ca="1" si="22"/>
        <v/>
      </c>
      <c r="X191" s="494" t="s">
        <v>1378</v>
      </c>
      <c r="Y191" s="547" t="str">
        <f t="shared" ca="1" si="23"/>
        <v/>
      </c>
      <c r="Z191" s="494" t="s">
        <v>1379</v>
      </c>
      <c r="AA191" s="547" t="str">
        <f t="shared" ca="1" si="24"/>
        <v/>
      </c>
      <c r="AB191" s="494" t="s">
        <v>1380</v>
      </c>
      <c r="AC191" s="547" t="str">
        <f t="shared" ca="1" si="25"/>
        <v/>
      </c>
      <c r="AD191" s="557"/>
      <c r="AE191" s="958"/>
    </row>
    <row r="192" spans="1:31" ht="15" customHeight="1">
      <c r="A192" s="957">
        <v>57</v>
      </c>
      <c r="B192" s="566" t="s">
        <v>1009</v>
      </c>
      <c r="C192" s="567" t="s">
        <v>1369</v>
      </c>
      <c r="D192" s="958" t="s">
        <v>1422</v>
      </c>
      <c r="E192" s="959" t="s">
        <v>683</v>
      </c>
      <c r="F192" s="558" t="s">
        <v>1386</v>
      </c>
      <c r="G192" s="558">
        <v>292</v>
      </c>
      <c r="H192" s="558" t="s">
        <v>1034</v>
      </c>
      <c r="I192" s="559" t="s">
        <v>1411</v>
      </c>
      <c r="J192" s="567" t="s">
        <v>1372</v>
      </c>
      <c r="K192" s="960" t="s">
        <v>1373</v>
      </c>
      <c r="L192" s="555" t="str">
        <f t="shared" ca="1" si="18"/>
        <v/>
      </c>
      <c r="M192" s="494" t="s">
        <v>1374</v>
      </c>
      <c r="N192" s="555" t="str">
        <f t="shared" ca="1" si="19"/>
        <v/>
      </c>
      <c r="O192" s="494" t="s">
        <v>1375</v>
      </c>
      <c r="P192" s="555" t="str">
        <f t="shared" ca="1" si="20"/>
        <v/>
      </c>
      <c r="Q192" s="494" t="s">
        <v>1376</v>
      </c>
      <c r="R192" s="494" t="str">
        <f t="shared" si="26"/>
        <v>I192</v>
      </c>
      <c r="S192" s="494" t="s">
        <v>1377</v>
      </c>
      <c r="T192" s="494">
        <v>5</v>
      </c>
      <c r="U192" s="556" t="str">
        <f t="shared" ca="1" si="21"/>
        <v/>
      </c>
      <c r="V192" s="494">
        <v>6</v>
      </c>
      <c r="W192" s="556" t="str">
        <f t="shared" ca="1" si="22"/>
        <v/>
      </c>
      <c r="X192" s="494" t="s">
        <v>1378</v>
      </c>
      <c r="Y192" s="547" t="str">
        <f t="shared" ca="1" si="23"/>
        <v/>
      </c>
      <c r="Z192" s="494" t="s">
        <v>1379</v>
      </c>
      <c r="AA192" s="547" t="str">
        <f t="shared" ca="1" si="24"/>
        <v/>
      </c>
      <c r="AB192" s="494" t="s">
        <v>1380</v>
      </c>
      <c r="AC192" s="547" t="str">
        <f t="shared" ca="1" si="25"/>
        <v/>
      </c>
      <c r="AD192" s="557"/>
      <c r="AE192" s="958"/>
    </row>
    <row r="193" spans="1:31" ht="15" customHeight="1">
      <c r="A193" s="957">
        <v>57</v>
      </c>
      <c r="B193" s="566" t="s">
        <v>1009</v>
      </c>
      <c r="C193" s="567" t="s">
        <v>1369</v>
      </c>
      <c r="D193" s="958" t="s">
        <v>1422</v>
      </c>
      <c r="E193" s="959" t="s">
        <v>683</v>
      </c>
      <c r="F193" s="558" t="s">
        <v>1386</v>
      </c>
      <c r="G193" s="558">
        <v>294</v>
      </c>
      <c r="H193" s="558" t="s">
        <v>1039</v>
      </c>
      <c r="I193" s="559" t="s">
        <v>1041</v>
      </c>
      <c r="J193" s="567" t="s">
        <v>1372</v>
      </c>
      <c r="K193" s="960" t="s">
        <v>1373</v>
      </c>
      <c r="L193" s="555" t="str">
        <f t="shared" ca="1" si="18"/>
        <v/>
      </c>
      <c r="M193" s="494" t="s">
        <v>1374</v>
      </c>
      <c r="N193" s="555" t="str">
        <f t="shared" ca="1" si="19"/>
        <v/>
      </c>
      <c r="O193" s="494" t="s">
        <v>1375</v>
      </c>
      <c r="P193" s="555" t="str">
        <f t="shared" ca="1" si="20"/>
        <v/>
      </c>
      <c r="Q193" s="494" t="s">
        <v>1376</v>
      </c>
      <c r="R193" s="494" t="str">
        <f t="shared" si="26"/>
        <v>I193</v>
      </c>
      <c r="S193" s="494" t="s">
        <v>1377</v>
      </c>
      <c r="T193" s="494">
        <v>5</v>
      </c>
      <c r="U193" s="556" t="str">
        <f t="shared" ca="1" si="21"/>
        <v/>
      </c>
      <c r="V193" s="494">
        <v>6</v>
      </c>
      <c r="W193" s="556" t="str">
        <f t="shared" ca="1" si="22"/>
        <v/>
      </c>
      <c r="X193" s="494" t="s">
        <v>1378</v>
      </c>
      <c r="Y193" s="547" t="str">
        <f t="shared" ca="1" si="23"/>
        <v/>
      </c>
      <c r="Z193" s="494" t="s">
        <v>1379</v>
      </c>
      <c r="AA193" s="547" t="str">
        <f t="shared" ca="1" si="24"/>
        <v/>
      </c>
      <c r="AB193" s="494" t="s">
        <v>1380</v>
      </c>
      <c r="AC193" s="547" t="str">
        <f t="shared" ca="1" si="25"/>
        <v/>
      </c>
      <c r="AD193" s="557"/>
      <c r="AE193" s="958"/>
    </row>
    <row r="194" spans="1:31" ht="15" customHeight="1">
      <c r="A194" s="957">
        <v>57</v>
      </c>
      <c r="B194" s="566" t="s">
        <v>1009</v>
      </c>
      <c r="C194" s="567" t="s">
        <v>1369</v>
      </c>
      <c r="D194" s="958" t="s">
        <v>1422</v>
      </c>
      <c r="E194" s="959" t="s">
        <v>683</v>
      </c>
      <c r="F194" s="558" t="s">
        <v>1386</v>
      </c>
      <c r="G194" s="558">
        <v>294</v>
      </c>
      <c r="H194" s="558" t="s">
        <v>1039</v>
      </c>
      <c r="I194" s="559" t="s">
        <v>1412</v>
      </c>
      <c r="J194" s="567" t="s">
        <v>1372</v>
      </c>
      <c r="K194" s="960" t="s">
        <v>1373</v>
      </c>
      <c r="L194" s="555" t="str">
        <f t="shared" ref="L194:L257" ca="1" si="27">IF(AND(INDIRECT(CONCATENATE($J194,$K194,5))=$B194,ISNUMBER(SEARCH("Please",INDIRECT(CONCATENATE($J194,$K194,2)),1))=FALSE),SUMPRODUCT(MID(0&amp;INDIRECT(CONCATENATE($J194,$K194,2)), LARGE(INDEX(ISNUMBER(--MID(INDIRECT(CONCATENATE($J194,$K194,2)), ROW(INDIRECT("1:"&amp;LEN(INDIRECT(CONCATENATE($J194,$K194,2))))),1))*ROW(INDIRECT("1:"&amp;LEN(INDIRECT(CONCATENATE($J194,$K194,2))))),0), ROW(INDIRECT("1:"&amp;LEN(INDIRECT(CONCATENATE($J194,$K194,2))))))+1,1)*10^ROW(INDIRECT("1:"&amp;LEN(INDIRECT(CONCATENATE($J194,$K194,2)))))/10),"")</f>
        <v/>
      </c>
      <c r="M194" s="494" t="s">
        <v>1374</v>
      </c>
      <c r="N194" s="555" t="str">
        <f t="shared" ref="N194:N257" ca="1" si="28">IF(AND(INDIRECT(CONCATENATE($J194,$K194,5))=$B194,ISNUMBER(SEARCH("Select",INDIRECT(CONCATENATE($J194,$M194,6)),1))=FALSE),INDIRECT(CONCATENATE($J194,$M194,6)),"")</f>
        <v/>
      </c>
      <c r="O194" s="494" t="s">
        <v>1375</v>
      </c>
      <c r="P194" s="555" t="str">
        <f t="shared" ref="P194:P257" ca="1" si="29">IF(AND(INDIRECT(CONCATENATE($J194,$K194,5))=$B194,ISNUMBER(SEARCH("Select",INDIRECT(CONCATENATE($J194,$O194,6)),1))=FALSE),INDIRECT(CONCATENATE($J194,$O194,6)),"")</f>
        <v/>
      </c>
      <c r="Q194" s="494" t="s">
        <v>1376</v>
      </c>
      <c r="R194" s="494" t="str">
        <f t="shared" si="26"/>
        <v>I194</v>
      </c>
      <c r="S194" s="494" t="s">
        <v>1377</v>
      </c>
      <c r="T194" s="494">
        <v>5</v>
      </c>
      <c r="U194" s="556" t="str">
        <f t="shared" ref="U194:U257" ca="1" si="30">IF(AND($B194=INDIRECT(CONCATENATE($J194,$K194,5)),ISBLANK(INDEX(INDIRECT(CONCATENATE($J194,$Q194)),MATCH(INDIRECT($R194),INDIRECT(CONCATENATE($J194,$S194)),0),T194))=FALSE),INDEX(INDIRECT(CONCATENATE($J194,$Q194)),MATCH(INDIRECT($R194),INDIRECT(CONCATENATE($J194,$S194)),0),T194),"")</f>
        <v/>
      </c>
      <c r="V194" s="494">
        <v>6</v>
      </c>
      <c r="W194" s="556" t="str">
        <f t="shared" ref="W194:W257" ca="1" si="31">IF(AND($B194=INDIRECT(CONCATENATE($J194,$K194,5)),ISBLANK(INDEX(INDIRECT(CONCATENATE($J194,$Q194)),MATCH(INDIRECT($R194),INDIRECT(CONCATENATE($J194,$S194)),0),V194))=FALSE),INDEX(INDIRECT(CONCATENATE($J194,$Q194)),MATCH(INDIRECT($R194),INDIRECT(CONCATENATE($J194,$S194)),0),V194),"")</f>
        <v/>
      </c>
      <c r="X194" s="494" t="s">
        <v>1378</v>
      </c>
      <c r="Y194" s="547" t="str">
        <f t="shared" ref="Y194:Y257" ca="1" si="32">IF(AND(INDIRECT(CONCATENATE($J194,$K194,5))=$B194,ISBLANK(INDIRECT(CONCATENATE($J194,X194)))=FALSE),INDIRECT(CONCATENATE($J194,X194)),"")</f>
        <v/>
      </c>
      <c r="Z194" s="494" t="s">
        <v>1379</v>
      </c>
      <c r="AA194" s="547" t="str">
        <f t="shared" ref="AA194:AA257" ca="1" si="33">IF(AND(INDIRECT(CONCATENATE($J194,$K194,"5"))=$B194,ISBLANK(INDIRECT(CONCATENATE($J194,Z194)))=FALSE),INDIRECT(CONCATENATE($J194,Z194)),"")</f>
        <v/>
      </c>
      <c r="AB194" s="494" t="s">
        <v>1380</v>
      </c>
      <c r="AC194" s="547" t="str">
        <f t="shared" ref="AC194:AC257" ca="1" si="34">IF(AND(INDIRECT(CONCATENATE($J194,$K194,"5"))=$B194,ISBLANK(INDIRECT(CONCATENATE($J194,AB194)))=FALSE),INDIRECT(CONCATENATE($J194,AB194)),"")</f>
        <v/>
      </c>
      <c r="AD194" s="557"/>
      <c r="AE194" s="958"/>
    </row>
    <row r="195" spans="1:31" ht="15" customHeight="1">
      <c r="A195" s="957">
        <v>57</v>
      </c>
      <c r="B195" s="566" t="s">
        <v>1009</v>
      </c>
      <c r="C195" s="567" t="s">
        <v>1369</v>
      </c>
      <c r="D195" s="958" t="s">
        <v>1422</v>
      </c>
      <c r="E195" s="959" t="s">
        <v>683</v>
      </c>
      <c r="F195" s="558" t="s">
        <v>1386</v>
      </c>
      <c r="G195" s="558">
        <v>294</v>
      </c>
      <c r="H195" s="558" t="s">
        <v>1039</v>
      </c>
      <c r="I195" s="559" t="s">
        <v>1413</v>
      </c>
      <c r="J195" s="567" t="s">
        <v>1372</v>
      </c>
      <c r="K195" s="960" t="s">
        <v>1373</v>
      </c>
      <c r="L195" s="555" t="str">
        <f t="shared" ca="1" si="27"/>
        <v/>
      </c>
      <c r="M195" s="494" t="s">
        <v>1374</v>
      </c>
      <c r="N195" s="555" t="str">
        <f t="shared" ca="1" si="28"/>
        <v/>
      </c>
      <c r="O195" s="494" t="s">
        <v>1375</v>
      </c>
      <c r="P195" s="555" t="str">
        <f t="shared" ca="1" si="29"/>
        <v/>
      </c>
      <c r="Q195" s="494" t="s">
        <v>1376</v>
      </c>
      <c r="R195" s="494" t="str">
        <f t="shared" ref="R195:R231" si="35">CONCATENATE("I",ROW(J195))</f>
        <v>I195</v>
      </c>
      <c r="S195" s="494" t="s">
        <v>1377</v>
      </c>
      <c r="T195" s="494">
        <v>5</v>
      </c>
      <c r="U195" s="556" t="str">
        <f t="shared" ca="1" si="30"/>
        <v/>
      </c>
      <c r="V195" s="494">
        <v>6</v>
      </c>
      <c r="W195" s="556" t="str">
        <f t="shared" ca="1" si="31"/>
        <v/>
      </c>
      <c r="X195" s="494" t="s">
        <v>1378</v>
      </c>
      <c r="Y195" s="547" t="str">
        <f t="shared" ca="1" si="32"/>
        <v/>
      </c>
      <c r="Z195" s="494" t="s">
        <v>1379</v>
      </c>
      <c r="AA195" s="547" t="str">
        <f t="shared" ca="1" si="33"/>
        <v/>
      </c>
      <c r="AB195" s="494" t="s">
        <v>1380</v>
      </c>
      <c r="AC195" s="547" t="str">
        <f t="shared" ca="1" si="34"/>
        <v/>
      </c>
      <c r="AD195" s="557"/>
      <c r="AE195" s="958"/>
    </row>
    <row r="196" spans="1:31" ht="15" customHeight="1">
      <c r="A196" s="957">
        <v>57</v>
      </c>
      <c r="B196" s="566" t="s">
        <v>1009</v>
      </c>
      <c r="C196" s="567" t="s">
        <v>1369</v>
      </c>
      <c r="D196" s="958" t="s">
        <v>1422</v>
      </c>
      <c r="E196" s="959" t="s">
        <v>683</v>
      </c>
      <c r="F196" s="558" t="s">
        <v>1386</v>
      </c>
      <c r="G196" s="558">
        <v>294</v>
      </c>
      <c r="H196" s="558" t="s">
        <v>1039</v>
      </c>
      <c r="I196" s="559" t="s">
        <v>1414</v>
      </c>
      <c r="J196" s="567" t="s">
        <v>1372</v>
      </c>
      <c r="K196" s="960" t="s">
        <v>1373</v>
      </c>
      <c r="L196" s="555" t="str">
        <f t="shared" ca="1" si="27"/>
        <v/>
      </c>
      <c r="M196" s="494" t="s">
        <v>1374</v>
      </c>
      <c r="N196" s="555" t="str">
        <f t="shared" ca="1" si="28"/>
        <v/>
      </c>
      <c r="O196" s="494" t="s">
        <v>1375</v>
      </c>
      <c r="P196" s="555" t="str">
        <f t="shared" ca="1" si="29"/>
        <v/>
      </c>
      <c r="Q196" s="494" t="s">
        <v>1376</v>
      </c>
      <c r="R196" s="494" t="str">
        <f t="shared" si="35"/>
        <v>I196</v>
      </c>
      <c r="S196" s="494" t="s">
        <v>1377</v>
      </c>
      <c r="T196" s="494">
        <v>5</v>
      </c>
      <c r="U196" s="556" t="str">
        <f t="shared" ca="1" si="30"/>
        <v/>
      </c>
      <c r="V196" s="494">
        <v>6</v>
      </c>
      <c r="W196" s="556" t="str">
        <f t="shared" ca="1" si="31"/>
        <v/>
      </c>
      <c r="X196" s="494" t="s">
        <v>1378</v>
      </c>
      <c r="Y196" s="547" t="str">
        <f t="shared" ca="1" si="32"/>
        <v/>
      </c>
      <c r="Z196" s="494" t="s">
        <v>1379</v>
      </c>
      <c r="AA196" s="547" t="str">
        <f t="shared" ca="1" si="33"/>
        <v/>
      </c>
      <c r="AB196" s="494" t="s">
        <v>1380</v>
      </c>
      <c r="AC196" s="547" t="str">
        <f t="shared" ca="1" si="34"/>
        <v/>
      </c>
      <c r="AD196" s="557"/>
      <c r="AE196" s="958"/>
    </row>
    <row r="197" spans="1:31" ht="15" customHeight="1">
      <c r="A197" s="957">
        <v>57</v>
      </c>
      <c r="B197" s="566" t="s">
        <v>1009</v>
      </c>
      <c r="C197" s="567" t="s">
        <v>1369</v>
      </c>
      <c r="D197" s="958" t="s">
        <v>1422</v>
      </c>
      <c r="E197" s="959" t="s">
        <v>683</v>
      </c>
      <c r="F197" s="558" t="s">
        <v>1386</v>
      </c>
      <c r="G197" s="558">
        <v>294</v>
      </c>
      <c r="H197" s="558" t="s">
        <v>1039</v>
      </c>
      <c r="I197" s="559" t="s">
        <v>1040</v>
      </c>
      <c r="J197" s="567" t="s">
        <v>1372</v>
      </c>
      <c r="K197" s="960" t="s">
        <v>1373</v>
      </c>
      <c r="L197" s="555" t="str">
        <f t="shared" ca="1" si="27"/>
        <v/>
      </c>
      <c r="M197" s="494" t="s">
        <v>1374</v>
      </c>
      <c r="N197" s="555" t="str">
        <f t="shared" ca="1" si="28"/>
        <v/>
      </c>
      <c r="O197" s="494" t="s">
        <v>1375</v>
      </c>
      <c r="P197" s="555" t="str">
        <f t="shared" ca="1" si="29"/>
        <v/>
      </c>
      <c r="Q197" s="494" t="s">
        <v>1376</v>
      </c>
      <c r="R197" s="494" t="str">
        <f t="shared" si="35"/>
        <v>I197</v>
      </c>
      <c r="S197" s="494" t="s">
        <v>1377</v>
      </c>
      <c r="T197" s="494">
        <v>5</v>
      </c>
      <c r="U197" s="556" t="str">
        <f t="shared" ca="1" si="30"/>
        <v/>
      </c>
      <c r="V197" s="494">
        <v>6</v>
      </c>
      <c r="W197" s="556" t="str">
        <f t="shared" ca="1" si="31"/>
        <v/>
      </c>
      <c r="X197" s="494" t="s">
        <v>1378</v>
      </c>
      <c r="Y197" s="547" t="str">
        <f t="shared" ca="1" si="32"/>
        <v/>
      </c>
      <c r="Z197" s="494" t="s">
        <v>1379</v>
      </c>
      <c r="AA197" s="547" t="str">
        <f t="shared" ca="1" si="33"/>
        <v/>
      </c>
      <c r="AB197" s="494" t="s">
        <v>1380</v>
      </c>
      <c r="AC197" s="547" t="str">
        <f t="shared" ca="1" si="34"/>
        <v/>
      </c>
      <c r="AD197" s="557"/>
      <c r="AE197" s="958"/>
    </row>
    <row r="198" spans="1:31" ht="15" customHeight="1">
      <c r="A198" s="957">
        <v>57</v>
      </c>
      <c r="B198" s="566" t="s">
        <v>1009</v>
      </c>
      <c r="C198" s="567" t="s">
        <v>1369</v>
      </c>
      <c r="D198" s="958" t="s">
        <v>1422</v>
      </c>
      <c r="E198" s="959" t="s">
        <v>713</v>
      </c>
      <c r="F198" s="558" t="s">
        <v>1392</v>
      </c>
      <c r="G198" s="558">
        <v>295</v>
      </c>
      <c r="H198" s="558" t="s">
        <v>1045</v>
      </c>
      <c r="I198" s="559" t="s">
        <v>734</v>
      </c>
      <c r="J198" s="567" t="s">
        <v>1372</v>
      </c>
      <c r="K198" s="960" t="s">
        <v>1373</v>
      </c>
      <c r="L198" s="555" t="str">
        <f t="shared" ca="1" si="27"/>
        <v/>
      </c>
      <c r="M198" s="494" t="s">
        <v>1374</v>
      </c>
      <c r="N198" s="555" t="str">
        <f t="shared" ca="1" si="28"/>
        <v/>
      </c>
      <c r="O198" s="494" t="s">
        <v>1375</v>
      </c>
      <c r="P198" s="555" t="str">
        <f t="shared" ca="1" si="29"/>
        <v/>
      </c>
      <c r="Q198" s="494" t="s">
        <v>1376</v>
      </c>
      <c r="R198" s="494" t="str">
        <f t="shared" si="35"/>
        <v>I198</v>
      </c>
      <c r="S198" s="494" t="s">
        <v>1377</v>
      </c>
      <c r="T198" s="494">
        <v>5</v>
      </c>
      <c r="U198" s="556" t="str">
        <f t="shared" ca="1" si="30"/>
        <v/>
      </c>
      <c r="V198" s="494">
        <v>6</v>
      </c>
      <c r="W198" s="556" t="str">
        <f t="shared" ca="1" si="31"/>
        <v/>
      </c>
      <c r="X198" s="494" t="s">
        <v>1378</v>
      </c>
      <c r="Y198" s="547" t="str">
        <f t="shared" ca="1" si="32"/>
        <v/>
      </c>
      <c r="Z198" s="494" t="s">
        <v>1379</v>
      </c>
      <c r="AA198" s="547" t="str">
        <f t="shared" ca="1" si="33"/>
        <v/>
      </c>
      <c r="AB198" s="494" t="s">
        <v>1380</v>
      </c>
      <c r="AC198" s="547" t="str">
        <f t="shared" ca="1" si="34"/>
        <v/>
      </c>
      <c r="AD198" s="557"/>
      <c r="AE198" s="958"/>
    </row>
    <row r="199" spans="1:31" ht="15" customHeight="1">
      <c r="A199" s="957">
        <v>57</v>
      </c>
      <c r="B199" s="566" t="s">
        <v>1009</v>
      </c>
      <c r="C199" s="567" t="s">
        <v>1369</v>
      </c>
      <c r="D199" s="958" t="s">
        <v>1422</v>
      </c>
      <c r="E199" s="959" t="s">
        <v>713</v>
      </c>
      <c r="F199" s="558" t="s">
        <v>1392</v>
      </c>
      <c r="G199" s="558">
        <v>295</v>
      </c>
      <c r="H199" s="558" t="s">
        <v>1045</v>
      </c>
      <c r="I199" s="559" t="s">
        <v>735</v>
      </c>
      <c r="J199" s="567" t="s">
        <v>1372</v>
      </c>
      <c r="K199" s="960" t="s">
        <v>1373</v>
      </c>
      <c r="L199" s="555" t="str">
        <f t="shared" ca="1" si="27"/>
        <v/>
      </c>
      <c r="M199" s="494" t="s">
        <v>1374</v>
      </c>
      <c r="N199" s="555" t="str">
        <f t="shared" ca="1" si="28"/>
        <v/>
      </c>
      <c r="O199" s="494" t="s">
        <v>1375</v>
      </c>
      <c r="P199" s="555" t="str">
        <f t="shared" ca="1" si="29"/>
        <v/>
      </c>
      <c r="Q199" s="494" t="s">
        <v>1376</v>
      </c>
      <c r="R199" s="494" t="str">
        <f t="shared" si="35"/>
        <v>I199</v>
      </c>
      <c r="S199" s="494" t="s">
        <v>1377</v>
      </c>
      <c r="T199" s="494">
        <v>5</v>
      </c>
      <c r="U199" s="556" t="str">
        <f t="shared" ca="1" si="30"/>
        <v/>
      </c>
      <c r="V199" s="494">
        <v>6</v>
      </c>
      <c r="W199" s="556" t="str">
        <f t="shared" ca="1" si="31"/>
        <v/>
      </c>
      <c r="X199" s="494" t="s">
        <v>1378</v>
      </c>
      <c r="Y199" s="547" t="str">
        <f t="shared" ca="1" si="32"/>
        <v/>
      </c>
      <c r="Z199" s="494" t="s">
        <v>1379</v>
      </c>
      <c r="AA199" s="547" t="str">
        <f t="shared" ca="1" si="33"/>
        <v/>
      </c>
      <c r="AB199" s="494" t="s">
        <v>1380</v>
      </c>
      <c r="AC199" s="547" t="str">
        <f t="shared" ca="1" si="34"/>
        <v/>
      </c>
      <c r="AD199" s="557"/>
      <c r="AE199" s="958"/>
    </row>
    <row r="200" spans="1:31" ht="15" customHeight="1">
      <c r="A200" s="957">
        <v>57</v>
      </c>
      <c r="B200" s="566" t="s">
        <v>1009</v>
      </c>
      <c r="C200" s="567" t="s">
        <v>1369</v>
      </c>
      <c r="D200" s="958" t="s">
        <v>1422</v>
      </c>
      <c r="E200" s="959" t="s">
        <v>713</v>
      </c>
      <c r="F200" s="558" t="s">
        <v>1392</v>
      </c>
      <c r="G200" s="558">
        <v>296</v>
      </c>
      <c r="H200" s="558" t="s">
        <v>1046</v>
      </c>
      <c r="I200" s="559" t="s">
        <v>739</v>
      </c>
      <c r="J200" s="567" t="s">
        <v>1372</v>
      </c>
      <c r="K200" s="960" t="s">
        <v>1373</v>
      </c>
      <c r="L200" s="555" t="str">
        <f t="shared" ca="1" si="27"/>
        <v/>
      </c>
      <c r="M200" s="494" t="s">
        <v>1374</v>
      </c>
      <c r="N200" s="555" t="str">
        <f t="shared" ca="1" si="28"/>
        <v/>
      </c>
      <c r="O200" s="494" t="s">
        <v>1375</v>
      </c>
      <c r="P200" s="555" t="str">
        <f t="shared" ca="1" si="29"/>
        <v/>
      </c>
      <c r="Q200" s="494" t="s">
        <v>1376</v>
      </c>
      <c r="R200" s="494" t="str">
        <f t="shared" si="35"/>
        <v>I200</v>
      </c>
      <c r="S200" s="494" t="s">
        <v>1377</v>
      </c>
      <c r="T200" s="494">
        <v>5</v>
      </c>
      <c r="U200" s="556" t="str">
        <f t="shared" ca="1" si="30"/>
        <v/>
      </c>
      <c r="V200" s="494">
        <v>6</v>
      </c>
      <c r="W200" s="556" t="str">
        <f t="shared" ca="1" si="31"/>
        <v/>
      </c>
      <c r="X200" s="494" t="s">
        <v>1378</v>
      </c>
      <c r="Y200" s="547" t="str">
        <f t="shared" ca="1" si="32"/>
        <v/>
      </c>
      <c r="Z200" s="494" t="s">
        <v>1379</v>
      </c>
      <c r="AA200" s="547" t="str">
        <f t="shared" ca="1" si="33"/>
        <v/>
      </c>
      <c r="AB200" s="494" t="s">
        <v>1380</v>
      </c>
      <c r="AC200" s="547" t="str">
        <f t="shared" ca="1" si="34"/>
        <v/>
      </c>
      <c r="AD200" s="557"/>
      <c r="AE200" s="958"/>
    </row>
    <row r="201" spans="1:31" ht="15" customHeight="1">
      <c r="A201" s="957">
        <v>57</v>
      </c>
      <c r="B201" s="566" t="s">
        <v>1009</v>
      </c>
      <c r="C201" s="567" t="s">
        <v>1369</v>
      </c>
      <c r="D201" s="958" t="s">
        <v>1422</v>
      </c>
      <c r="E201" s="959" t="s">
        <v>713</v>
      </c>
      <c r="F201" s="558" t="s">
        <v>1392</v>
      </c>
      <c r="G201" s="558">
        <v>296</v>
      </c>
      <c r="H201" s="558" t="s">
        <v>1046</v>
      </c>
      <c r="I201" s="559" t="s">
        <v>740</v>
      </c>
      <c r="J201" s="567" t="s">
        <v>1372</v>
      </c>
      <c r="K201" s="960" t="s">
        <v>1373</v>
      </c>
      <c r="L201" s="555" t="str">
        <f t="shared" ca="1" si="27"/>
        <v/>
      </c>
      <c r="M201" s="494" t="s">
        <v>1374</v>
      </c>
      <c r="N201" s="555" t="str">
        <f t="shared" ca="1" si="28"/>
        <v/>
      </c>
      <c r="O201" s="494" t="s">
        <v>1375</v>
      </c>
      <c r="P201" s="555" t="str">
        <f t="shared" ca="1" si="29"/>
        <v/>
      </c>
      <c r="Q201" s="494" t="s">
        <v>1376</v>
      </c>
      <c r="R201" s="494" t="str">
        <f t="shared" si="35"/>
        <v>I201</v>
      </c>
      <c r="S201" s="494" t="s">
        <v>1377</v>
      </c>
      <c r="T201" s="494">
        <v>5</v>
      </c>
      <c r="U201" s="556" t="str">
        <f t="shared" ca="1" si="30"/>
        <v/>
      </c>
      <c r="V201" s="494">
        <v>6</v>
      </c>
      <c r="W201" s="556" t="str">
        <f t="shared" ca="1" si="31"/>
        <v/>
      </c>
      <c r="X201" s="494" t="s">
        <v>1378</v>
      </c>
      <c r="Y201" s="547" t="str">
        <f t="shared" ca="1" si="32"/>
        <v/>
      </c>
      <c r="Z201" s="494" t="s">
        <v>1379</v>
      </c>
      <c r="AA201" s="547" t="str">
        <f t="shared" ca="1" si="33"/>
        <v/>
      </c>
      <c r="AB201" s="494" t="s">
        <v>1380</v>
      </c>
      <c r="AC201" s="547" t="str">
        <f t="shared" ca="1" si="34"/>
        <v/>
      </c>
      <c r="AD201" s="557"/>
      <c r="AE201" s="958"/>
    </row>
    <row r="202" spans="1:31" ht="15" customHeight="1">
      <c r="A202" s="957">
        <v>57</v>
      </c>
      <c r="B202" s="566" t="s">
        <v>1009</v>
      </c>
      <c r="C202" s="567" t="s">
        <v>1369</v>
      </c>
      <c r="D202" s="958" t="s">
        <v>1422</v>
      </c>
      <c r="E202" s="959" t="s">
        <v>713</v>
      </c>
      <c r="F202" s="558" t="s">
        <v>1392</v>
      </c>
      <c r="G202" s="558">
        <v>297</v>
      </c>
      <c r="H202" s="558" t="s">
        <v>1047</v>
      </c>
      <c r="I202" s="559" t="s">
        <v>714</v>
      </c>
      <c r="J202" s="567" t="s">
        <v>1372</v>
      </c>
      <c r="K202" s="960" t="s">
        <v>1373</v>
      </c>
      <c r="L202" s="555" t="str">
        <f t="shared" ca="1" si="27"/>
        <v/>
      </c>
      <c r="M202" s="494" t="s">
        <v>1374</v>
      </c>
      <c r="N202" s="555" t="str">
        <f t="shared" ca="1" si="28"/>
        <v/>
      </c>
      <c r="O202" s="494" t="s">
        <v>1375</v>
      </c>
      <c r="P202" s="555" t="str">
        <f t="shared" ca="1" si="29"/>
        <v/>
      </c>
      <c r="Q202" s="494" t="s">
        <v>1376</v>
      </c>
      <c r="R202" s="494" t="str">
        <f t="shared" si="35"/>
        <v>I202</v>
      </c>
      <c r="S202" s="494" t="s">
        <v>1377</v>
      </c>
      <c r="T202" s="494">
        <v>5</v>
      </c>
      <c r="U202" s="556" t="str">
        <f t="shared" ca="1" si="30"/>
        <v/>
      </c>
      <c r="V202" s="494">
        <v>6</v>
      </c>
      <c r="W202" s="556" t="str">
        <f t="shared" ca="1" si="31"/>
        <v/>
      </c>
      <c r="X202" s="494" t="s">
        <v>1378</v>
      </c>
      <c r="Y202" s="547" t="str">
        <f t="shared" ca="1" si="32"/>
        <v/>
      </c>
      <c r="Z202" s="494" t="s">
        <v>1379</v>
      </c>
      <c r="AA202" s="547" t="str">
        <f t="shared" ca="1" si="33"/>
        <v/>
      </c>
      <c r="AB202" s="494" t="s">
        <v>1380</v>
      </c>
      <c r="AC202" s="547" t="str">
        <f t="shared" ca="1" si="34"/>
        <v/>
      </c>
      <c r="AD202" s="557"/>
      <c r="AE202" s="958"/>
    </row>
    <row r="203" spans="1:31" ht="15" customHeight="1">
      <c r="A203" s="957">
        <v>57</v>
      </c>
      <c r="B203" s="566" t="s">
        <v>1009</v>
      </c>
      <c r="C203" s="567" t="s">
        <v>1369</v>
      </c>
      <c r="D203" s="958" t="s">
        <v>1422</v>
      </c>
      <c r="E203" s="959" t="s">
        <v>713</v>
      </c>
      <c r="F203" s="558" t="s">
        <v>1392</v>
      </c>
      <c r="G203" s="558">
        <v>298</v>
      </c>
      <c r="H203" s="558" t="s">
        <v>1048</v>
      </c>
      <c r="I203" s="559" t="s">
        <v>717</v>
      </c>
      <c r="J203" s="567" t="s">
        <v>1372</v>
      </c>
      <c r="K203" s="960" t="s">
        <v>1373</v>
      </c>
      <c r="L203" s="555" t="str">
        <f t="shared" ca="1" si="27"/>
        <v/>
      </c>
      <c r="M203" s="494" t="s">
        <v>1374</v>
      </c>
      <c r="N203" s="555" t="str">
        <f t="shared" ca="1" si="28"/>
        <v/>
      </c>
      <c r="O203" s="494" t="s">
        <v>1375</v>
      </c>
      <c r="P203" s="555" t="str">
        <f t="shared" ca="1" si="29"/>
        <v/>
      </c>
      <c r="Q203" s="494" t="s">
        <v>1376</v>
      </c>
      <c r="R203" s="494" t="str">
        <f t="shared" si="35"/>
        <v>I203</v>
      </c>
      <c r="S203" s="494" t="s">
        <v>1377</v>
      </c>
      <c r="T203" s="494">
        <v>5</v>
      </c>
      <c r="U203" s="556" t="str">
        <f t="shared" ca="1" si="30"/>
        <v/>
      </c>
      <c r="V203" s="494">
        <v>6</v>
      </c>
      <c r="W203" s="556" t="str">
        <f t="shared" ca="1" si="31"/>
        <v/>
      </c>
      <c r="X203" s="494" t="s">
        <v>1378</v>
      </c>
      <c r="Y203" s="547" t="str">
        <f t="shared" ca="1" si="32"/>
        <v/>
      </c>
      <c r="Z203" s="494" t="s">
        <v>1379</v>
      </c>
      <c r="AA203" s="547" t="str">
        <f t="shared" ca="1" si="33"/>
        <v/>
      </c>
      <c r="AB203" s="494" t="s">
        <v>1380</v>
      </c>
      <c r="AC203" s="547" t="str">
        <f t="shared" ca="1" si="34"/>
        <v/>
      </c>
      <c r="AD203" s="557"/>
      <c r="AE203" s="958"/>
    </row>
    <row r="204" spans="1:31" ht="15" customHeight="1">
      <c r="A204" s="957">
        <v>57</v>
      </c>
      <c r="B204" s="566" t="s">
        <v>1009</v>
      </c>
      <c r="C204" s="567" t="s">
        <v>1369</v>
      </c>
      <c r="D204" s="958" t="s">
        <v>1422</v>
      </c>
      <c r="E204" s="959" t="s">
        <v>713</v>
      </c>
      <c r="F204" s="558" t="s">
        <v>1392</v>
      </c>
      <c r="G204" s="558">
        <v>299</v>
      </c>
      <c r="H204" s="558" t="s">
        <v>1049</v>
      </c>
      <c r="I204" s="559" t="s">
        <v>741</v>
      </c>
      <c r="J204" s="567" t="s">
        <v>1372</v>
      </c>
      <c r="K204" s="960" t="s">
        <v>1373</v>
      </c>
      <c r="L204" s="555" t="str">
        <f t="shared" ca="1" si="27"/>
        <v/>
      </c>
      <c r="M204" s="494" t="s">
        <v>1374</v>
      </c>
      <c r="N204" s="555" t="str">
        <f t="shared" ca="1" si="28"/>
        <v/>
      </c>
      <c r="O204" s="494" t="s">
        <v>1375</v>
      </c>
      <c r="P204" s="555" t="str">
        <f t="shared" ca="1" si="29"/>
        <v/>
      </c>
      <c r="Q204" s="494" t="s">
        <v>1376</v>
      </c>
      <c r="R204" s="494" t="str">
        <f t="shared" si="35"/>
        <v>I204</v>
      </c>
      <c r="S204" s="494" t="s">
        <v>1377</v>
      </c>
      <c r="T204" s="494">
        <v>5</v>
      </c>
      <c r="U204" s="556" t="str">
        <f t="shared" ca="1" si="30"/>
        <v/>
      </c>
      <c r="V204" s="494">
        <v>6</v>
      </c>
      <c r="W204" s="556" t="str">
        <f t="shared" ca="1" si="31"/>
        <v/>
      </c>
      <c r="X204" s="494" t="s">
        <v>1378</v>
      </c>
      <c r="Y204" s="547" t="str">
        <f t="shared" ca="1" si="32"/>
        <v/>
      </c>
      <c r="Z204" s="494" t="s">
        <v>1379</v>
      </c>
      <c r="AA204" s="547" t="str">
        <f t="shared" ca="1" si="33"/>
        <v/>
      </c>
      <c r="AB204" s="494" t="s">
        <v>1380</v>
      </c>
      <c r="AC204" s="547" t="str">
        <f t="shared" ca="1" si="34"/>
        <v/>
      </c>
      <c r="AD204" s="557"/>
      <c r="AE204" s="958"/>
    </row>
    <row r="205" spans="1:31" ht="15" customHeight="1">
      <c r="A205" s="957">
        <v>57</v>
      </c>
      <c r="B205" s="566" t="s">
        <v>1009</v>
      </c>
      <c r="C205" s="567" t="s">
        <v>1369</v>
      </c>
      <c r="D205" s="958" t="s">
        <v>1422</v>
      </c>
      <c r="E205" s="959" t="s">
        <v>713</v>
      </c>
      <c r="F205" s="558" t="s">
        <v>1392</v>
      </c>
      <c r="G205" s="558">
        <v>615</v>
      </c>
      <c r="H205" s="558" t="s">
        <v>1050</v>
      </c>
      <c r="I205" s="559" t="s">
        <v>1415</v>
      </c>
      <c r="J205" s="567" t="s">
        <v>1372</v>
      </c>
      <c r="K205" s="960" t="s">
        <v>1373</v>
      </c>
      <c r="L205" s="555" t="str">
        <f t="shared" ca="1" si="27"/>
        <v/>
      </c>
      <c r="M205" s="494" t="s">
        <v>1374</v>
      </c>
      <c r="N205" s="555" t="str">
        <f t="shared" ca="1" si="28"/>
        <v/>
      </c>
      <c r="O205" s="494" t="s">
        <v>1375</v>
      </c>
      <c r="P205" s="555" t="str">
        <f t="shared" ca="1" si="29"/>
        <v/>
      </c>
      <c r="Q205" s="494" t="s">
        <v>1376</v>
      </c>
      <c r="R205" s="494" t="str">
        <f t="shared" si="35"/>
        <v>I205</v>
      </c>
      <c r="S205" s="494" t="s">
        <v>1377</v>
      </c>
      <c r="T205" s="494">
        <v>5</v>
      </c>
      <c r="U205" s="556" t="str">
        <f t="shared" ca="1" si="30"/>
        <v/>
      </c>
      <c r="V205" s="494">
        <v>6</v>
      </c>
      <c r="W205" s="556" t="str">
        <f t="shared" ca="1" si="31"/>
        <v/>
      </c>
      <c r="X205" s="494" t="s">
        <v>1378</v>
      </c>
      <c r="Y205" s="547" t="str">
        <f t="shared" ca="1" si="32"/>
        <v/>
      </c>
      <c r="Z205" s="494" t="s">
        <v>1379</v>
      </c>
      <c r="AA205" s="547" t="str">
        <f t="shared" ca="1" si="33"/>
        <v/>
      </c>
      <c r="AB205" s="494" t="s">
        <v>1380</v>
      </c>
      <c r="AC205" s="547" t="str">
        <f t="shared" ca="1" si="34"/>
        <v/>
      </c>
      <c r="AD205" s="557"/>
      <c r="AE205" s="958"/>
    </row>
    <row r="206" spans="1:31" ht="15" customHeight="1">
      <c r="A206" s="957">
        <v>57</v>
      </c>
      <c r="B206" s="566" t="s">
        <v>1009</v>
      </c>
      <c r="C206" s="567" t="s">
        <v>1369</v>
      </c>
      <c r="D206" s="958" t="s">
        <v>1422</v>
      </c>
      <c r="E206" s="959" t="s">
        <v>713</v>
      </c>
      <c r="F206" s="558" t="s">
        <v>1392</v>
      </c>
      <c r="G206" s="558">
        <v>615</v>
      </c>
      <c r="H206" s="558" t="s">
        <v>1050</v>
      </c>
      <c r="I206" s="559" t="s">
        <v>747</v>
      </c>
      <c r="J206" s="567" t="s">
        <v>1372</v>
      </c>
      <c r="K206" s="960" t="s">
        <v>1373</v>
      </c>
      <c r="L206" s="555" t="str">
        <f t="shared" ca="1" si="27"/>
        <v/>
      </c>
      <c r="M206" s="494" t="s">
        <v>1374</v>
      </c>
      <c r="N206" s="555" t="str">
        <f t="shared" ca="1" si="28"/>
        <v/>
      </c>
      <c r="O206" s="494" t="s">
        <v>1375</v>
      </c>
      <c r="P206" s="555" t="str">
        <f t="shared" ca="1" si="29"/>
        <v/>
      </c>
      <c r="Q206" s="494" t="s">
        <v>1376</v>
      </c>
      <c r="R206" s="494" t="str">
        <f t="shared" si="35"/>
        <v>I206</v>
      </c>
      <c r="S206" s="494" t="s">
        <v>1377</v>
      </c>
      <c r="T206" s="494">
        <v>5</v>
      </c>
      <c r="U206" s="556" t="str">
        <f t="shared" ca="1" si="30"/>
        <v/>
      </c>
      <c r="V206" s="494">
        <v>6</v>
      </c>
      <c r="W206" s="556" t="str">
        <f t="shared" ca="1" si="31"/>
        <v/>
      </c>
      <c r="X206" s="494" t="s">
        <v>1378</v>
      </c>
      <c r="Y206" s="547" t="str">
        <f t="shared" ca="1" si="32"/>
        <v/>
      </c>
      <c r="Z206" s="494" t="s">
        <v>1379</v>
      </c>
      <c r="AA206" s="547" t="str">
        <f t="shared" ca="1" si="33"/>
        <v/>
      </c>
      <c r="AB206" s="494" t="s">
        <v>1380</v>
      </c>
      <c r="AC206" s="547" t="str">
        <f t="shared" ca="1" si="34"/>
        <v/>
      </c>
      <c r="AD206" s="557"/>
      <c r="AE206" s="958"/>
    </row>
    <row r="207" spans="1:31" ht="15" customHeight="1">
      <c r="A207" s="957">
        <v>57</v>
      </c>
      <c r="B207" s="566" t="s">
        <v>1009</v>
      </c>
      <c r="C207" s="567" t="s">
        <v>1369</v>
      </c>
      <c r="D207" s="958" t="s">
        <v>1422</v>
      </c>
      <c r="E207" s="959" t="s">
        <v>713</v>
      </c>
      <c r="F207" s="558" t="s">
        <v>1392</v>
      </c>
      <c r="G207" s="558">
        <v>301</v>
      </c>
      <c r="H207" s="558" t="s">
        <v>1051</v>
      </c>
      <c r="I207" s="559" t="s">
        <v>1052</v>
      </c>
      <c r="J207" s="567" t="s">
        <v>1372</v>
      </c>
      <c r="K207" s="960" t="s">
        <v>1373</v>
      </c>
      <c r="L207" s="555" t="str">
        <f t="shared" ca="1" si="27"/>
        <v/>
      </c>
      <c r="M207" s="494" t="s">
        <v>1374</v>
      </c>
      <c r="N207" s="555" t="str">
        <f t="shared" ca="1" si="28"/>
        <v/>
      </c>
      <c r="O207" s="494" t="s">
        <v>1375</v>
      </c>
      <c r="P207" s="555" t="str">
        <f t="shared" ca="1" si="29"/>
        <v/>
      </c>
      <c r="Q207" s="494" t="s">
        <v>1376</v>
      </c>
      <c r="R207" s="494" t="str">
        <f t="shared" si="35"/>
        <v>I207</v>
      </c>
      <c r="S207" s="494" t="s">
        <v>1377</v>
      </c>
      <c r="T207" s="494">
        <v>5</v>
      </c>
      <c r="U207" s="556" t="str">
        <f t="shared" ca="1" si="30"/>
        <v/>
      </c>
      <c r="V207" s="494">
        <v>6</v>
      </c>
      <c r="W207" s="556" t="str">
        <f t="shared" ca="1" si="31"/>
        <v/>
      </c>
      <c r="X207" s="494" t="s">
        <v>1378</v>
      </c>
      <c r="Y207" s="547" t="str">
        <f t="shared" ca="1" si="32"/>
        <v/>
      </c>
      <c r="Z207" s="494" t="s">
        <v>1379</v>
      </c>
      <c r="AA207" s="547" t="str">
        <f t="shared" ca="1" si="33"/>
        <v/>
      </c>
      <c r="AB207" s="494" t="s">
        <v>1380</v>
      </c>
      <c r="AC207" s="547" t="str">
        <f t="shared" ca="1" si="34"/>
        <v/>
      </c>
      <c r="AD207" s="557"/>
      <c r="AE207" s="958"/>
    </row>
    <row r="208" spans="1:31" ht="15" customHeight="1">
      <c r="A208" s="957">
        <v>57</v>
      </c>
      <c r="B208" s="566" t="s">
        <v>1009</v>
      </c>
      <c r="C208" s="567" t="s">
        <v>1369</v>
      </c>
      <c r="D208" s="958" t="s">
        <v>1422</v>
      </c>
      <c r="E208" s="959" t="s">
        <v>713</v>
      </c>
      <c r="F208" s="558" t="s">
        <v>1392</v>
      </c>
      <c r="G208" s="558">
        <v>301</v>
      </c>
      <c r="H208" s="558" t="s">
        <v>1051</v>
      </c>
      <c r="I208" s="559" t="s">
        <v>1054</v>
      </c>
      <c r="J208" s="567" t="s">
        <v>1372</v>
      </c>
      <c r="K208" s="960" t="s">
        <v>1373</v>
      </c>
      <c r="L208" s="555" t="str">
        <f t="shared" ca="1" si="27"/>
        <v/>
      </c>
      <c r="M208" s="494" t="s">
        <v>1374</v>
      </c>
      <c r="N208" s="555" t="str">
        <f t="shared" ca="1" si="28"/>
        <v/>
      </c>
      <c r="O208" s="494" t="s">
        <v>1375</v>
      </c>
      <c r="P208" s="555" t="str">
        <f t="shared" ca="1" si="29"/>
        <v/>
      </c>
      <c r="Q208" s="494" t="s">
        <v>1376</v>
      </c>
      <c r="R208" s="494" t="str">
        <f t="shared" si="35"/>
        <v>I208</v>
      </c>
      <c r="S208" s="494" t="s">
        <v>1377</v>
      </c>
      <c r="T208" s="494">
        <v>5</v>
      </c>
      <c r="U208" s="556" t="str">
        <f t="shared" ca="1" si="30"/>
        <v/>
      </c>
      <c r="V208" s="494">
        <v>6</v>
      </c>
      <c r="W208" s="556" t="str">
        <f t="shared" ca="1" si="31"/>
        <v/>
      </c>
      <c r="X208" s="494" t="s">
        <v>1378</v>
      </c>
      <c r="Y208" s="547" t="str">
        <f t="shared" ca="1" si="32"/>
        <v/>
      </c>
      <c r="Z208" s="494" t="s">
        <v>1379</v>
      </c>
      <c r="AA208" s="547" t="str">
        <f t="shared" ca="1" si="33"/>
        <v/>
      </c>
      <c r="AB208" s="494" t="s">
        <v>1380</v>
      </c>
      <c r="AC208" s="547" t="str">
        <f t="shared" ca="1" si="34"/>
        <v/>
      </c>
      <c r="AD208" s="557"/>
      <c r="AE208" s="958"/>
    </row>
    <row r="209" spans="1:31" ht="15" customHeight="1">
      <c r="A209" s="957">
        <v>57</v>
      </c>
      <c r="B209" s="566" t="s">
        <v>1009</v>
      </c>
      <c r="C209" s="567" t="s">
        <v>1369</v>
      </c>
      <c r="D209" s="958" t="s">
        <v>1422</v>
      </c>
      <c r="E209" s="959" t="s">
        <v>713</v>
      </c>
      <c r="F209" s="558" t="s">
        <v>1392</v>
      </c>
      <c r="G209" s="558">
        <v>301</v>
      </c>
      <c r="H209" s="558" t="s">
        <v>1051</v>
      </c>
      <c r="I209" s="559" t="s">
        <v>1056</v>
      </c>
      <c r="J209" s="567" t="s">
        <v>1372</v>
      </c>
      <c r="K209" s="960" t="s">
        <v>1373</v>
      </c>
      <c r="L209" s="555" t="str">
        <f t="shared" ca="1" si="27"/>
        <v/>
      </c>
      <c r="M209" s="494" t="s">
        <v>1374</v>
      </c>
      <c r="N209" s="555" t="str">
        <f t="shared" ca="1" si="28"/>
        <v/>
      </c>
      <c r="O209" s="494" t="s">
        <v>1375</v>
      </c>
      <c r="P209" s="555" t="str">
        <f t="shared" ca="1" si="29"/>
        <v/>
      </c>
      <c r="Q209" s="494" t="s">
        <v>1376</v>
      </c>
      <c r="R209" s="494" t="str">
        <f t="shared" si="35"/>
        <v>I209</v>
      </c>
      <c r="S209" s="494" t="s">
        <v>1377</v>
      </c>
      <c r="T209" s="494">
        <v>5</v>
      </c>
      <c r="U209" s="556" t="str">
        <f t="shared" ca="1" si="30"/>
        <v/>
      </c>
      <c r="V209" s="494">
        <v>6</v>
      </c>
      <c r="W209" s="556" t="str">
        <f t="shared" ca="1" si="31"/>
        <v/>
      </c>
      <c r="X209" s="494" t="s">
        <v>1378</v>
      </c>
      <c r="Y209" s="547" t="str">
        <f t="shared" ca="1" si="32"/>
        <v/>
      </c>
      <c r="Z209" s="494" t="s">
        <v>1379</v>
      </c>
      <c r="AA209" s="547" t="str">
        <f t="shared" ca="1" si="33"/>
        <v/>
      </c>
      <c r="AB209" s="494" t="s">
        <v>1380</v>
      </c>
      <c r="AC209" s="547" t="str">
        <f t="shared" ca="1" si="34"/>
        <v/>
      </c>
      <c r="AD209" s="557"/>
      <c r="AE209" s="958"/>
    </row>
    <row r="210" spans="1:31" ht="15" customHeight="1">
      <c r="A210" s="957">
        <v>57</v>
      </c>
      <c r="B210" s="566" t="s">
        <v>1009</v>
      </c>
      <c r="C210" s="567" t="s">
        <v>1369</v>
      </c>
      <c r="D210" s="958" t="s">
        <v>1422</v>
      </c>
      <c r="E210" s="959" t="s">
        <v>713</v>
      </c>
      <c r="F210" s="558" t="s">
        <v>1392</v>
      </c>
      <c r="G210" s="558">
        <v>301</v>
      </c>
      <c r="H210" s="558" t="s">
        <v>1051</v>
      </c>
      <c r="I210" s="559" t="s">
        <v>1058</v>
      </c>
      <c r="J210" s="567" t="s">
        <v>1372</v>
      </c>
      <c r="K210" s="960" t="s">
        <v>1373</v>
      </c>
      <c r="L210" s="555" t="str">
        <f t="shared" ca="1" si="27"/>
        <v/>
      </c>
      <c r="M210" s="494" t="s">
        <v>1374</v>
      </c>
      <c r="N210" s="555" t="str">
        <f t="shared" ca="1" si="28"/>
        <v/>
      </c>
      <c r="O210" s="494" t="s">
        <v>1375</v>
      </c>
      <c r="P210" s="555" t="str">
        <f t="shared" ca="1" si="29"/>
        <v/>
      </c>
      <c r="Q210" s="494" t="s">
        <v>1376</v>
      </c>
      <c r="R210" s="494" t="str">
        <f t="shared" si="35"/>
        <v>I210</v>
      </c>
      <c r="S210" s="494" t="s">
        <v>1377</v>
      </c>
      <c r="T210" s="494">
        <v>5</v>
      </c>
      <c r="U210" s="556" t="str">
        <f t="shared" ca="1" si="30"/>
        <v/>
      </c>
      <c r="V210" s="494">
        <v>6</v>
      </c>
      <c r="W210" s="556" t="str">
        <f t="shared" ca="1" si="31"/>
        <v/>
      </c>
      <c r="X210" s="494" t="s">
        <v>1378</v>
      </c>
      <c r="Y210" s="547" t="str">
        <f t="shared" ca="1" si="32"/>
        <v/>
      </c>
      <c r="Z210" s="494" t="s">
        <v>1379</v>
      </c>
      <c r="AA210" s="547" t="str">
        <f t="shared" ca="1" si="33"/>
        <v/>
      </c>
      <c r="AB210" s="494" t="s">
        <v>1380</v>
      </c>
      <c r="AC210" s="547" t="str">
        <f t="shared" ca="1" si="34"/>
        <v/>
      </c>
      <c r="AD210" s="557"/>
      <c r="AE210" s="958"/>
    </row>
    <row r="211" spans="1:31" ht="15" customHeight="1">
      <c r="A211" s="957">
        <v>57</v>
      </c>
      <c r="B211" s="566" t="s">
        <v>1009</v>
      </c>
      <c r="C211" s="567" t="s">
        <v>1369</v>
      </c>
      <c r="D211" s="958" t="s">
        <v>1422</v>
      </c>
      <c r="E211" s="959" t="s">
        <v>755</v>
      </c>
      <c r="F211" s="558" t="s">
        <v>1399</v>
      </c>
      <c r="G211" s="558">
        <v>381</v>
      </c>
      <c r="H211" s="558" t="s">
        <v>1059</v>
      </c>
      <c r="I211" s="559" t="s">
        <v>338</v>
      </c>
      <c r="J211" s="567" t="s">
        <v>1372</v>
      </c>
      <c r="K211" s="960" t="s">
        <v>1373</v>
      </c>
      <c r="L211" s="555" t="str">
        <f t="shared" ca="1" si="27"/>
        <v/>
      </c>
      <c r="M211" s="494" t="s">
        <v>1374</v>
      </c>
      <c r="N211" s="555" t="str">
        <f t="shared" ca="1" si="28"/>
        <v/>
      </c>
      <c r="O211" s="494" t="s">
        <v>1375</v>
      </c>
      <c r="P211" s="555" t="str">
        <f t="shared" ca="1" si="29"/>
        <v/>
      </c>
      <c r="Q211" s="494" t="s">
        <v>1376</v>
      </c>
      <c r="R211" s="494" t="str">
        <f t="shared" si="35"/>
        <v>I211</v>
      </c>
      <c r="S211" s="494" t="s">
        <v>1377</v>
      </c>
      <c r="T211" s="494">
        <v>5</v>
      </c>
      <c r="U211" s="556" t="str">
        <f t="shared" ca="1" si="30"/>
        <v/>
      </c>
      <c r="V211" s="494">
        <v>6</v>
      </c>
      <c r="W211" s="556" t="str">
        <f t="shared" ca="1" si="31"/>
        <v/>
      </c>
      <c r="X211" s="494" t="s">
        <v>1378</v>
      </c>
      <c r="Y211" s="547" t="str">
        <f t="shared" ca="1" si="32"/>
        <v/>
      </c>
      <c r="Z211" s="494" t="s">
        <v>1379</v>
      </c>
      <c r="AA211" s="547" t="str">
        <f t="shared" ca="1" si="33"/>
        <v/>
      </c>
      <c r="AB211" s="494" t="s">
        <v>1380</v>
      </c>
      <c r="AC211" s="547" t="str">
        <f t="shared" ca="1" si="34"/>
        <v/>
      </c>
      <c r="AD211" s="557"/>
      <c r="AE211" s="958"/>
    </row>
    <row r="212" spans="1:31" ht="15" customHeight="1">
      <c r="A212" s="957">
        <v>57</v>
      </c>
      <c r="B212" s="566" t="s">
        <v>1009</v>
      </c>
      <c r="C212" s="567" t="s">
        <v>1369</v>
      </c>
      <c r="D212" s="958" t="s">
        <v>1422</v>
      </c>
      <c r="E212" s="959" t="s">
        <v>755</v>
      </c>
      <c r="F212" s="558" t="s">
        <v>1399</v>
      </c>
      <c r="G212" s="558">
        <v>381</v>
      </c>
      <c r="H212" s="558" t="s">
        <v>1059</v>
      </c>
      <c r="I212" s="559" t="s">
        <v>780</v>
      </c>
      <c r="J212" s="567" t="s">
        <v>1372</v>
      </c>
      <c r="K212" s="960" t="s">
        <v>1373</v>
      </c>
      <c r="L212" s="555" t="str">
        <f t="shared" ca="1" si="27"/>
        <v/>
      </c>
      <c r="M212" s="494" t="s">
        <v>1374</v>
      </c>
      <c r="N212" s="555" t="str">
        <f t="shared" ca="1" si="28"/>
        <v/>
      </c>
      <c r="O212" s="494" t="s">
        <v>1375</v>
      </c>
      <c r="P212" s="555" t="str">
        <f t="shared" ca="1" si="29"/>
        <v/>
      </c>
      <c r="Q212" s="494" t="s">
        <v>1376</v>
      </c>
      <c r="R212" s="494" t="str">
        <f t="shared" si="35"/>
        <v>I212</v>
      </c>
      <c r="S212" s="494" t="s">
        <v>1377</v>
      </c>
      <c r="T212" s="494">
        <v>5</v>
      </c>
      <c r="U212" s="556" t="str">
        <f t="shared" ca="1" si="30"/>
        <v/>
      </c>
      <c r="V212" s="494">
        <v>6</v>
      </c>
      <c r="W212" s="556" t="str">
        <f t="shared" ca="1" si="31"/>
        <v/>
      </c>
      <c r="X212" s="494" t="s">
        <v>1378</v>
      </c>
      <c r="Y212" s="547" t="str">
        <f t="shared" ca="1" si="32"/>
        <v/>
      </c>
      <c r="Z212" s="494" t="s">
        <v>1379</v>
      </c>
      <c r="AA212" s="547" t="str">
        <f t="shared" ca="1" si="33"/>
        <v/>
      </c>
      <c r="AB212" s="494" t="s">
        <v>1380</v>
      </c>
      <c r="AC212" s="547" t="str">
        <f t="shared" ca="1" si="34"/>
        <v/>
      </c>
      <c r="AD212" s="557"/>
      <c r="AE212" s="958"/>
    </row>
    <row r="213" spans="1:31" ht="15" customHeight="1">
      <c r="A213" s="957">
        <v>57</v>
      </c>
      <c r="B213" s="566" t="s">
        <v>1009</v>
      </c>
      <c r="C213" s="567" t="s">
        <v>1369</v>
      </c>
      <c r="D213" s="958" t="s">
        <v>1422</v>
      </c>
      <c r="E213" s="959" t="s">
        <v>755</v>
      </c>
      <c r="F213" s="558" t="s">
        <v>1399</v>
      </c>
      <c r="G213" s="558">
        <v>381</v>
      </c>
      <c r="H213" s="558" t="s">
        <v>1059</v>
      </c>
      <c r="I213" s="559" t="s">
        <v>1384</v>
      </c>
      <c r="J213" s="567" t="s">
        <v>1372</v>
      </c>
      <c r="K213" s="960" t="s">
        <v>1373</v>
      </c>
      <c r="L213" s="555" t="str">
        <f t="shared" ca="1" si="27"/>
        <v/>
      </c>
      <c r="M213" s="494" t="s">
        <v>1374</v>
      </c>
      <c r="N213" s="555" t="str">
        <f t="shared" ca="1" si="28"/>
        <v/>
      </c>
      <c r="O213" s="494" t="s">
        <v>1375</v>
      </c>
      <c r="P213" s="555" t="str">
        <f t="shared" ca="1" si="29"/>
        <v/>
      </c>
      <c r="Q213" s="494" t="s">
        <v>1376</v>
      </c>
      <c r="R213" s="494" t="str">
        <f t="shared" si="35"/>
        <v>I213</v>
      </c>
      <c r="S213" s="494" t="s">
        <v>1377</v>
      </c>
      <c r="T213" s="494">
        <v>5</v>
      </c>
      <c r="U213" s="556" t="str">
        <f t="shared" ca="1" si="30"/>
        <v/>
      </c>
      <c r="V213" s="494">
        <v>6</v>
      </c>
      <c r="W213" s="556" t="str">
        <f t="shared" ca="1" si="31"/>
        <v/>
      </c>
      <c r="X213" s="494" t="s">
        <v>1378</v>
      </c>
      <c r="Y213" s="547" t="str">
        <f t="shared" ca="1" si="32"/>
        <v/>
      </c>
      <c r="Z213" s="494" t="s">
        <v>1379</v>
      </c>
      <c r="AA213" s="547" t="str">
        <f t="shared" ca="1" si="33"/>
        <v/>
      </c>
      <c r="AB213" s="494" t="s">
        <v>1380</v>
      </c>
      <c r="AC213" s="547" t="str">
        <f t="shared" ca="1" si="34"/>
        <v/>
      </c>
      <c r="AD213" s="557"/>
      <c r="AE213" s="958"/>
    </row>
    <row r="214" spans="1:31" ht="15" customHeight="1">
      <c r="A214" s="957">
        <v>57</v>
      </c>
      <c r="B214" s="566" t="s">
        <v>1009</v>
      </c>
      <c r="C214" s="567" t="s">
        <v>1369</v>
      </c>
      <c r="D214" s="958" t="s">
        <v>1422</v>
      </c>
      <c r="E214" s="959" t="s">
        <v>755</v>
      </c>
      <c r="F214" s="558" t="s">
        <v>1399</v>
      </c>
      <c r="G214" s="558">
        <v>311</v>
      </c>
      <c r="H214" s="558" t="s">
        <v>1074</v>
      </c>
      <c r="I214" s="559" t="s">
        <v>1075</v>
      </c>
      <c r="J214" s="567" t="s">
        <v>1372</v>
      </c>
      <c r="K214" s="960" t="s">
        <v>1373</v>
      </c>
      <c r="L214" s="555" t="str">
        <f t="shared" ca="1" si="27"/>
        <v/>
      </c>
      <c r="M214" s="494" t="s">
        <v>1374</v>
      </c>
      <c r="N214" s="555" t="str">
        <f t="shared" ca="1" si="28"/>
        <v/>
      </c>
      <c r="O214" s="494" t="s">
        <v>1375</v>
      </c>
      <c r="P214" s="555" t="str">
        <f t="shared" ca="1" si="29"/>
        <v/>
      </c>
      <c r="Q214" s="494" t="s">
        <v>1376</v>
      </c>
      <c r="R214" s="494" t="str">
        <f t="shared" si="35"/>
        <v>I214</v>
      </c>
      <c r="S214" s="494" t="s">
        <v>1377</v>
      </c>
      <c r="T214" s="494">
        <v>5</v>
      </c>
      <c r="U214" s="556" t="str">
        <f t="shared" ca="1" si="30"/>
        <v/>
      </c>
      <c r="V214" s="494">
        <v>6</v>
      </c>
      <c r="W214" s="556" t="str">
        <f t="shared" ca="1" si="31"/>
        <v/>
      </c>
      <c r="X214" s="494" t="s">
        <v>1378</v>
      </c>
      <c r="Y214" s="547" t="str">
        <f t="shared" ca="1" si="32"/>
        <v/>
      </c>
      <c r="Z214" s="494" t="s">
        <v>1379</v>
      </c>
      <c r="AA214" s="547" t="str">
        <f t="shared" ca="1" si="33"/>
        <v/>
      </c>
      <c r="AB214" s="494" t="s">
        <v>1380</v>
      </c>
      <c r="AC214" s="547" t="str">
        <f t="shared" ca="1" si="34"/>
        <v/>
      </c>
      <c r="AD214" s="557"/>
      <c r="AE214" s="958"/>
    </row>
    <row r="215" spans="1:31" ht="15" customHeight="1">
      <c r="A215" s="957">
        <v>57</v>
      </c>
      <c r="B215" s="566" t="s">
        <v>1009</v>
      </c>
      <c r="C215" s="567" t="s">
        <v>1369</v>
      </c>
      <c r="D215" s="958" t="s">
        <v>1422</v>
      </c>
      <c r="E215" s="959" t="s">
        <v>755</v>
      </c>
      <c r="F215" s="558" t="s">
        <v>1399</v>
      </c>
      <c r="G215" s="558">
        <v>311</v>
      </c>
      <c r="H215" s="558" t="s">
        <v>1074</v>
      </c>
      <c r="I215" s="559" t="s">
        <v>300</v>
      </c>
      <c r="J215" s="567" t="s">
        <v>1372</v>
      </c>
      <c r="K215" s="960" t="s">
        <v>1373</v>
      </c>
      <c r="L215" s="555" t="str">
        <f t="shared" ca="1" si="27"/>
        <v/>
      </c>
      <c r="M215" s="494" t="s">
        <v>1374</v>
      </c>
      <c r="N215" s="555" t="str">
        <f t="shared" ca="1" si="28"/>
        <v/>
      </c>
      <c r="O215" s="494" t="s">
        <v>1375</v>
      </c>
      <c r="P215" s="555" t="str">
        <f t="shared" ca="1" si="29"/>
        <v/>
      </c>
      <c r="Q215" s="494" t="s">
        <v>1376</v>
      </c>
      <c r="R215" s="494" t="str">
        <f t="shared" si="35"/>
        <v>I215</v>
      </c>
      <c r="S215" s="494" t="s">
        <v>1377</v>
      </c>
      <c r="T215" s="494">
        <v>5</v>
      </c>
      <c r="U215" s="556" t="str">
        <f t="shared" ca="1" si="30"/>
        <v/>
      </c>
      <c r="V215" s="494">
        <v>6</v>
      </c>
      <c r="W215" s="556" t="str">
        <f t="shared" ca="1" si="31"/>
        <v/>
      </c>
      <c r="X215" s="494" t="s">
        <v>1378</v>
      </c>
      <c r="Y215" s="547" t="str">
        <f t="shared" ca="1" si="32"/>
        <v/>
      </c>
      <c r="Z215" s="494" t="s">
        <v>1379</v>
      </c>
      <c r="AA215" s="547" t="str">
        <f t="shared" ca="1" si="33"/>
        <v/>
      </c>
      <c r="AB215" s="494" t="s">
        <v>1380</v>
      </c>
      <c r="AC215" s="547" t="str">
        <f t="shared" ca="1" si="34"/>
        <v/>
      </c>
      <c r="AD215" s="557"/>
      <c r="AE215" s="958"/>
    </row>
    <row r="216" spans="1:31" ht="15" customHeight="1">
      <c r="A216" s="957">
        <v>57</v>
      </c>
      <c r="B216" s="566" t="s">
        <v>1009</v>
      </c>
      <c r="C216" s="567" t="s">
        <v>1369</v>
      </c>
      <c r="D216" s="958" t="s">
        <v>1422</v>
      </c>
      <c r="E216" s="959" t="s">
        <v>755</v>
      </c>
      <c r="F216" s="558" t="s">
        <v>1399</v>
      </c>
      <c r="G216" s="558">
        <v>312</v>
      </c>
      <c r="H216" s="558" t="s">
        <v>1076</v>
      </c>
      <c r="I216" s="559" t="s">
        <v>1077</v>
      </c>
      <c r="J216" s="567" t="s">
        <v>1372</v>
      </c>
      <c r="K216" s="960" t="s">
        <v>1373</v>
      </c>
      <c r="L216" s="555" t="str">
        <f t="shared" ca="1" si="27"/>
        <v/>
      </c>
      <c r="M216" s="494" t="s">
        <v>1374</v>
      </c>
      <c r="N216" s="555" t="str">
        <f t="shared" ca="1" si="28"/>
        <v/>
      </c>
      <c r="O216" s="494" t="s">
        <v>1375</v>
      </c>
      <c r="P216" s="555" t="str">
        <f t="shared" ca="1" si="29"/>
        <v/>
      </c>
      <c r="Q216" s="494" t="s">
        <v>1376</v>
      </c>
      <c r="R216" s="494" t="str">
        <f t="shared" si="35"/>
        <v>I216</v>
      </c>
      <c r="S216" s="494" t="s">
        <v>1377</v>
      </c>
      <c r="T216" s="494">
        <v>5</v>
      </c>
      <c r="U216" s="556" t="str">
        <f t="shared" ca="1" si="30"/>
        <v/>
      </c>
      <c r="V216" s="494">
        <v>6</v>
      </c>
      <c r="W216" s="556" t="str">
        <f t="shared" ca="1" si="31"/>
        <v/>
      </c>
      <c r="X216" s="494" t="s">
        <v>1378</v>
      </c>
      <c r="Y216" s="547" t="str">
        <f t="shared" ca="1" si="32"/>
        <v/>
      </c>
      <c r="Z216" s="494" t="s">
        <v>1379</v>
      </c>
      <c r="AA216" s="547" t="str">
        <f t="shared" ca="1" si="33"/>
        <v/>
      </c>
      <c r="AB216" s="494" t="s">
        <v>1380</v>
      </c>
      <c r="AC216" s="547" t="str">
        <f t="shared" ca="1" si="34"/>
        <v/>
      </c>
      <c r="AD216" s="557"/>
      <c r="AE216" s="958"/>
    </row>
    <row r="217" spans="1:31" ht="15" customHeight="1">
      <c r="A217" s="957">
        <v>57</v>
      </c>
      <c r="B217" s="566" t="s">
        <v>1009</v>
      </c>
      <c r="C217" s="567" t="s">
        <v>1369</v>
      </c>
      <c r="D217" s="958" t="s">
        <v>1422</v>
      </c>
      <c r="E217" s="959" t="s">
        <v>755</v>
      </c>
      <c r="F217" s="558" t="s">
        <v>1399</v>
      </c>
      <c r="G217" s="558">
        <v>312</v>
      </c>
      <c r="H217" s="558" t="s">
        <v>1076</v>
      </c>
      <c r="I217" s="559" t="s">
        <v>1078</v>
      </c>
      <c r="J217" s="567" t="s">
        <v>1372</v>
      </c>
      <c r="K217" s="960" t="s">
        <v>1373</v>
      </c>
      <c r="L217" s="555" t="str">
        <f t="shared" ca="1" si="27"/>
        <v/>
      </c>
      <c r="M217" s="494" t="s">
        <v>1374</v>
      </c>
      <c r="N217" s="555" t="str">
        <f t="shared" ca="1" si="28"/>
        <v/>
      </c>
      <c r="O217" s="494" t="s">
        <v>1375</v>
      </c>
      <c r="P217" s="555" t="str">
        <f t="shared" ca="1" si="29"/>
        <v/>
      </c>
      <c r="Q217" s="494" t="s">
        <v>1376</v>
      </c>
      <c r="R217" s="494" t="str">
        <f t="shared" si="35"/>
        <v>I217</v>
      </c>
      <c r="S217" s="494" t="s">
        <v>1377</v>
      </c>
      <c r="T217" s="494">
        <v>5</v>
      </c>
      <c r="U217" s="556" t="str">
        <f t="shared" ca="1" si="30"/>
        <v/>
      </c>
      <c r="V217" s="494">
        <v>6</v>
      </c>
      <c r="W217" s="556" t="str">
        <f t="shared" ca="1" si="31"/>
        <v/>
      </c>
      <c r="X217" s="494" t="s">
        <v>1378</v>
      </c>
      <c r="Y217" s="547" t="str">
        <f t="shared" ca="1" si="32"/>
        <v/>
      </c>
      <c r="Z217" s="494" t="s">
        <v>1379</v>
      </c>
      <c r="AA217" s="547" t="str">
        <f t="shared" ca="1" si="33"/>
        <v/>
      </c>
      <c r="AB217" s="494" t="s">
        <v>1380</v>
      </c>
      <c r="AC217" s="547" t="str">
        <f t="shared" ca="1" si="34"/>
        <v/>
      </c>
      <c r="AD217" s="557"/>
      <c r="AE217" s="958"/>
    </row>
    <row r="218" spans="1:31" ht="15" customHeight="1">
      <c r="A218" s="957">
        <v>57</v>
      </c>
      <c r="B218" s="566" t="s">
        <v>1009</v>
      </c>
      <c r="C218" s="567" t="s">
        <v>1369</v>
      </c>
      <c r="D218" s="958" t="s">
        <v>1422</v>
      </c>
      <c r="E218" s="959" t="s">
        <v>755</v>
      </c>
      <c r="F218" s="558" t="s">
        <v>1399</v>
      </c>
      <c r="G218" s="558">
        <v>312</v>
      </c>
      <c r="H218" s="558" t="s">
        <v>1076</v>
      </c>
      <c r="I218" s="559" t="s">
        <v>1416</v>
      </c>
      <c r="J218" s="567" t="s">
        <v>1372</v>
      </c>
      <c r="K218" s="960" t="s">
        <v>1373</v>
      </c>
      <c r="L218" s="555" t="str">
        <f t="shared" ca="1" si="27"/>
        <v/>
      </c>
      <c r="M218" s="494" t="s">
        <v>1374</v>
      </c>
      <c r="N218" s="555" t="str">
        <f t="shared" ca="1" si="28"/>
        <v/>
      </c>
      <c r="O218" s="494" t="s">
        <v>1375</v>
      </c>
      <c r="P218" s="555" t="str">
        <f t="shared" ca="1" si="29"/>
        <v/>
      </c>
      <c r="Q218" s="494" t="s">
        <v>1376</v>
      </c>
      <c r="R218" s="494" t="str">
        <f t="shared" si="35"/>
        <v>I218</v>
      </c>
      <c r="S218" s="494" t="s">
        <v>1377</v>
      </c>
      <c r="T218" s="494">
        <v>5</v>
      </c>
      <c r="U218" s="556" t="str">
        <f t="shared" ca="1" si="30"/>
        <v/>
      </c>
      <c r="V218" s="494">
        <v>6</v>
      </c>
      <c r="W218" s="556" t="str">
        <f t="shared" ca="1" si="31"/>
        <v/>
      </c>
      <c r="X218" s="494" t="s">
        <v>1378</v>
      </c>
      <c r="Y218" s="547" t="str">
        <f t="shared" ca="1" si="32"/>
        <v/>
      </c>
      <c r="Z218" s="494" t="s">
        <v>1379</v>
      </c>
      <c r="AA218" s="547" t="str">
        <f t="shared" ca="1" si="33"/>
        <v/>
      </c>
      <c r="AB218" s="494" t="s">
        <v>1380</v>
      </c>
      <c r="AC218" s="547" t="str">
        <f t="shared" ca="1" si="34"/>
        <v/>
      </c>
      <c r="AD218" s="557"/>
      <c r="AE218" s="958"/>
    </row>
    <row r="219" spans="1:31" ht="15" customHeight="1">
      <c r="A219" s="957">
        <v>57</v>
      </c>
      <c r="B219" s="566" t="s">
        <v>1009</v>
      </c>
      <c r="C219" s="567" t="s">
        <v>1369</v>
      </c>
      <c r="D219" s="958" t="s">
        <v>1422</v>
      </c>
      <c r="E219" s="959" t="s">
        <v>755</v>
      </c>
      <c r="F219" s="558" t="s">
        <v>1399</v>
      </c>
      <c r="G219" s="558">
        <v>303</v>
      </c>
      <c r="H219" s="558" t="s">
        <v>1060</v>
      </c>
      <c r="I219" s="559" t="s">
        <v>783</v>
      </c>
      <c r="J219" s="567" t="s">
        <v>1372</v>
      </c>
      <c r="K219" s="960" t="s">
        <v>1373</v>
      </c>
      <c r="L219" s="555" t="str">
        <f t="shared" ca="1" si="27"/>
        <v/>
      </c>
      <c r="M219" s="494" t="s">
        <v>1374</v>
      </c>
      <c r="N219" s="555" t="str">
        <f t="shared" ca="1" si="28"/>
        <v/>
      </c>
      <c r="O219" s="494" t="s">
        <v>1375</v>
      </c>
      <c r="P219" s="555" t="str">
        <f t="shared" ca="1" si="29"/>
        <v/>
      </c>
      <c r="Q219" s="494" t="s">
        <v>1376</v>
      </c>
      <c r="R219" s="494" t="str">
        <f t="shared" si="35"/>
        <v>I219</v>
      </c>
      <c r="S219" s="494" t="s">
        <v>1377</v>
      </c>
      <c r="T219" s="494">
        <v>5</v>
      </c>
      <c r="U219" s="556" t="str">
        <f t="shared" ca="1" si="30"/>
        <v/>
      </c>
      <c r="V219" s="494">
        <v>6</v>
      </c>
      <c r="W219" s="556" t="str">
        <f t="shared" ca="1" si="31"/>
        <v/>
      </c>
      <c r="X219" s="494" t="s">
        <v>1378</v>
      </c>
      <c r="Y219" s="547" t="str">
        <f t="shared" ca="1" si="32"/>
        <v/>
      </c>
      <c r="Z219" s="494" t="s">
        <v>1379</v>
      </c>
      <c r="AA219" s="547" t="str">
        <f t="shared" ca="1" si="33"/>
        <v/>
      </c>
      <c r="AB219" s="494" t="s">
        <v>1380</v>
      </c>
      <c r="AC219" s="547" t="str">
        <f t="shared" ca="1" si="34"/>
        <v/>
      </c>
      <c r="AD219" s="557"/>
      <c r="AE219" s="958"/>
    </row>
    <row r="220" spans="1:31" ht="15" customHeight="1">
      <c r="A220" s="957">
        <v>57</v>
      </c>
      <c r="B220" s="566" t="s">
        <v>1009</v>
      </c>
      <c r="C220" s="567" t="s">
        <v>1369</v>
      </c>
      <c r="D220" s="958" t="s">
        <v>1422</v>
      </c>
      <c r="E220" s="959" t="s">
        <v>755</v>
      </c>
      <c r="F220" s="558" t="s">
        <v>1399</v>
      </c>
      <c r="G220" s="558">
        <v>303</v>
      </c>
      <c r="H220" s="558" t="s">
        <v>1060</v>
      </c>
      <c r="I220" s="559" t="s">
        <v>784</v>
      </c>
      <c r="J220" s="567" t="s">
        <v>1372</v>
      </c>
      <c r="K220" s="960" t="s">
        <v>1373</v>
      </c>
      <c r="L220" s="555" t="str">
        <f t="shared" ca="1" si="27"/>
        <v/>
      </c>
      <c r="M220" s="494" t="s">
        <v>1374</v>
      </c>
      <c r="N220" s="555" t="str">
        <f t="shared" ca="1" si="28"/>
        <v/>
      </c>
      <c r="O220" s="494" t="s">
        <v>1375</v>
      </c>
      <c r="P220" s="555" t="str">
        <f t="shared" ca="1" si="29"/>
        <v/>
      </c>
      <c r="Q220" s="494" t="s">
        <v>1376</v>
      </c>
      <c r="R220" s="494" t="str">
        <f t="shared" si="35"/>
        <v>I220</v>
      </c>
      <c r="S220" s="494" t="s">
        <v>1377</v>
      </c>
      <c r="T220" s="494">
        <v>5</v>
      </c>
      <c r="U220" s="556" t="str">
        <f t="shared" ca="1" si="30"/>
        <v/>
      </c>
      <c r="V220" s="494">
        <v>6</v>
      </c>
      <c r="W220" s="556" t="str">
        <f t="shared" ca="1" si="31"/>
        <v/>
      </c>
      <c r="X220" s="494" t="s">
        <v>1378</v>
      </c>
      <c r="Y220" s="547" t="str">
        <f t="shared" ca="1" si="32"/>
        <v/>
      </c>
      <c r="Z220" s="494" t="s">
        <v>1379</v>
      </c>
      <c r="AA220" s="547" t="str">
        <f t="shared" ca="1" si="33"/>
        <v/>
      </c>
      <c r="AB220" s="494" t="s">
        <v>1380</v>
      </c>
      <c r="AC220" s="547" t="str">
        <f t="shared" ca="1" si="34"/>
        <v/>
      </c>
      <c r="AD220" s="557"/>
      <c r="AE220" s="958"/>
    </row>
    <row r="221" spans="1:31" ht="15" customHeight="1">
      <c r="A221" s="957">
        <v>57</v>
      </c>
      <c r="B221" s="566" t="s">
        <v>1009</v>
      </c>
      <c r="C221" s="567" t="s">
        <v>1369</v>
      </c>
      <c r="D221" s="958" t="s">
        <v>1422</v>
      </c>
      <c r="E221" s="959" t="s">
        <v>755</v>
      </c>
      <c r="F221" s="558" t="s">
        <v>1399</v>
      </c>
      <c r="G221" s="558">
        <v>304</v>
      </c>
      <c r="H221" s="558" t="s">
        <v>1062</v>
      </c>
      <c r="I221" s="559" t="s">
        <v>515</v>
      </c>
      <c r="J221" s="567" t="s">
        <v>1372</v>
      </c>
      <c r="K221" s="960" t="s">
        <v>1373</v>
      </c>
      <c r="L221" s="555" t="str">
        <f t="shared" ca="1" si="27"/>
        <v/>
      </c>
      <c r="M221" s="494" t="s">
        <v>1374</v>
      </c>
      <c r="N221" s="555" t="str">
        <f t="shared" ca="1" si="28"/>
        <v/>
      </c>
      <c r="O221" s="494" t="s">
        <v>1375</v>
      </c>
      <c r="P221" s="555" t="str">
        <f t="shared" ca="1" si="29"/>
        <v/>
      </c>
      <c r="Q221" s="494" t="s">
        <v>1376</v>
      </c>
      <c r="R221" s="494" t="str">
        <f t="shared" si="35"/>
        <v>I221</v>
      </c>
      <c r="S221" s="494" t="s">
        <v>1377</v>
      </c>
      <c r="T221" s="494">
        <v>5</v>
      </c>
      <c r="U221" s="556" t="str">
        <f t="shared" ca="1" si="30"/>
        <v/>
      </c>
      <c r="V221" s="494">
        <v>6</v>
      </c>
      <c r="W221" s="556" t="str">
        <f t="shared" ca="1" si="31"/>
        <v/>
      </c>
      <c r="X221" s="494" t="s">
        <v>1378</v>
      </c>
      <c r="Y221" s="547" t="str">
        <f t="shared" ca="1" si="32"/>
        <v/>
      </c>
      <c r="Z221" s="494" t="s">
        <v>1379</v>
      </c>
      <c r="AA221" s="547" t="str">
        <f t="shared" ca="1" si="33"/>
        <v/>
      </c>
      <c r="AB221" s="494" t="s">
        <v>1380</v>
      </c>
      <c r="AC221" s="547" t="str">
        <f t="shared" ca="1" si="34"/>
        <v/>
      </c>
      <c r="AD221" s="557"/>
      <c r="AE221" s="958"/>
    </row>
    <row r="222" spans="1:31" ht="15" customHeight="1">
      <c r="A222" s="957">
        <v>57</v>
      </c>
      <c r="B222" s="566" t="s">
        <v>1009</v>
      </c>
      <c r="C222" s="567" t="s">
        <v>1369</v>
      </c>
      <c r="D222" s="958" t="s">
        <v>1422</v>
      </c>
      <c r="E222" s="959" t="s">
        <v>755</v>
      </c>
      <c r="F222" s="558" t="s">
        <v>1399</v>
      </c>
      <c r="G222" s="558">
        <v>305</v>
      </c>
      <c r="H222" s="558" t="s">
        <v>1063</v>
      </c>
      <c r="I222" s="559" t="s">
        <v>409</v>
      </c>
      <c r="J222" s="567" t="s">
        <v>1372</v>
      </c>
      <c r="K222" s="960" t="s">
        <v>1373</v>
      </c>
      <c r="L222" s="555" t="str">
        <f t="shared" ca="1" si="27"/>
        <v/>
      </c>
      <c r="M222" s="494" t="s">
        <v>1374</v>
      </c>
      <c r="N222" s="555" t="str">
        <f t="shared" ca="1" si="28"/>
        <v/>
      </c>
      <c r="O222" s="494" t="s">
        <v>1375</v>
      </c>
      <c r="P222" s="555" t="str">
        <f t="shared" ca="1" si="29"/>
        <v/>
      </c>
      <c r="Q222" s="494" t="s">
        <v>1376</v>
      </c>
      <c r="R222" s="494" t="str">
        <f t="shared" si="35"/>
        <v>I222</v>
      </c>
      <c r="S222" s="494" t="s">
        <v>1377</v>
      </c>
      <c r="T222" s="494">
        <v>5</v>
      </c>
      <c r="U222" s="556" t="str">
        <f t="shared" ca="1" si="30"/>
        <v/>
      </c>
      <c r="V222" s="494">
        <v>6</v>
      </c>
      <c r="W222" s="556" t="str">
        <f t="shared" ca="1" si="31"/>
        <v/>
      </c>
      <c r="X222" s="494" t="s">
        <v>1378</v>
      </c>
      <c r="Y222" s="547" t="str">
        <f t="shared" ca="1" si="32"/>
        <v/>
      </c>
      <c r="Z222" s="494" t="s">
        <v>1379</v>
      </c>
      <c r="AA222" s="547" t="str">
        <f t="shared" ca="1" si="33"/>
        <v/>
      </c>
      <c r="AB222" s="494" t="s">
        <v>1380</v>
      </c>
      <c r="AC222" s="547" t="str">
        <f t="shared" ca="1" si="34"/>
        <v/>
      </c>
      <c r="AD222" s="557"/>
      <c r="AE222" s="958"/>
    </row>
    <row r="223" spans="1:31" ht="15" customHeight="1">
      <c r="A223" s="957">
        <v>57</v>
      </c>
      <c r="B223" s="566" t="s">
        <v>1009</v>
      </c>
      <c r="C223" s="567" t="s">
        <v>1369</v>
      </c>
      <c r="D223" s="958" t="s">
        <v>1422</v>
      </c>
      <c r="E223" s="959" t="s">
        <v>755</v>
      </c>
      <c r="F223" s="558" t="s">
        <v>1399</v>
      </c>
      <c r="G223" s="558">
        <v>382</v>
      </c>
      <c r="H223" s="558" t="s">
        <v>1064</v>
      </c>
      <c r="I223" s="559" t="s">
        <v>1417</v>
      </c>
      <c r="J223" s="567" t="s">
        <v>1372</v>
      </c>
      <c r="K223" s="960" t="s">
        <v>1373</v>
      </c>
      <c r="L223" s="555" t="str">
        <f t="shared" ca="1" si="27"/>
        <v/>
      </c>
      <c r="M223" s="494" t="s">
        <v>1374</v>
      </c>
      <c r="N223" s="555" t="str">
        <f t="shared" ca="1" si="28"/>
        <v/>
      </c>
      <c r="O223" s="494" t="s">
        <v>1375</v>
      </c>
      <c r="P223" s="555" t="str">
        <f t="shared" ca="1" si="29"/>
        <v/>
      </c>
      <c r="Q223" s="494" t="s">
        <v>1376</v>
      </c>
      <c r="R223" s="494" t="str">
        <f t="shared" si="35"/>
        <v>I223</v>
      </c>
      <c r="S223" s="494" t="s">
        <v>1377</v>
      </c>
      <c r="T223" s="494">
        <v>5</v>
      </c>
      <c r="U223" s="556" t="str">
        <f t="shared" ca="1" si="30"/>
        <v/>
      </c>
      <c r="V223" s="494">
        <v>6</v>
      </c>
      <c r="W223" s="556" t="str">
        <f t="shared" ca="1" si="31"/>
        <v/>
      </c>
      <c r="X223" s="494" t="s">
        <v>1378</v>
      </c>
      <c r="Y223" s="547" t="str">
        <f t="shared" ca="1" si="32"/>
        <v/>
      </c>
      <c r="Z223" s="494" t="s">
        <v>1379</v>
      </c>
      <c r="AA223" s="547" t="str">
        <f t="shared" ca="1" si="33"/>
        <v/>
      </c>
      <c r="AB223" s="494" t="s">
        <v>1380</v>
      </c>
      <c r="AC223" s="547" t="str">
        <f t="shared" ca="1" si="34"/>
        <v/>
      </c>
      <c r="AD223" s="557"/>
      <c r="AE223" s="958"/>
    </row>
    <row r="224" spans="1:31" ht="15" customHeight="1">
      <c r="A224" s="957">
        <v>57</v>
      </c>
      <c r="B224" s="566" t="s">
        <v>1009</v>
      </c>
      <c r="C224" s="567" t="s">
        <v>1369</v>
      </c>
      <c r="D224" s="958" t="s">
        <v>1422</v>
      </c>
      <c r="E224" s="959" t="s">
        <v>755</v>
      </c>
      <c r="F224" s="558" t="s">
        <v>1399</v>
      </c>
      <c r="G224" s="558">
        <v>383</v>
      </c>
      <c r="H224" s="558" t="s">
        <v>1065</v>
      </c>
      <c r="I224" s="559" t="s">
        <v>1418</v>
      </c>
      <c r="J224" s="567" t="s">
        <v>1372</v>
      </c>
      <c r="K224" s="960" t="s">
        <v>1373</v>
      </c>
      <c r="L224" s="555" t="str">
        <f t="shared" ca="1" si="27"/>
        <v/>
      </c>
      <c r="M224" s="494" t="s">
        <v>1374</v>
      </c>
      <c r="N224" s="555" t="str">
        <f t="shared" ca="1" si="28"/>
        <v/>
      </c>
      <c r="O224" s="494" t="s">
        <v>1375</v>
      </c>
      <c r="P224" s="555" t="str">
        <f t="shared" ca="1" si="29"/>
        <v/>
      </c>
      <c r="Q224" s="494" t="s">
        <v>1376</v>
      </c>
      <c r="R224" s="494" t="str">
        <f t="shared" si="35"/>
        <v>I224</v>
      </c>
      <c r="S224" s="494" t="s">
        <v>1377</v>
      </c>
      <c r="T224" s="494">
        <v>5</v>
      </c>
      <c r="U224" s="556" t="str">
        <f t="shared" ca="1" si="30"/>
        <v/>
      </c>
      <c r="V224" s="494">
        <v>6</v>
      </c>
      <c r="W224" s="556" t="str">
        <f t="shared" ca="1" si="31"/>
        <v/>
      </c>
      <c r="X224" s="494" t="s">
        <v>1378</v>
      </c>
      <c r="Y224" s="547" t="str">
        <f t="shared" ca="1" si="32"/>
        <v/>
      </c>
      <c r="Z224" s="494" t="s">
        <v>1379</v>
      </c>
      <c r="AA224" s="547" t="str">
        <f t="shared" ca="1" si="33"/>
        <v/>
      </c>
      <c r="AB224" s="494" t="s">
        <v>1380</v>
      </c>
      <c r="AC224" s="547" t="str">
        <f t="shared" ca="1" si="34"/>
        <v/>
      </c>
      <c r="AD224" s="557"/>
      <c r="AE224" s="958"/>
    </row>
    <row r="225" spans="1:31" ht="15" customHeight="1">
      <c r="A225" s="957">
        <v>57</v>
      </c>
      <c r="B225" s="566" t="s">
        <v>1009</v>
      </c>
      <c r="C225" s="567" t="s">
        <v>1369</v>
      </c>
      <c r="D225" s="958" t="s">
        <v>1422</v>
      </c>
      <c r="E225" s="959" t="s">
        <v>755</v>
      </c>
      <c r="F225" s="558" t="s">
        <v>1399</v>
      </c>
      <c r="G225" s="558">
        <v>383</v>
      </c>
      <c r="H225" s="558" t="s">
        <v>1065</v>
      </c>
      <c r="I225" s="559" t="s">
        <v>1419</v>
      </c>
      <c r="J225" s="567" t="s">
        <v>1372</v>
      </c>
      <c r="K225" s="960" t="s">
        <v>1373</v>
      </c>
      <c r="L225" s="555" t="str">
        <f t="shared" ca="1" si="27"/>
        <v/>
      </c>
      <c r="M225" s="494" t="s">
        <v>1374</v>
      </c>
      <c r="N225" s="555" t="str">
        <f t="shared" ca="1" si="28"/>
        <v/>
      </c>
      <c r="O225" s="494" t="s">
        <v>1375</v>
      </c>
      <c r="P225" s="555" t="str">
        <f t="shared" ca="1" si="29"/>
        <v/>
      </c>
      <c r="Q225" s="494" t="s">
        <v>1376</v>
      </c>
      <c r="R225" s="494" t="str">
        <f t="shared" si="35"/>
        <v>I225</v>
      </c>
      <c r="S225" s="494" t="s">
        <v>1377</v>
      </c>
      <c r="T225" s="494">
        <v>5</v>
      </c>
      <c r="U225" s="556" t="str">
        <f t="shared" ca="1" si="30"/>
        <v/>
      </c>
      <c r="V225" s="494">
        <v>6</v>
      </c>
      <c r="W225" s="556" t="str">
        <f t="shared" ca="1" si="31"/>
        <v/>
      </c>
      <c r="X225" s="494" t="s">
        <v>1378</v>
      </c>
      <c r="Y225" s="547" t="str">
        <f t="shared" ca="1" si="32"/>
        <v/>
      </c>
      <c r="Z225" s="494" t="s">
        <v>1379</v>
      </c>
      <c r="AA225" s="547" t="str">
        <f t="shared" ca="1" si="33"/>
        <v/>
      </c>
      <c r="AB225" s="494" t="s">
        <v>1380</v>
      </c>
      <c r="AC225" s="547" t="str">
        <f t="shared" ca="1" si="34"/>
        <v/>
      </c>
      <c r="AD225" s="557"/>
      <c r="AE225" s="958"/>
    </row>
    <row r="226" spans="1:31" ht="15" customHeight="1">
      <c r="A226" s="957">
        <v>57</v>
      </c>
      <c r="B226" s="566" t="s">
        <v>1009</v>
      </c>
      <c r="C226" s="567" t="s">
        <v>1369</v>
      </c>
      <c r="D226" s="958" t="s">
        <v>1422</v>
      </c>
      <c r="E226" s="959" t="s">
        <v>755</v>
      </c>
      <c r="F226" s="558" t="s">
        <v>1399</v>
      </c>
      <c r="G226" s="558">
        <v>308</v>
      </c>
      <c r="H226" s="558" t="s">
        <v>1066</v>
      </c>
      <c r="I226" s="559" t="s">
        <v>1068</v>
      </c>
      <c r="J226" s="567" t="s">
        <v>1372</v>
      </c>
      <c r="K226" s="960" t="s">
        <v>1373</v>
      </c>
      <c r="L226" s="555" t="str">
        <f t="shared" ca="1" si="27"/>
        <v/>
      </c>
      <c r="M226" s="494" t="s">
        <v>1374</v>
      </c>
      <c r="N226" s="555" t="str">
        <f t="shared" ca="1" si="28"/>
        <v/>
      </c>
      <c r="O226" s="494" t="s">
        <v>1375</v>
      </c>
      <c r="P226" s="555" t="str">
        <f t="shared" ca="1" si="29"/>
        <v/>
      </c>
      <c r="Q226" s="494" t="s">
        <v>1376</v>
      </c>
      <c r="R226" s="494" t="str">
        <f t="shared" si="35"/>
        <v>I226</v>
      </c>
      <c r="S226" s="494" t="s">
        <v>1377</v>
      </c>
      <c r="T226" s="494">
        <v>5</v>
      </c>
      <c r="U226" s="556" t="str">
        <f t="shared" ca="1" si="30"/>
        <v/>
      </c>
      <c r="V226" s="494">
        <v>6</v>
      </c>
      <c r="W226" s="556" t="str">
        <f t="shared" ca="1" si="31"/>
        <v/>
      </c>
      <c r="X226" s="494" t="s">
        <v>1378</v>
      </c>
      <c r="Y226" s="547" t="str">
        <f t="shared" ca="1" si="32"/>
        <v/>
      </c>
      <c r="Z226" s="494" t="s">
        <v>1379</v>
      </c>
      <c r="AA226" s="547" t="str">
        <f t="shared" ca="1" si="33"/>
        <v/>
      </c>
      <c r="AB226" s="494" t="s">
        <v>1380</v>
      </c>
      <c r="AC226" s="547" t="str">
        <f t="shared" ca="1" si="34"/>
        <v/>
      </c>
      <c r="AD226" s="557"/>
      <c r="AE226" s="958"/>
    </row>
    <row r="227" spans="1:31" ht="15" customHeight="1">
      <c r="A227" s="957">
        <v>57</v>
      </c>
      <c r="B227" s="566" t="s">
        <v>1009</v>
      </c>
      <c r="C227" s="567" t="s">
        <v>1369</v>
      </c>
      <c r="D227" s="958" t="s">
        <v>1422</v>
      </c>
      <c r="E227" s="959" t="s">
        <v>755</v>
      </c>
      <c r="F227" s="558" t="s">
        <v>1399</v>
      </c>
      <c r="G227" s="558">
        <v>309</v>
      </c>
      <c r="H227" s="558" t="s">
        <v>1069</v>
      </c>
      <c r="I227" s="559" t="s">
        <v>1070</v>
      </c>
      <c r="J227" s="567" t="s">
        <v>1372</v>
      </c>
      <c r="K227" s="960" t="s">
        <v>1373</v>
      </c>
      <c r="L227" s="555" t="str">
        <f t="shared" ca="1" si="27"/>
        <v/>
      </c>
      <c r="M227" s="494" t="s">
        <v>1374</v>
      </c>
      <c r="N227" s="555" t="str">
        <f t="shared" ca="1" si="28"/>
        <v/>
      </c>
      <c r="O227" s="494" t="s">
        <v>1375</v>
      </c>
      <c r="P227" s="555" t="str">
        <f t="shared" ca="1" si="29"/>
        <v/>
      </c>
      <c r="Q227" s="494" t="s">
        <v>1376</v>
      </c>
      <c r="R227" s="494" t="str">
        <f t="shared" si="35"/>
        <v>I227</v>
      </c>
      <c r="S227" s="494" t="s">
        <v>1377</v>
      </c>
      <c r="T227" s="494">
        <v>5</v>
      </c>
      <c r="U227" s="556" t="str">
        <f t="shared" ca="1" si="30"/>
        <v/>
      </c>
      <c r="V227" s="494">
        <v>6</v>
      </c>
      <c r="W227" s="556" t="str">
        <f t="shared" ca="1" si="31"/>
        <v/>
      </c>
      <c r="X227" s="494" t="s">
        <v>1378</v>
      </c>
      <c r="Y227" s="547" t="str">
        <f t="shared" ca="1" si="32"/>
        <v/>
      </c>
      <c r="Z227" s="494" t="s">
        <v>1379</v>
      </c>
      <c r="AA227" s="547" t="str">
        <f t="shared" ca="1" si="33"/>
        <v/>
      </c>
      <c r="AB227" s="494" t="s">
        <v>1380</v>
      </c>
      <c r="AC227" s="547" t="str">
        <f t="shared" ca="1" si="34"/>
        <v/>
      </c>
      <c r="AD227" s="557"/>
      <c r="AE227" s="958"/>
    </row>
    <row r="228" spans="1:31" ht="15" customHeight="1">
      <c r="A228" s="957">
        <v>57</v>
      </c>
      <c r="B228" s="566" t="s">
        <v>1009</v>
      </c>
      <c r="C228" s="567" t="s">
        <v>1369</v>
      </c>
      <c r="D228" s="958" t="s">
        <v>1422</v>
      </c>
      <c r="E228" s="959" t="s">
        <v>755</v>
      </c>
      <c r="F228" s="558" t="s">
        <v>1399</v>
      </c>
      <c r="G228" s="558">
        <v>309</v>
      </c>
      <c r="H228" s="558" t="s">
        <v>1069</v>
      </c>
      <c r="I228" s="559" t="s">
        <v>1071</v>
      </c>
      <c r="J228" s="567" t="s">
        <v>1372</v>
      </c>
      <c r="K228" s="960" t="s">
        <v>1373</v>
      </c>
      <c r="L228" s="555" t="str">
        <f t="shared" ca="1" si="27"/>
        <v/>
      </c>
      <c r="M228" s="494" t="s">
        <v>1374</v>
      </c>
      <c r="N228" s="555" t="str">
        <f t="shared" ca="1" si="28"/>
        <v/>
      </c>
      <c r="O228" s="494" t="s">
        <v>1375</v>
      </c>
      <c r="P228" s="555" t="str">
        <f t="shared" ca="1" si="29"/>
        <v/>
      </c>
      <c r="Q228" s="494" t="s">
        <v>1376</v>
      </c>
      <c r="R228" s="494" t="str">
        <f t="shared" si="35"/>
        <v>I228</v>
      </c>
      <c r="S228" s="494" t="s">
        <v>1377</v>
      </c>
      <c r="T228" s="494">
        <v>5</v>
      </c>
      <c r="U228" s="556" t="str">
        <f t="shared" ca="1" si="30"/>
        <v/>
      </c>
      <c r="V228" s="494">
        <v>6</v>
      </c>
      <c r="W228" s="556" t="str">
        <f t="shared" ca="1" si="31"/>
        <v/>
      </c>
      <c r="X228" s="494" t="s">
        <v>1378</v>
      </c>
      <c r="Y228" s="547" t="str">
        <f t="shared" ca="1" si="32"/>
        <v/>
      </c>
      <c r="Z228" s="494" t="s">
        <v>1379</v>
      </c>
      <c r="AA228" s="547" t="str">
        <f t="shared" ca="1" si="33"/>
        <v/>
      </c>
      <c r="AB228" s="494" t="s">
        <v>1380</v>
      </c>
      <c r="AC228" s="547" t="str">
        <f t="shared" ca="1" si="34"/>
        <v/>
      </c>
      <c r="AD228" s="557"/>
      <c r="AE228" s="958"/>
    </row>
    <row r="229" spans="1:31" ht="15" customHeight="1">
      <c r="A229" s="957">
        <v>57</v>
      </c>
      <c r="B229" s="566" t="s">
        <v>1009</v>
      </c>
      <c r="C229" s="567" t="s">
        <v>1369</v>
      </c>
      <c r="D229" s="958" t="s">
        <v>1422</v>
      </c>
      <c r="E229" s="959" t="s">
        <v>755</v>
      </c>
      <c r="F229" s="558" t="s">
        <v>1399</v>
      </c>
      <c r="G229" s="558">
        <v>309</v>
      </c>
      <c r="H229" s="558" t="s">
        <v>1069</v>
      </c>
      <c r="I229" s="559" t="s">
        <v>1420</v>
      </c>
      <c r="J229" s="567" t="s">
        <v>1372</v>
      </c>
      <c r="K229" s="960" t="s">
        <v>1373</v>
      </c>
      <c r="L229" s="555" t="str">
        <f t="shared" ca="1" si="27"/>
        <v/>
      </c>
      <c r="M229" s="494" t="s">
        <v>1374</v>
      </c>
      <c r="N229" s="555" t="str">
        <f t="shared" ca="1" si="28"/>
        <v/>
      </c>
      <c r="O229" s="494" t="s">
        <v>1375</v>
      </c>
      <c r="P229" s="555" t="str">
        <f t="shared" ca="1" si="29"/>
        <v/>
      </c>
      <c r="Q229" s="494" t="s">
        <v>1376</v>
      </c>
      <c r="R229" s="494" t="str">
        <f t="shared" si="35"/>
        <v>I229</v>
      </c>
      <c r="S229" s="494" t="s">
        <v>1377</v>
      </c>
      <c r="T229" s="494">
        <v>5</v>
      </c>
      <c r="U229" s="556" t="str">
        <f t="shared" ca="1" si="30"/>
        <v/>
      </c>
      <c r="V229" s="494">
        <v>6</v>
      </c>
      <c r="W229" s="556" t="str">
        <f t="shared" ca="1" si="31"/>
        <v/>
      </c>
      <c r="X229" s="494" t="s">
        <v>1378</v>
      </c>
      <c r="Y229" s="547" t="str">
        <f t="shared" ca="1" si="32"/>
        <v/>
      </c>
      <c r="Z229" s="494" t="s">
        <v>1379</v>
      </c>
      <c r="AA229" s="547" t="str">
        <f t="shared" ca="1" si="33"/>
        <v/>
      </c>
      <c r="AB229" s="494" t="s">
        <v>1380</v>
      </c>
      <c r="AC229" s="547" t="str">
        <f t="shared" ca="1" si="34"/>
        <v/>
      </c>
      <c r="AD229" s="557"/>
      <c r="AE229" s="958"/>
    </row>
    <row r="230" spans="1:31" ht="15" customHeight="1">
      <c r="A230" s="957">
        <v>57</v>
      </c>
      <c r="B230" s="566" t="s">
        <v>1009</v>
      </c>
      <c r="C230" s="567" t="s">
        <v>1369</v>
      </c>
      <c r="D230" s="958" t="s">
        <v>1422</v>
      </c>
      <c r="E230" s="959" t="s">
        <v>755</v>
      </c>
      <c r="F230" s="558" t="s">
        <v>1399</v>
      </c>
      <c r="G230" s="558">
        <v>310</v>
      </c>
      <c r="H230" s="558" t="s">
        <v>1072</v>
      </c>
      <c r="I230" s="559" t="s">
        <v>1073</v>
      </c>
      <c r="J230" s="567" t="s">
        <v>1372</v>
      </c>
      <c r="K230" s="960" t="s">
        <v>1373</v>
      </c>
      <c r="L230" s="555" t="str">
        <f t="shared" ca="1" si="27"/>
        <v/>
      </c>
      <c r="M230" s="494" t="s">
        <v>1374</v>
      </c>
      <c r="N230" s="555" t="str">
        <f t="shared" ca="1" si="28"/>
        <v/>
      </c>
      <c r="O230" s="494" t="s">
        <v>1375</v>
      </c>
      <c r="P230" s="555" t="str">
        <f t="shared" ca="1" si="29"/>
        <v/>
      </c>
      <c r="Q230" s="494" t="s">
        <v>1376</v>
      </c>
      <c r="R230" s="494" t="str">
        <f t="shared" si="35"/>
        <v>I230</v>
      </c>
      <c r="S230" s="494" t="s">
        <v>1377</v>
      </c>
      <c r="T230" s="494">
        <v>5</v>
      </c>
      <c r="U230" s="556" t="str">
        <f t="shared" ca="1" si="30"/>
        <v/>
      </c>
      <c r="V230" s="494">
        <v>6</v>
      </c>
      <c r="W230" s="556" t="str">
        <f t="shared" ca="1" si="31"/>
        <v/>
      </c>
      <c r="X230" s="494" t="s">
        <v>1378</v>
      </c>
      <c r="Y230" s="547" t="str">
        <f t="shared" ca="1" si="32"/>
        <v/>
      </c>
      <c r="Z230" s="494" t="s">
        <v>1379</v>
      </c>
      <c r="AA230" s="547" t="str">
        <f t="shared" ca="1" si="33"/>
        <v/>
      </c>
      <c r="AB230" s="494" t="s">
        <v>1380</v>
      </c>
      <c r="AC230" s="547" t="str">
        <f t="shared" ca="1" si="34"/>
        <v/>
      </c>
      <c r="AD230" s="557"/>
      <c r="AE230" s="958"/>
    </row>
    <row r="231" spans="1:31" ht="15" customHeight="1">
      <c r="A231" s="957">
        <v>57</v>
      </c>
      <c r="B231" s="566" t="s">
        <v>1009</v>
      </c>
      <c r="C231" s="567" t="s">
        <v>1369</v>
      </c>
      <c r="D231" s="958" t="s">
        <v>1422</v>
      </c>
      <c r="E231" s="959" t="s">
        <v>755</v>
      </c>
      <c r="F231" s="558" t="s">
        <v>1399</v>
      </c>
      <c r="G231" s="558">
        <v>310</v>
      </c>
      <c r="H231" s="558" t="s">
        <v>1072</v>
      </c>
      <c r="I231" s="559" t="s">
        <v>1421</v>
      </c>
      <c r="J231" s="567" t="s">
        <v>1372</v>
      </c>
      <c r="K231" s="960" t="s">
        <v>1373</v>
      </c>
      <c r="L231" s="555" t="str">
        <f t="shared" ca="1" si="27"/>
        <v/>
      </c>
      <c r="M231" s="494" t="s">
        <v>1374</v>
      </c>
      <c r="N231" s="555" t="str">
        <f t="shared" ca="1" si="28"/>
        <v/>
      </c>
      <c r="O231" s="494" t="s">
        <v>1375</v>
      </c>
      <c r="P231" s="555" t="str">
        <f t="shared" ca="1" si="29"/>
        <v/>
      </c>
      <c r="Q231" s="494" t="s">
        <v>1376</v>
      </c>
      <c r="R231" s="494" t="str">
        <f t="shared" si="35"/>
        <v>I231</v>
      </c>
      <c r="S231" s="494" t="s">
        <v>1377</v>
      </c>
      <c r="T231" s="494">
        <v>5</v>
      </c>
      <c r="U231" s="556" t="str">
        <f t="shared" ca="1" si="30"/>
        <v/>
      </c>
      <c r="V231" s="494">
        <v>6</v>
      </c>
      <c r="W231" s="556" t="str">
        <f t="shared" ca="1" si="31"/>
        <v/>
      </c>
      <c r="X231" s="494" t="s">
        <v>1378</v>
      </c>
      <c r="Y231" s="547" t="str">
        <f t="shared" ca="1" si="32"/>
        <v/>
      </c>
      <c r="Z231" s="494" t="s">
        <v>1379</v>
      </c>
      <c r="AA231" s="547" t="str">
        <f t="shared" ca="1" si="33"/>
        <v/>
      </c>
      <c r="AB231" s="494" t="s">
        <v>1380</v>
      </c>
      <c r="AC231" s="547" t="str">
        <f t="shared" ca="1" si="34"/>
        <v/>
      </c>
      <c r="AD231" s="557"/>
      <c r="AE231" s="958"/>
    </row>
    <row r="232" spans="1:31" ht="15" customHeight="1">
      <c r="A232" s="957">
        <v>61</v>
      </c>
      <c r="B232" s="566" t="s">
        <v>653</v>
      </c>
      <c r="C232" s="567" t="s">
        <v>1369</v>
      </c>
      <c r="D232" s="958">
        <v>1</v>
      </c>
      <c r="E232" s="959" t="s">
        <v>659</v>
      </c>
      <c r="F232" s="558" t="s">
        <v>1371</v>
      </c>
      <c r="G232" s="558">
        <v>746</v>
      </c>
      <c r="H232" s="558">
        <v>1</v>
      </c>
      <c r="I232" s="559" t="s">
        <v>257</v>
      </c>
      <c r="J232" s="567" t="s">
        <v>1423</v>
      </c>
      <c r="K232" s="961" t="s">
        <v>1373</v>
      </c>
      <c r="L232" s="555" t="str">
        <f t="shared" ca="1" si="27"/>
        <v/>
      </c>
      <c r="M232" s="494" t="s">
        <v>1374</v>
      </c>
      <c r="N232" s="555" t="str">
        <f t="shared" ca="1" si="28"/>
        <v/>
      </c>
      <c r="O232" s="494" t="s">
        <v>1375</v>
      </c>
      <c r="P232" s="555" t="str">
        <f t="shared" ca="1" si="29"/>
        <v/>
      </c>
      <c r="Q232" s="494" t="s">
        <v>1424</v>
      </c>
      <c r="R232" s="494" t="str">
        <f>CONCATENATE("H",ROW(J232))</f>
        <v>H232</v>
      </c>
      <c r="S232" s="494" t="s">
        <v>1425</v>
      </c>
      <c r="T232" s="494">
        <v>6</v>
      </c>
      <c r="U232" s="556" t="str">
        <f t="shared" ca="1" si="30"/>
        <v/>
      </c>
      <c r="V232" s="494">
        <v>7</v>
      </c>
      <c r="W232" s="556" t="str">
        <f t="shared" ca="1" si="31"/>
        <v/>
      </c>
      <c r="X232" s="494" t="s">
        <v>1426</v>
      </c>
      <c r="Y232" s="547" t="str">
        <f t="shared" ca="1" si="32"/>
        <v/>
      </c>
      <c r="Z232" s="494" t="s">
        <v>1427</v>
      </c>
      <c r="AA232" s="547" t="str">
        <f t="shared" ca="1" si="33"/>
        <v/>
      </c>
      <c r="AB232" s="494" t="s">
        <v>1428</v>
      </c>
      <c r="AC232" s="547" t="str">
        <f t="shared" ca="1" si="34"/>
        <v/>
      </c>
      <c r="AD232" s="557"/>
      <c r="AE232" s="958"/>
    </row>
    <row r="233" spans="1:31" ht="15" customHeight="1">
      <c r="A233" s="957">
        <v>61</v>
      </c>
      <c r="B233" s="566" t="s">
        <v>653</v>
      </c>
      <c r="C233" s="567" t="s">
        <v>1369</v>
      </c>
      <c r="D233" s="958">
        <v>1</v>
      </c>
      <c r="E233" s="959" t="s">
        <v>659</v>
      </c>
      <c r="F233" s="558" t="s">
        <v>1371</v>
      </c>
      <c r="G233" s="558">
        <v>747</v>
      </c>
      <c r="H233" s="558">
        <v>2.1</v>
      </c>
      <c r="I233" s="559" t="s">
        <v>661</v>
      </c>
      <c r="J233" s="567" t="s">
        <v>1423</v>
      </c>
      <c r="K233" s="961" t="s">
        <v>1373</v>
      </c>
      <c r="L233" s="555" t="str">
        <f t="shared" ca="1" si="27"/>
        <v/>
      </c>
      <c r="M233" s="494" t="s">
        <v>1374</v>
      </c>
      <c r="N233" s="555" t="str">
        <f t="shared" ca="1" si="28"/>
        <v/>
      </c>
      <c r="O233" s="494" t="s">
        <v>1375</v>
      </c>
      <c r="P233" s="555" t="str">
        <f t="shared" ca="1" si="29"/>
        <v/>
      </c>
      <c r="Q233" s="494" t="s">
        <v>1424</v>
      </c>
      <c r="R233" s="494" t="str">
        <f t="shared" ref="R233:R296" si="36">CONCATENATE("H",ROW(J233))</f>
        <v>H233</v>
      </c>
      <c r="S233" s="494" t="s">
        <v>1425</v>
      </c>
      <c r="T233" s="494">
        <v>6</v>
      </c>
      <c r="U233" s="556" t="str">
        <f t="shared" ca="1" si="30"/>
        <v/>
      </c>
      <c r="V233" s="494">
        <v>7</v>
      </c>
      <c r="W233" s="556" t="str">
        <f t="shared" ca="1" si="31"/>
        <v/>
      </c>
      <c r="X233" s="494" t="s">
        <v>1426</v>
      </c>
      <c r="Y233" s="547" t="str">
        <f t="shared" ca="1" si="32"/>
        <v/>
      </c>
      <c r="Z233" s="494" t="s">
        <v>1427</v>
      </c>
      <c r="AA233" s="547" t="str">
        <f t="shared" ca="1" si="33"/>
        <v/>
      </c>
      <c r="AB233" s="494" t="s">
        <v>1428</v>
      </c>
      <c r="AC233" s="547" t="str">
        <f t="shared" ca="1" si="34"/>
        <v/>
      </c>
      <c r="AD233" s="557"/>
      <c r="AE233" s="958"/>
    </row>
    <row r="234" spans="1:31" ht="15" customHeight="1">
      <c r="A234" s="957">
        <v>61</v>
      </c>
      <c r="B234" s="566" t="s">
        <v>653</v>
      </c>
      <c r="C234" s="567" t="s">
        <v>1369</v>
      </c>
      <c r="D234" s="958">
        <v>1</v>
      </c>
      <c r="E234" s="959" t="s">
        <v>659</v>
      </c>
      <c r="F234" s="558" t="s">
        <v>1371</v>
      </c>
      <c r="G234" s="558">
        <v>748</v>
      </c>
      <c r="H234" s="558">
        <v>2.2000000000000002</v>
      </c>
      <c r="I234" s="559" t="s">
        <v>662</v>
      </c>
      <c r="J234" s="567" t="s">
        <v>1423</v>
      </c>
      <c r="K234" s="961" t="s">
        <v>1373</v>
      </c>
      <c r="L234" s="555" t="str">
        <f t="shared" ca="1" si="27"/>
        <v/>
      </c>
      <c r="M234" s="494" t="s">
        <v>1374</v>
      </c>
      <c r="N234" s="555" t="str">
        <f t="shared" ca="1" si="28"/>
        <v/>
      </c>
      <c r="O234" s="494" t="s">
        <v>1375</v>
      </c>
      <c r="P234" s="555" t="str">
        <f t="shared" ca="1" si="29"/>
        <v/>
      </c>
      <c r="Q234" s="494" t="s">
        <v>1424</v>
      </c>
      <c r="R234" s="494" t="str">
        <f t="shared" si="36"/>
        <v>H234</v>
      </c>
      <c r="S234" s="494" t="s">
        <v>1425</v>
      </c>
      <c r="T234" s="494">
        <v>6</v>
      </c>
      <c r="U234" s="556" t="str">
        <f t="shared" ca="1" si="30"/>
        <v/>
      </c>
      <c r="V234" s="494">
        <v>7</v>
      </c>
      <c r="W234" s="556" t="str">
        <f t="shared" ca="1" si="31"/>
        <v/>
      </c>
      <c r="X234" s="494" t="s">
        <v>1426</v>
      </c>
      <c r="Y234" s="547" t="str">
        <f t="shared" ca="1" si="32"/>
        <v/>
      </c>
      <c r="Z234" s="494" t="s">
        <v>1427</v>
      </c>
      <c r="AA234" s="547" t="str">
        <f t="shared" ca="1" si="33"/>
        <v/>
      </c>
      <c r="AB234" s="494" t="s">
        <v>1428</v>
      </c>
      <c r="AC234" s="547" t="str">
        <f t="shared" ca="1" si="34"/>
        <v/>
      </c>
      <c r="AD234" s="557"/>
      <c r="AE234" s="958"/>
    </row>
    <row r="235" spans="1:31" ht="15" customHeight="1">
      <c r="A235" s="957">
        <v>61</v>
      </c>
      <c r="B235" s="566" t="s">
        <v>653</v>
      </c>
      <c r="C235" s="567" t="s">
        <v>1369</v>
      </c>
      <c r="D235" s="958">
        <v>1</v>
      </c>
      <c r="E235" s="959" t="s">
        <v>659</v>
      </c>
      <c r="F235" s="558" t="s">
        <v>1371</v>
      </c>
      <c r="G235" s="558">
        <v>749</v>
      </c>
      <c r="H235" s="558">
        <v>3.1</v>
      </c>
      <c r="I235" s="559" t="s">
        <v>665</v>
      </c>
      <c r="J235" s="567" t="s">
        <v>1423</v>
      </c>
      <c r="K235" s="961" t="s">
        <v>1373</v>
      </c>
      <c r="L235" s="555" t="str">
        <f t="shared" ca="1" si="27"/>
        <v/>
      </c>
      <c r="M235" s="494" t="s">
        <v>1374</v>
      </c>
      <c r="N235" s="555" t="str">
        <f t="shared" ca="1" si="28"/>
        <v/>
      </c>
      <c r="O235" s="494" t="s">
        <v>1375</v>
      </c>
      <c r="P235" s="555" t="str">
        <f t="shared" ca="1" si="29"/>
        <v/>
      </c>
      <c r="Q235" s="494" t="s">
        <v>1424</v>
      </c>
      <c r="R235" s="494" t="str">
        <f t="shared" si="36"/>
        <v>H235</v>
      </c>
      <c r="S235" s="494" t="s">
        <v>1425</v>
      </c>
      <c r="T235" s="494">
        <v>6</v>
      </c>
      <c r="U235" s="556" t="str">
        <f t="shared" ca="1" si="30"/>
        <v/>
      </c>
      <c r="V235" s="494">
        <v>7</v>
      </c>
      <c r="W235" s="556" t="str">
        <f t="shared" ca="1" si="31"/>
        <v/>
      </c>
      <c r="X235" s="494" t="s">
        <v>1426</v>
      </c>
      <c r="Y235" s="547" t="str">
        <f t="shared" ca="1" si="32"/>
        <v/>
      </c>
      <c r="Z235" s="494" t="s">
        <v>1427</v>
      </c>
      <c r="AA235" s="547" t="str">
        <f t="shared" ca="1" si="33"/>
        <v/>
      </c>
      <c r="AB235" s="494" t="s">
        <v>1428</v>
      </c>
      <c r="AC235" s="547" t="str">
        <f t="shared" ca="1" si="34"/>
        <v/>
      </c>
      <c r="AD235" s="557"/>
      <c r="AE235" s="958"/>
    </row>
    <row r="236" spans="1:31" ht="15" customHeight="1">
      <c r="A236" s="957">
        <v>61</v>
      </c>
      <c r="B236" s="566" t="s">
        <v>653</v>
      </c>
      <c r="C236" s="567" t="s">
        <v>1369</v>
      </c>
      <c r="D236" s="958">
        <v>1</v>
      </c>
      <c r="E236" s="959" t="s">
        <v>659</v>
      </c>
      <c r="F236" s="558" t="s">
        <v>1371</v>
      </c>
      <c r="G236" s="558">
        <v>750</v>
      </c>
      <c r="H236" s="558">
        <v>3.2</v>
      </c>
      <c r="I236" s="559" t="s">
        <v>666</v>
      </c>
      <c r="J236" s="567" t="s">
        <v>1423</v>
      </c>
      <c r="K236" s="961" t="s">
        <v>1373</v>
      </c>
      <c r="L236" s="555" t="str">
        <f t="shared" ca="1" si="27"/>
        <v/>
      </c>
      <c r="M236" s="494" t="s">
        <v>1374</v>
      </c>
      <c r="N236" s="555" t="str">
        <f t="shared" ca="1" si="28"/>
        <v/>
      </c>
      <c r="O236" s="494" t="s">
        <v>1375</v>
      </c>
      <c r="P236" s="555" t="str">
        <f t="shared" ca="1" si="29"/>
        <v/>
      </c>
      <c r="Q236" s="494" t="s">
        <v>1424</v>
      </c>
      <c r="R236" s="494" t="str">
        <f t="shared" si="36"/>
        <v>H236</v>
      </c>
      <c r="S236" s="494" t="s">
        <v>1425</v>
      </c>
      <c r="T236" s="494">
        <v>6</v>
      </c>
      <c r="U236" s="556" t="str">
        <f t="shared" ca="1" si="30"/>
        <v/>
      </c>
      <c r="V236" s="494">
        <v>7</v>
      </c>
      <c r="W236" s="556" t="str">
        <f t="shared" ca="1" si="31"/>
        <v/>
      </c>
      <c r="X236" s="494" t="s">
        <v>1426</v>
      </c>
      <c r="Y236" s="547" t="str">
        <f t="shared" ca="1" si="32"/>
        <v/>
      </c>
      <c r="Z236" s="494" t="s">
        <v>1427</v>
      </c>
      <c r="AA236" s="547" t="str">
        <f t="shared" ca="1" si="33"/>
        <v/>
      </c>
      <c r="AB236" s="494" t="s">
        <v>1428</v>
      </c>
      <c r="AC236" s="547" t="str">
        <f t="shared" ca="1" si="34"/>
        <v/>
      </c>
      <c r="AD236" s="557"/>
      <c r="AE236" s="958"/>
    </row>
    <row r="237" spans="1:31" ht="15" customHeight="1">
      <c r="A237" s="957">
        <v>61</v>
      </c>
      <c r="B237" s="566" t="s">
        <v>653</v>
      </c>
      <c r="C237" s="567" t="s">
        <v>1369</v>
      </c>
      <c r="D237" s="958">
        <v>1</v>
      </c>
      <c r="E237" s="959" t="s">
        <v>659</v>
      </c>
      <c r="F237" s="558" t="s">
        <v>1371</v>
      </c>
      <c r="G237" s="558">
        <v>751</v>
      </c>
      <c r="H237" s="558">
        <v>4.0999999999999996</v>
      </c>
      <c r="I237" s="559" t="s">
        <v>667</v>
      </c>
      <c r="J237" s="567" t="s">
        <v>1423</v>
      </c>
      <c r="K237" s="961" t="s">
        <v>1373</v>
      </c>
      <c r="L237" s="555" t="str">
        <f t="shared" ca="1" si="27"/>
        <v/>
      </c>
      <c r="M237" s="494" t="s">
        <v>1374</v>
      </c>
      <c r="N237" s="555" t="str">
        <f t="shared" ca="1" si="28"/>
        <v/>
      </c>
      <c r="O237" s="494" t="s">
        <v>1375</v>
      </c>
      <c r="P237" s="555" t="str">
        <f t="shared" ca="1" si="29"/>
        <v/>
      </c>
      <c r="Q237" s="494" t="s">
        <v>1424</v>
      </c>
      <c r="R237" s="494" t="str">
        <f t="shared" si="36"/>
        <v>H237</v>
      </c>
      <c r="S237" s="494" t="s">
        <v>1425</v>
      </c>
      <c r="T237" s="494">
        <v>6</v>
      </c>
      <c r="U237" s="556" t="str">
        <f t="shared" ca="1" si="30"/>
        <v/>
      </c>
      <c r="V237" s="494">
        <v>7</v>
      </c>
      <c r="W237" s="556" t="str">
        <f t="shared" ca="1" si="31"/>
        <v/>
      </c>
      <c r="X237" s="494" t="s">
        <v>1426</v>
      </c>
      <c r="Y237" s="547" t="str">
        <f t="shared" ca="1" si="32"/>
        <v/>
      </c>
      <c r="Z237" s="494" t="s">
        <v>1427</v>
      </c>
      <c r="AA237" s="547" t="str">
        <f t="shared" ca="1" si="33"/>
        <v/>
      </c>
      <c r="AB237" s="494" t="s">
        <v>1428</v>
      </c>
      <c r="AC237" s="547" t="str">
        <f t="shared" ca="1" si="34"/>
        <v/>
      </c>
      <c r="AD237" s="557"/>
      <c r="AE237" s="958"/>
    </row>
    <row r="238" spans="1:31" ht="15" customHeight="1">
      <c r="A238" s="957">
        <v>61</v>
      </c>
      <c r="B238" s="566" t="s">
        <v>653</v>
      </c>
      <c r="C238" s="567" t="s">
        <v>1369</v>
      </c>
      <c r="D238" s="958">
        <v>1</v>
      </c>
      <c r="E238" s="959" t="s">
        <v>659</v>
      </c>
      <c r="F238" s="558" t="s">
        <v>1371</v>
      </c>
      <c r="G238" s="558">
        <v>752</v>
      </c>
      <c r="H238" s="558">
        <v>4.2</v>
      </c>
      <c r="I238" s="559" t="s">
        <v>668</v>
      </c>
      <c r="J238" s="567" t="s">
        <v>1423</v>
      </c>
      <c r="K238" s="961" t="s">
        <v>1373</v>
      </c>
      <c r="L238" s="555" t="str">
        <f t="shared" ca="1" si="27"/>
        <v/>
      </c>
      <c r="M238" s="494" t="s">
        <v>1374</v>
      </c>
      <c r="N238" s="555" t="str">
        <f t="shared" ca="1" si="28"/>
        <v/>
      </c>
      <c r="O238" s="494" t="s">
        <v>1375</v>
      </c>
      <c r="P238" s="555" t="str">
        <f t="shared" ca="1" si="29"/>
        <v/>
      </c>
      <c r="Q238" s="494" t="s">
        <v>1424</v>
      </c>
      <c r="R238" s="494" t="str">
        <f t="shared" si="36"/>
        <v>H238</v>
      </c>
      <c r="S238" s="494" t="s">
        <v>1425</v>
      </c>
      <c r="T238" s="494">
        <v>6</v>
      </c>
      <c r="U238" s="556" t="str">
        <f t="shared" ca="1" si="30"/>
        <v/>
      </c>
      <c r="V238" s="494">
        <v>7</v>
      </c>
      <c r="W238" s="556" t="str">
        <f t="shared" ca="1" si="31"/>
        <v/>
      </c>
      <c r="X238" s="494" t="s">
        <v>1426</v>
      </c>
      <c r="Y238" s="547" t="str">
        <f t="shared" ca="1" si="32"/>
        <v/>
      </c>
      <c r="Z238" s="494" t="s">
        <v>1427</v>
      </c>
      <c r="AA238" s="547" t="str">
        <f t="shared" ca="1" si="33"/>
        <v/>
      </c>
      <c r="AB238" s="494" t="s">
        <v>1428</v>
      </c>
      <c r="AC238" s="547" t="str">
        <f t="shared" ca="1" si="34"/>
        <v/>
      </c>
      <c r="AD238" s="557"/>
      <c r="AE238" s="958"/>
    </row>
    <row r="239" spans="1:31" ht="15" customHeight="1">
      <c r="A239" s="957">
        <v>61</v>
      </c>
      <c r="B239" s="566" t="s">
        <v>653</v>
      </c>
      <c r="C239" s="567" t="s">
        <v>1369</v>
      </c>
      <c r="D239" s="958">
        <v>1</v>
      </c>
      <c r="E239" s="959" t="s">
        <v>659</v>
      </c>
      <c r="F239" s="558" t="s">
        <v>1371</v>
      </c>
      <c r="G239" s="558">
        <v>753</v>
      </c>
      <c r="H239" s="558">
        <v>5.0999999999999996</v>
      </c>
      <c r="I239" s="559" t="s">
        <v>669</v>
      </c>
      <c r="J239" s="567" t="s">
        <v>1423</v>
      </c>
      <c r="K239" s="961" t="s">
        <v>1373</v>
      </c>
      <c r="L239" s="555" t="str">
        <f t="shared" ca="1" si="27"/>
        <v/>
      </c>
      <c r="M239" s="494" t="s">
        <v>1374</v>
      </c>
      <c r="N239" s="555" t="str">
        <f t="shared" ca="1" si="28"/>
        <v/>
      </c>
      <c r="O239" s="494" t="s">
        <v>1375</v>
      </c>
      <c r="P239" s="555" t="str">
        <f t="shared" ca="1" si="29"/>
        <v/>
      </c>
      <c r="Q239" s="494" t="s">
        <v>1424</v>
      </c>
      <c r="R239" s="494" t="str">
        <f t="shared" si="36"/>
        <v>H239</v>
      </c>
      <c r="S239" s="494" t="s">
        <v>1425</v>
      </c>
      <c r="T239" s="494">
        <v>6</v>
      </c>
      <c r="U239" s="556" t="str">
        <f t="shared" ca="1" si="30"/>
        <v/>
      </c>
      <c r="V239" s="494">
        <v>7</v>
      </c>
      <c r="W239" s="556" t="str">
        <f t="shared" ca="1" si="31"/>
        <v/>
      </c>
      <c r="X239" s="494" t="s">
        <v>1426</v>
      </c>
      <c r="Y239" s="547" t="str">
        <f t="shared" ca="1" si="32"/>
        <v/>
      </c>
      <c r="Z239" s="494" t="s">
        <v>1427</v>
      </c>
      <c r="AA239" s="547" t="str">
        <f t="shared" ca="1" si="33"/>
        <v/>
      </c>
      <c r="AB239" s="494" t="s">
        <v>1428</v>
      </c>
      <c r="AC239" s="547" t="str">
        <f t="shared" ca="1" si="34"/>
        <v/>
      </c>
      <c r="AD239" s="557"/>
      <c r="AE239" s="958"/>
    </row>
    <row r="240" spans="1:31" ht="15" customHeight="1">
      <c r="A240" s="957">
        <v>61</v>
      </c>
      <c r="B240" s="566" t="s">
        <v>653</v>
      </c>
      <c r="C240" s="567" t="s">
        <v>1369</v>
      </c>
      <c r="D240" s="958">
        <v>1</v>
      </c>
      <c r="E240" s="959" t="s">
        <v>659</v>
      </c>
      <c r="F240" s="558" t="s">
        <v>1371</v>
      </c>
      <c r="G240" s="558">
        <v>754</v>
      </c>
      <c r="H240" s="558">
        <v>5.2</v>
      </c>
      <c r="I240" s="559" t="s">
        <v>671</v>
      </c>
      <c r="J240" s="567" t="s">
        <v>1423</v>
      </c>
      <c r="K240" s="961" t="s">
        <v>1373</v>
      </c>
      <c r="L240" s="555" t="str">
        <f t="shared" ca="1" si="27"/>
        <v/>
      </c>
      <c r="M240" s="494" t="s">
        <v>1374</v>
      </c>
      <c r="N240" s="555" t="str">
        <f t="shared" ca="1" si="28"/>
        <v/>
      </c>
      <c r="O240" s="494" t="s">
        <v>1375</v>
      </c>
      <c r="P240" s="555" t="str">
        <f t="shared" ca="1" si="29"/>
        <v/>
      </c>
      <c r="Q240" s="494" t="s">
        <v>1424</v>
      </c>
      <c r="R240" s="494" t="str">
        <f t="shared" si="36"/>
        <v>H240</v>
      </c>
      <c r="S240" s="494" t="s">
        <v>1425</v>
      </c>
      <c r="T240" s="494">
        <v>6</v>
      </c>
      <c r="U240" s="556" t="str">
        <f t="shared" ca="1" si="30"/>
        <v/>
      </c>
      <c r="V240" s="494">
        <v>7</v>
      </c>
      <c r="W240" s="556" t="str">
        <f t="shared" ca="1" si="31"/>
        <v/>
      </c>
      <c r="X240" s="494" t="s">
        <v>1426</v>
      </c>
      <c r="Y240" s="547" t="str">
        <f t="shared" ca="1" si="32"/>
        <v/>
      </c>
      <c r="Z240" s="494" t="s">
        <v>1427</v>
      </c>
      <c r="AA240" s="547" t="str">
        <f t="shared" ca="1" si="33"/>
        <v/>
      </c>
      <c r="AB240" s="494" t="s">
        <v>1428</v>
      </c>
      <c r="AC240" s="547" t="str">
        <f t="shared" ca="1" si="34"/>
        <v/>
      </c>
      <c r="AD240" s="557"/>
      <c r="AE240" s="958"/>
    </row>
    <row r="241" spans="1:31" ht="15" customHeight="1">
      <c r="A241" s="957">
        <v>61</v>
      </c>
      <c r="B241" s="566" t="s">
        <v>653</v>
      </c>
      <c r="C241" s="567" t="s">
        <v>1369</v>
      </c>
      <c r="D241" s="958">
        <v>1</v>
      </c>
      <c r="E241" s="959" t="s">
        <v>659</v>
      </c>
      <c r="F241" s="558" t="s">
        <v>1371</v>
      </c>
      <c r="G241" s="558">
        <v>755</v>
      </c>
      <c r="H241" s="558">
        <v>6.1</v>
      </c>
      <c r="I241" s="559" t="s">
        <v>674</v>
      </c>
      <c r="J241" s="567" t="s">
        <v>1423</v>
      </c>
      <c r="K241" s="961" t="s">
        <v>1373</v>
      </c>
      <c r="L241" s="555" t="str">
        <f t="shared" ca="1" si="27"/>
        <v/>
      </c>
      <c r="M241" s="494" t="s">
        <v>1374</v>
      </c>
      <c r="N241" s="555" t="str">
        <f t="shared" ca="1" si="28"/>
        <v/>
      </c>
      <c r="O241" s="494" t="s">
        <v>1375</v>
      </c>
      <c r="P241" s="555" t="str">
        <f t="shared" ca="1" si="29"/>
        <v/>
      </c>
      <c r="Q241" s="494" t="s">
        <v>1424</v>
      </c>
      <c r="R241" s="494" t="str">
        <f t="shared" si="36"/>
        <v>H241</v>
      </c>
      <c r="S241" s="494" t="s">
        <v>1425</v>
      </c>
      <c r="T241" s="494">
        <v>6</v>
      </c>
      <c r="U241" s="556" t="str">
        <f t="shared" ca="1" si="30"/>
        <v/>
      </c>
      <c r="V241" s="494">
        <v>7</v>
      </c>
      <c r="W241" s="556" t="str">
        <f t="shared" ca="1" si="31"/>
        <v/>
      </c>
      <c r="X241" s="494" t="s">
        <v>1426</v>
      </c>
      <c r="Y241" s="547" t="str">
        <f t="shared" ca="1" si="32"/>
        <v/>
      </c>
      <c r="Z241" s="494" t="s">
        <v>1427</v>
      </c>
      <c r="AA241" s="547" t="str">
        <f t="shared" ca="1" si="33"/>
        <v/>
      </c>
      <c r="AB241" s="494" t="s">
        <v>1428</v>
      </c>
      <c r="AC241" s="547" t="str">
        <f t="shared" ca="1" si="34"/>
        <v/>
      </c>
      <c r="AD241" s="557"/>
      <c r="AE241" s="958"/>
    </row>
    <row r="242" spans="1:31" ht="15" customHeight="1">
      <c r="A242" s="957">
        <v>61</v>
      </c>
      <c r="B242" s="566" t="s">
        <v>653</v>
      </c>
      <c r="C242" s="567" t="s">
        <v>1369</v>
      </c>
      <c r="D242" s="958">
        <v>1</v>
      </c>
      <c r="E242" s="959" t="s">
        <v>659</v>
      </c>
      <c r="F242" s="558" t="s">
        <v>1371</v>
      </c>
      <c r="G242" s="558">
        <v>756</v>
      </c>
      <c r="H242" s="558">
        <v>6.2</v>
      </c>
      <c r="I242" s="559" t="s">
        <v>675</v>
      </c>
      <c r="J242" s="567" t="s">
        <v>1423</v>
      </c>
      <c r="K242" s="961" t="s">
        <v>1373</v>
      </c>
      <c r="L242" s="555" t="str">
        <f t="shared" ca="1" si="27"/>
        <v/>
      </c>
      <c r="M242" s="494" t="s">
        <v>1374</v>
      </c>
      <c r="N242" s="555" t="str">
        <f t="shared" ca="1" si="28"/>
        <v/>
      </c>
      <c r="O242" s="494" t="s">
        <v>1375</v>
      </c>
      <c r="P242" s="555" t="str">
        <f t="shared" ca="1" si="29"/>
        <v/>
      </c>
      <c r="Q242" s="494" t="s">
        <v>1424</v>
      </c>
      <c r="R242" s="494" t="str">
        <f t="shared" si="36"/>
        <v>H242</v>
      </c>
      <c r="S242" s="494" t="s">
        <v>1425</v>
      </c>
      <c r="T242" s="494">
        <v>6</v>
      </c>
      <c r="U242" s="556" t="str">
        <f t="shared" ca="1" si="30"/>
        <v/>
      </c>
      <c r="V242" s="494">
        <v>7</v>
      </c>
      <c r="W242" s="556" t="str">
        <f t="shared" ca="1" si="31"/>
        <v/>
      </c>
      <c r="X242" s="494" t="s">
        <v>1426</v>
      </c>
      <c r="Y242" s="547" t="str">
        <f t="shared" ca="1" si="32"/>
        <v/>
      </c>
      <c r="Z242" s="494" t="s">
        <v>1427</v>
      </c>
      <c r="AA242" s="547" t="str">
        <f t="shared" ca="1" si="33"/>
        <v/>
      </c>
      <c r="AB242" s="494" t="s">
        <v>1428</v>
      </c>
      <c r="AC242" s="547" t="str">
        <f t="shared" ca="1" si="34"/>
        <v/>
      </c>
      <c r="AD242" s="557"/>
      <c r="AE242" s="958"/>
    </row>
    <row r="243" spans="1:31" ht="15" customHeight="1">
      <c r="A243" s="957">
        <v>61</v>
      </c>
      <c r="B243" s="566" t="s">
        <v>653</v>
      </c>
      <c r="C243" s="567" t="s">
        <v>1369</v>
      </c>
      <c r="D243" s="958">
        <v>1</v>
      </c>
      <c r="E243" s="959" t="s">
        <v>659</v>
      </c>
      <c r="F243" s="558" t="s">
        <v>1371</v>
      </c>
      <c r="G243" s="558">
        <v>757</v>
      </c>
      <c r="H243" s="558">
        <v>7.1</v>
      </c>
      <c r="I243" s="559" t="s">
        <v>678</v>
      </c>
      <c r="J243" s="567" t="s">
        <v>1423</v>
      </c>
      <c r="K243" s="961" t="s">
        <v>1373</v>
      </c>
      <c r="L243" s="555" t="str">
        <f t="shared" ca="1" si="27"/>
        <v/>
      </c>
      <c r="M243" s="494" t="s">
        <v>1374</v>
      </c>
      <c r="N243" s="555" t="str">
        <f t="shared" ca="1" si="28"/>
        <v/>
      </c>
      <c r="O243" s="494" t="s">
        <v>1375</v>
      </c>
      <c r="P243" s="555" t="str">
        <f t="shared" ca="1" si="29"/>
        <v/>
      </c>
      <c r="Q243" s="494" t="s">
        <v>1424</v>
      </c>
      <c r="R243" s="494" t="str">
        <f t="shared" si="36"/>
        <v>H243</v>
      </c>
      <c r="S243" s="494" t="s">
        <v>1425</v>
      </c>
      <c r="T243" s="494">
        <v>6</v>
      </c>
      <c r="U243" s="556" t="str">
        <f t="shared" ca="1" si="30"/>
        <v/>
      </c>
      <c r="V243" s="494">
        <v>7</v>
      </c>
      <c r="W243" s="556" t="str">
        <f t="shared" ca="1" si="31"/>
        <v/>
      </c>
      <c r="X243" s="494" t="s">
        <v>1426</v>
      </c>
      <c r="Y243" s="547" t="str">
        <f t="shared" ca="1" si="32"/>
        <v/>
      </c>
      <c r="Z243" s="494" t="s">
        <v>1427</v>
      </c>
      <c r="AA243" s="547" t="str">
        <f t="shared" ca="1" si="33"/>
        <v/>
      </c>
      <c r="AB243" s="494" t="s">
        <v>1428</v>
      </c>
      <c r="AC243" s="547" t="str">
        <f t="shared" ca="1" si="34"/>
        <v/>
      </c>
      <c r="AD243" s="557"/>
      <c r="AE243" s="958"/>
    </row>
    <row r="244" spans="1:31" ht="15" customHeight="1">
      <c r="A244" s="957">
        <v>61</v>
      </c>
      <c r="B244" s="566" t="s">
        <v>653</v>
      </c>
      <c r="C244" s="567" t="s">
        <v>1369</v>
      </c>
      <c r="D244" s="958">
        <v>1</v>
      </c>
      <c r="E244" s="959" t="s">
        <v>659</v>
      </c>
      <c r="F244" s="558" t="s">
        <v>1371</v>
      </c>
      <c r="G244" s="558">
        <v>758</v>
      </c>
      <c r="H244" s="558">
        <v>7.2</v>
      </c>
      <c r="I244" s="559" t="s">
        <v>679</v>
      </c>
      <c r="J244" s="567" t="s">
        <v>1423</v>
      </c>
      <c r="K244" s="961" t="s">
        <v>1373</v>
      </c>
      <c r="L244" s="555" t="str">
        <f t="shared" ca="1" si="27"/>
        <v/>
      </c>
      <c r="M244" s="494" t="s">
        <v>1374</v>
      </c>
      <c r="N244" s="555" t="str">
        <f t="shared" ca="1" si="28"/>
        <v/>
      </c>
      <c r="O244" s="494" t="s">
        <v>1375</v>
      </c>
      <c r="P244" s="555" t="str">
        <f t="shared" ca="1" si="29"/>
        <v/>
      </c>
      <c r="Q244" s="494" t="s">
        <v>1424</v>
      </c>
      <c r="R244" s="494" t="str">
        <f t="shared" si="36"/>
        <v>H244</v>
      </c>
      <c r="S244" s="494" t="s">
        <v>1425</v>
      </c>
      <c r="T244" s="494">
        <v>6</v>
      </c>
      <c r="U244" s="556" t="str">
        <f t="shared" ca="1" si="30"/>
        <v/>
      </c>
      <c r="V244" s="494">
        <v>7</v>
      </c>
      <c r="W244" s="556" t="str">
        <f t="shared" ca="1" si="31"/>
        <v/>
      </c>
      <c r="X244" s="494" t="s">
        <v>1426</v>
      </c>
      <c r="Y244" s="547" t="str">
        <f t="shared" ca="1" si="32"/>
        <v/>
      </c>
      <c r="Z244" s="494" t="s">
        <v>1427</v>
      </c>
      <c r="AA244" s="547" t="str">
        <f t="shared" ca="1" si="33"/>
        <v/>
      </c>
      <c r="AB244" s="494" t="s">
        <v>1428</v>
      </c>
      <c r="AC244" s="547" t="str">
        <f t="shared" ca="1" si="34"/>
        <v/>
      </c>
      <c r="AD244" s="557"/>
      <c r="AE244" s="958"/>
    </row>
    <row r="245" spans="1:31" ht="15" customHeight="1">
      <c r="A245" s="957">
        <v>61</v>
      </c>
      <c r="B245" s="566" t="s">
        <v>653</v>
      </c>
      <c r="C245" s="567" t="s">
        <v>1369</v>
      </c>
      <c r="D245" s="958">
        <v>1</v>
      </c>
      <c r="E245" s="959" t="s">
        <v>659</v>
      </c>
      <c r="F245" s="558" t="s">
        <v>1371</v>
      </c>
      <c r="G245" s="558">
        <v>759</v>
      </c>
      <c r="H245" s="558">
        <v>8.1</v>
      </c>
      <c r="I245" s="559" t="s">
        <v>682</v>
      </c>
      <c r="J245" s="567" t="s">
        <v>1423</v>
      </c>
      <c r="K245" s="961" t="s">
        <v>1373</v>
      </c>
      <c r="L245" s="555" t="str">
        <f t="shared" ca="1" si="27"/>
        <v/>
      </c>
      <c r="M245" s="494" t="s">
        <v>1374</v>
      </c>
      <c r="N245" s="555" t="str">
        <f t="shared" ca="1" si="28"/>
        <v/>
      </c>
      <c r="O245" s="494" t="s">
        <v>1375</v>
      </c>
      <c r="P245" s="555" t="str">
        <f t="shared" ca="1" si="29"/>
        <v/>
      </c>
      <c r="Q245" s="494" t="s">
        <v>1424</v>
      </c>
      <c r="R245" s="494" t="str">
        <f t="shared" si="36"/>
        <v>H245</v>
      </c>
      <c r="S245" s="494" t="s">
        <v>1425</v>
      </c>
      <c r="T245" s="494">
        <v>6</v>
      </c>
      <c r="U245" s="556" t="str">
        <f t="shared" ca="1" si="30"/>
        <v/>
      </c>
      <c r="V245" s="494">
        <v>7</v>
      </c>
      <c r="W245" s="556" t="str">
        <f t="shared" ca="1" si="31"/>
        <v/>
      </c>
      <c r="X245" s="494" t="s">
        <v>1426</v>
      </c>
      <c r="Y245" s="547" t="str">
        <f t="shared" ca="1" si="32"/>
        <v/>
      </c>
      <c r="Z245" s="494" t="s">
        <v>1427</v>
      </c>
      <c r="AA245" s="547" t="str">
        <f t="shared" ca="1" si="33"/>
        <v/>
      </c>
      <c r="AB245" s="494" t="s">
        <v>1428</v>
      </c>
      <c r="AC245" s="547" t="str">
        <f t="shared" ca="1" si="34"/>
        <v/>
      </c>
      <c r="AD245" s="557"/>
      <c r="AE245" s="958"/>
    </row>
    <row r="246" spans="1:31" ht="15" customHeight="1">
      <c r="A246" s="957">
        <v>61</v>
      </c>
      <c r="B246" s="566" t="s">
        <v>653</v>
      </c>
      <c r="C246" s="567" t="s">
        <v>1369</v>
      </c>
      <c r="D246" s="958">
        <v>1</v>
      </c>
      <c r="E246" s="959" t="s">
        <v>659</v>
      </c>
      <c r="F246" s="558" t="s">
        <v>1371</v>
      </c>
      <c r="G246" s="558">
        <v>760</v>
      </c>
      <c r="H246" s="558">
        <v>8.1999999999999993</v>
      </c>
      <c r="I246" s="559" t="s">
        <v>298</v>
      </c>
      <c r="J246" s="567" t="s">
        <v>1423</v>
      </c>
      <c r="K246" s="961" t="s">
        <v>1373</v>
      </c>
      <c r="L246" s="555" t="str">
        <f t="shared" ca="1" si="27"/>
        <v/>
      </c>
      <c r="M246" s="494" t="s">
        <v>1374</v>
      </c>
      <c r="N246" s="555" t="str">
        <f t="shared" ca="1" si="28"/>
        <v/>
      </c>
      <c r="O246" s="494" t="s">
        <v>1375</v>
      </c>
      <c r="P246" s="555" t="str">
        <f t="shared" ca="1" si="29"/>
        <v/>
      </c>
      <c r="Q246" s="494" t="s">
        <v>1424</v>
      </c>
      <c r="R246" s="494" t="str">
        <f t="shared" si="36"/>
        <v>H246</v>
      </c>
      <c r="S246" s="494" t="s">
        <v>1425</v>
      </c>
      <c r="T246" s="494">
        <v>6</v>
      </c>
      <c r="U246" s="556" t="str">
        <f t="shared" ca="1" si="30"/>
        <v/>
      </c>
      <c r="V246" s="494">
        <v>7</v>
      </c>
      <c r="W246" s="556" t="str">
        <f t="shared" ca="1" si="31"/>
        <v/>
      </c>
      <c r="X246" s="494" t="s">
        <v>1426</v>
      </c>
      <c r="Y246" s="547" t="str">
        <f t="shared" ca="1" si="32"/>
        <v/>
      </c>
      <c r="Z246" s="494" t="s">
        <v>1427</v>
      </c>
      <c r="AA246" s="547" t="str">
        <f t="shared" ca="1" si="33"/>
        <v/>
      </c>
      <c r="AB246" s="494" t="s">
        <v>1428</v>
      </c>
      <c r="AC246" s="547" t="str">
        <f t="shared" ca="1" si="34"/>
        <v/>
      </c>
      <c r="AD246" s="557"/>
      <c r="AE246" s="958"/>
    </row>
    <row r="247" spans="1:31" ht="15" customHeight="1">
      <c r="A247" s="957">
        <v>61</v>
      </c>
      <c r="B247" s="566" t="s">
        <v>653</v>
      </c>
      <c r="C247" s="567" t="s">
        <v>1369</v>
      </c>
      <c r="D247" s="958">
        <v>1</v>
      </c>
      <c r="E247" s="959" t="s">
        <v>683</v>
      </c>
      <c r="F247" s="558" t="s">
        <v>1386</v>
      </c>
      <c r="G247" s="558">
        <v>761</v>
      </c>
      <c r="H247" s="558">
        <v>9</v>
      </c>
      <c r="I247" s="559" t="s">
        <v>686</v>
      </c>
      <c r="J247" s="567" t="s">
        <v>1423</v>
      </c>
      <c r="K247" s="961" t="s">
        <v>1373</v>
      </c>
      <c r="L247" s="555" t="str">
        <f t="shared" ca="1" si="27"/>
        <v/>
      </c>
      <c r="M247" s="494" t="s">
        <v>1374</v>
      </c>
      <c r="N247" s="555" t="str">
        <f t="shared" ca="1" si="28"/>
        <v/>
      </c>
      <c r="O247" s="494" t="s">
        <v>1375</v>
      </c>
      <c r="P247" s="555" t="str">
        <f t="shared" ca="1" si="29"/>
        <v/>
      </c>
      <c r="Q247" s="494" t="s">
        <v>1424</v>
      </c>
      <c r="R247" s="494" t="str">
        <f t="shared" si="36"/>
        <v>H247</v>
      </c>
      <c r="S247" s="494" t="s">
        <v>1425</v>
      </c>
      <c r="T247" s="494">
        <v>6</v>
      </c>
      <c r="U247" s="556" t="str">
        <f t="shared" ca="1" si="30"/>
        <v/>
      </c>
      <c r="V247" s="494">
        <v>7</v>
      </c>
      <c r="W247" s="556" t="str">
        <f t="shared" ca="1" si="31"/>
        <v/>
      </c>
      <c r="X247" s="494" t="s">
        <v>1426</v>
      </c>
      <c r="Y247" s="547" t="str">
        <f t="shared" ca="1" si="32"/>
        <v/>
      </c>
      <c r="Z247" s="494" t="s">
        <v>1427</v>
      </c>
      <c r="AA247" s="547" t="str">
        <f t="shared" ca="1" si="33"/>
        <v/>
      </c>
      <c r="AB247" s="494" t="s">
        <v>1428</v>
      </c>
      <c r="AC247" s="547" t="str">
        <f t="shared" ca="1" si="34"/>
        <v/>
      </c>
      <c r="AD247" s="557"/>
      <c r="AE247" s="958"/>
    </row>
    <row r="248" spans="1:31" ht="15" customHeight="1">
      <c r="A248" s="957">
        <v>61</v>
      </c>
      <c r="B248" s="566" t="s">
        <v>653</v>
      </c>
      <c r="C248" s="567" t="s">
        <v>1369</v>
      </c>
      <c r="D248" s="958">
        <v>1</v>
      </c>
      <c r="E248" s="959" t="s">
        <v>683</v>
      </c>
      <c r="F248" s="558" t="s">
        <v>1386</v>
      </c>
      <c r="G248" s="558">
        <v>762</v>
      </c>
      <c r="H248" s="558">
        <v>9.1</v>
      </c>
      <c r="I248" s="559" t="s">
        <v>687</v>
      </c>
      <c r="J248" s="567" t="s">
        <v>1423</v>
      </c>
      <c r="K248" s="961" t="s">
        <v>1373</v>
      </c>
      <c r="L248" s="555" t="str">
        <f t="shared" ca="1" si="27"/>
        <v/>
      </c>
      <c r="M248" s="494" t="s">
        <v>1374</v>
      </c>
      <c r="N248" s="555" t="str">
        <f t="shared" ca="1" si="28"/>
        <v/>
      </c>
      <c r="O248" s="494" t="s">
        <v>1375</v>
      </c>
      <c r="P248" s="555" t="str">
        <f t="shared" ca="1" si="29"/>
        <v/>
      </c>
      <c r="Q248" s="494" t="s">
        <v>1424</v>
      </c>
      <c r="R248" s="494" t="str">
        <f t="shared" si="36"/>
        <v>H248</v>
      </c>
      <c r="S248" s="494" t="s">
        <v>1425</v>
      </c>
      <c r="T248" s="494">
        <v>6</v>
      </c>
      <c r="U248" s="556" t="str">
        <f t="shared" ca="1" si="30"/>
        <v/>
      </c>
      <c r="V248" s="494">
        <v>7</v>
      </c>
      <c r="W248" s="556" t="str">
        <f t="shared" ca="1" si="31"/>
        <v/>
      </c>
      <c r="X248" s="494" t="s">
        <v>1426</v>
      </c>
      <c r="Y248" s="547" t="str">
        <f t="shared" ca="1" si="32"/>
        <v/>
      </c>
      <c r="Z248" s="494" t="s">
        <v>1427</v>
      </c>
      <c r="AA248" s="547" t="str">
        <f t="shared" ca="1" si="33"/>
        <v/>
      </c>
      <c r="AB248" s="494" t="s">
        <v>1428</v>
      </c>
      <c r="AC248" s="547" t="str">
        <f t="shared" ca="1" si="34"/>
        <v/>
      </c>
      <c r="AD248" s="557"/>
      <c r="AE248" s="958"/>
    </row>
    <row r="249" spans="1:31" ht="15" customHeight="1">
      <c r="A249" s="957">
        <v>61</v>
      </c>
      <c r="B249" s="566" t="s">
        <v>653</v>
      </c>
      <c r="C249" s="567" t="s">
        <v>1369</v>
      </c>
      <c r="D249" s="958">
        <v>1</v>
      </c>
      <c r="E249" s="959" t="s">
        <v>683</v>
      </c>
      <c r="F249" s="558" t="s">
        <v>1386</v>
      </c>
      <c r="G249" s="558">
        <v>763</v>
      </c>
      <c r="H249" s="558">
        <v>9.1999999999999993</v>
      </c>
      <c r="I249" s="559" t="s">
        <v>688</v>
      </c>
      <c r="J249" s="567" t="s">
        <v>1423</v>
      </c>
      <c r="K249" s="961" t="s">
        <v>1373</v>
      </c>
      <c r="L249" s="555" t="str">
        <f t="shared" ca="1" si="27"/>
        <v/>
      </c>
      <c r="M249" s="494" t="s">
        <v>1374</v>
      </c>
      <c r="N249" s="555" t="str">
        <f t="shared" ca="1" si="28"/>
        <v/>
      </c>
      <c r="O249" s="494" t="s">
        <v>1375</v>
      </c>
      <c r="P249" s="555" t="str">
        <f t="shared" ca="1" si="29"/>
        <v/>
      </c>
      <c r="Q249" s="494" t="s">
        <v>1424</v>
      </c>
      <c r="R249" s="494" t="str">
        <f t="shared" si="36"/>
        <v>H249</v>
      </c>
      <c r="S249" s="494" t="s">
        <v>1425</v>
      </c>
      <c r="T249" s="494">
        <v>6</v>
      </c>
      <c r="U249" s="556" t="str">
        <f t="shared" ca="1" si="30"/>
        <v/>
      </c>
      <c r="V249" s="494">
        <v>7</v>
      </c>
      <c r="W249" s="556" t="str">
        <f t="shared" ca="1" si="31"/>
        <v/>
      </c>
      <c r="X249" s="494" t="s">
        <v>1426</v>
      </c>
      <c r="Y249" s="547" t="str">
        <f t="shared" ca="1" si="32"/>
        <v/>
      </c>
      <c r="Z249" s="494" t="s">
        <v>1427</v>
      </c>
      <c r="AA249" s="547" t="str">
        <f t="shared" ca="1" si="33"/>
        <v/>
      </c>
      <c r="AB249" s="494" t="s">
        <v>1428</v>
      </c>
      <c r="AC249" s="547" t="str">
        <f t="shared" ca="1" si="34"/>
        <v/>
      </c>
      <c r="AD249" s="557"/>
      <c r="AE249" s="958"/>
    </row>
    <row r="250" spans="1:31" ht="15" customHeight="1">
      <c r="A250" s="957">
        <v>61</v>
      </c>
      <c r="B250" s="566" t="s">
        <v>653</v>
      </c>
      <c r="C250" s="567" t="s">
        <v>1369</v>
      </c>
      <c r="D250" s="958">
        <v>1</v>
      </c>
      <c r="E250" s="959" t="s">
        <v>683</v>
      </c>
      <c r="F250" s="558" t="s">
        <v>1386</v>
      </c>
      <c r="G250" s="558">
        <v>764</v>
      </c>
      <c r="H250" s="558">
        <v>9.3000000000000007</v>
      </c>
      <c r="I250" s="559" t="s">
        <v>689</v>
      </c>
      <c r="J250" s="567" t="s">
        <v>1423</v>
      </c>
      <c r="K250" s="961" t="s">
        <v>1373</v>
      </c>
      <c r="L250" s="555" t="str">
        <f t="shared" ca="1" si="27"/>
        <v/>
      </c>
      <c r="M250" s="494" t="s">
        <v>1374</v>
      </c>
      <c r="N250" s="555" t="str">
        <f t="shared" ca="1" si="28"/>
        <v/>
      </c>
      <c r="O250" s="494" t="s">
        <v>1375</v>
      </c>
      <c r="P250" s="555" t="str">
        <f t="shared" ca="1" si="29"/>
        <v/>
      </c>
      <c r="Q250" s="494" t="s">
        <v>1424</v>
      </c>
      <c r="R250" s="494" t="str">
        <f t="shared" si="36"/>
        <v>H250</v>
      </c>
      <c r="S250" s="494" t="s">
        <v>1425</v>
      </c>
      <c r="T250" s="494">
        <v>6</v>
      </c>
      <c r="U250" s="556" t="str">
        <f t="shared" ca="1" si="30"/>
        <v/>
      </c>
      <c r="V250" s="494">
        <v>7</v>
      </c>
      <c r="W250" s="556" t="str">
        <f t="shared" ca="1" si="31"/>
        <v/>
      </c>
      <c r="X250" s="494" t="s">
        <v>1426</v>
      </c>
      <c r="Y250" s="547" t="str">
        <f t="shared" ca="1" si="32"/>
        <v/>
      </c>
      <c r="Z250" s="494" t="s">
        <v>1427</v>
      </c>
      <c r="AA250" s="547" t="str">
        <f t="shared" ca="1" si="33"/>
        <v/>
      </c>
      <c r="AB250" s="494" t="s">
        <v>1428</v>
      </c>
      <c r="AC250" s="547" t="str">
        <f t="shared" ca="1" si="34"/>
        <v/>
      </c>
      <c r="AD250" s="557"/>
      <c r="AE250" s="958"/>
    </row>
    <row r="251" spans="1:31" ht="15" customHeight="1">
      <c r="A251" s="957">
        <v>61</v>
      </c>
      <c r="B251" s="566" t="s">
        <v>653</v>
      </c>
      <c r="C251" s="567" t="s">
        <v>1369</v>
      </c>
      <c r="D251" s="958">
        <v>1</v>
      </c>
      <c r="E251" s="959" t="s">
        <v>683</v>
      </c>
      <c r="F251" s="558" t="s">
        <v>1386</v>
      </c>
      <c r="G251" s="558">
        <v>765</v>
      </c>
      <c r="H251" s="558">
        <v>10</v>
      </c>
      <c r="I251" s="559" t="s">
        <v>692</v>
      </c>
      <c r="J251" s="567" t="s">
        <v>1423</v>
      </c>
      <c r="K251" s="961" t="s">
        <v>1373</v>
      </c>
      <c r="L251" s="555" t="str">
        <f t="shared" ca="1" si="27"/>
        <v/>
      </c>
      <c r="M251" s="494" t="s">
        <v>1374</v>
      </c>
      <c r="N251" s="555" t="str">
        <f t="shared" ca="1" si="28"/>
        <v/>
      </c>
      <c r="O251" s="494" t="s">
        <v>1375</v>
      </c>
      <c r="P251" s="555" t="str">
        <f t="shared" ca="1" si="29"/>
        <v/>
      </c>
      <c r="Q251" s="494" t="s">
        <v>1424</v>
      </c>
      <c r="R251" s="494" t="str">
        <f t="shared" si="36"/>
        <v>H251</v>
      </c>
      <c r="S251" s="494" t="s">
        <v>1425</v>
      </c>
      <c r="T251" s="494">
        <v>6</v>
      </c>
      <c r="U251" s="556" t="str">
        <f t="shared" ca="1" si="30"/>
        <v/>
      </c>
      <c r="V251" s="494">
        <v>7</v>
      </c>
      <c r="W251" s="556" t="str">
        <f t="shared" ca="1" si="31"/>
        <v/>
      </c>
      <c r="X251" s="494" t="s">
        <v>1426</v>
      </c>
      <c r="Y251" s="547" t="str">
        <f t="shared" ca="1" si="32"/>
        <v/>
      </c>
      <c r="Z251" s="494" t="s">
        <v>1427</v>
      </c>
      <c r="AA251" s="547" t="str">
        <f t="shared" ca="1" si="33"/>
        <v/>
      </c>
      <c r="AB251" s="494" t="s">
        <v>1428</v>
      </c>
      <c r="AC251" s="547" t="str">
        <f t="shared" ca="1" si="34"/>
        <v/>
      </c>
      <c r="AD251" s="557"/>
      <c r="AE251" s="958"/>
    </row>
    <row r="252" spans="1:31" ht="15" customHeight="1">
      <c r="A252" s="957">
        <v>61</v>
      </c>
      <c r="B252" s="566" t="s">
        <v>653</v>
      </c>
      <c r="C252" s="567" t="s">
        <v>1369</v>
      </c>
      <c r="D252" s="958">
        <v>1</v>
      </c>
      <c r="E252" s="959" t="s">
        <v>683</v>
      </c>
      <c r="F252" s="558" t="s">
        <v>1386</v>
      </c>
      <c r="G252" s="558">
        <v>766</v>
      </c>
      <c r="H252" s="558">
        <v>10.1</v>
      </c>
      <c r="I252" s="559" t="s">
        <v>693</v>
      </c>
      <c r="J252" s="567" t="s">
        <v>1423</v>
      </c>
      <c r="K252" s="961" t="s">
        <v>1373</v>
      </c>
      <c r="L252" s="555" t="str">
        <f t="shared" ca="1" si="27"/>
        <v/>
      </c>
      <c r="M252" s="494" t="s">
        <v>1374</v>
      </c>
      <c r="N252" s="555" t="str">
        <f t="shared" ca="1" si="28"/>
        <v/>
      </c>
      <c r="O252" s="494" t="s">
        <v>1375</v>
      </c>
      <c r="P252" s="555" t="str">
        <f t="shared" ca="1" si="29"/>
        <v/>
      </c>
      <c r="Q252" s="494" t="s">
        <v>1424</v>
      </c>
      <c r="R252" s="494" t="str">
        <f t="shared" si="36"/>
        <v>H252</v>
      </c>
      <c r="S252" s="494" t="s">
        <v>1425</v>
      </c>
      <c r="T252" s="494">
        <v>6</v>
      </c>
      <c r="U252" s="556" t="str">
        <f t="shared" ca="1" si="30"/>
        <v/>
      </c>
      <c r="V252" s="494">
        <v>7</v>
      </c>
      <c r="W252" s="556" t="str">
        <f t="shared" ca="1" si="31"/>
        <v/>
      </c>
      <c r="X252" s="494" t="s">
        <v>1426</v>
      </c>
      <c r="Y252" s="547" t="str">
        <f t="shared" ca="1" si="32"/>
        <v/>
      </c>
      <c r="Z252" s="494" t="s">
        <v>1427</v>
      </c>
      <c r="AA252" s="547" t="str">
        <f t="shared" ca="1" si="33"/>
        <v/>
      </c>
      <c r="AB252" s="494" t="s">
        <v>1428</v>
      </c>
      <c r="AC252" s="547" t="str">
        <f t="shared" ca="1" si="34"/>
        <v/>
      </c>
      <c r="AD252" s="557"/>
      <c r="AE252" s="958"/>
    </row>
    <row r="253" spans="1:31" ht="15" customHeight="1">
      <c r="A253" s="957">
        <v>61</v>
      </c>
      <c r="B253" s="566" t="s">
        <v>653</v>
      </c>
      <c r="C253" s="567" t="s">
        <v>1369</v>
      </c>
      <c r="D253" s="958">
        <v>1</v>
      </c>
      <c r="E253" s="959" t="s">
        <v>683</v>
      </c>
      <c r="F253" s="558" t="s">
        <v>1386</v>
      </c>
      <c r="G253" s="558">
        <v>767</v>
      </c>
      <c r="H253" s="558">
        <v>10.199999999999999</v>
      </c>
      <c r="I253" s="559" t="s">
        <v>694</v>
      </c>
      <c r="J253" s="567" t="s">
        <v>1423</v>
      </c>
      <c r="K253" s="961" t="s">
        <v>1373</v>
      </c>
      <c r="L253" s="555" t="str">
        <f t="shared" ca="1" si="27"/>
        <v/>
      </c>
      <c r="M253" s="494" t="s">
        <v>1374</v>
      </c>
      <c r="N253" s="555" t="str">
        <f t="shared" ca="1" si="28"/>
        <v/>
      </c>
      <c r="O253" s="494" t="s">
        <v>1375</v>
      </c>
      <c r="P253" s="555" t="str">
        <f t="shared" ca="1" si="29"/>
        <v/>
      </c>
      <c r="Q253" s="494" t="s">
        <v>1424</v>
      </c>
      <c r="R253" s="494" t="str">
        <f t="shared" si="36"/>
        <v>H253</v>
      </c>
      <c r="S253" s="494" t="s">
        <v>1425</v>
      </c>
      <c r="T253" s="494">
        <v>6</v>
      </c>
      <c r="U253" s="556" t="str">
        <f t="shared" ca="1" si="30"/>
        <v/>
      </c>
      <c r="V253" s="494">
        <v>7</v>
      </c>
      <c r="W253" s="556" t="str">
        <f t="shared" ca="1" si="31"/>
        <v/>
      </c>
      <c r="X253" s="494" t="s">
        <v>1426</v>
      </c>
      <c r="Y253" s="547" t="str">
        <f t="shared" ca="1" si="32"/>
        <v/>
      </c>
      <c r="Z253" s="494" t="s">
        <v>1427</v>
      </c>
      <c r="AA253" s="547" t="str">
        <f t="shared" ca="1" si="33"/>
        <v/>
      </c>
      <c r="AB253" s="494" t="s">
        <v>1428</v>
      </c>
      <c r="AC253" s="547" t="str">
        <f t="shared" ca="1" si="34"/>
        <v/>
      </c>
      <c r="AD253" s="557"/>
      <c r="AE253" s="958"/>
    </row>
    <row r="254" spans="1:31" ht="15" customHeight="1">
      <c r="A254" s="957">
        <v>61</v>
      </c>
      <c r="B254" s="566" t="s">
        <v>653</v>
      </c>
      <c r="C254" s="567" t="s">
        <v>1369</v>
      </c>
      <c r="D254" s="958">
        <v>1</v>
      </c>
      <c r="E254" s="959" t="s">
        <v>683</v>
      </c>
      <c r="F254" s="558" t="s">
        <v>1386</v>
      </c>
      <c r="G254" s="558">
        <v>768</v>
      </c>
      <c r="H254" s="558">
        <v>10.3</v>
      </c>
      <c r="I254" s="559" t="s">
        <v>695</v>
      </c>
      <c r="J254" s="567" t="s">
        <v>1423</v>
      </c>
      <c r="K254" s="961" t="s">
        <v>1373</v>
      </c>
      <c r="L254" s="555" t="str">
        <f t="shared" ca="1" si="27"/>
        <v/>
      </c>
      <c r="M254" s="494" t="s">
        <v>1374</v>
      </c>
      <c r="N254" s="555" t="str">
        <f t="shared" ca="1" si="28"/>
        <v/>
      </c>
      <c r="O254" s="494" t="s">
        <v>1375</v>
      </c>
      <c r="P254" s="555" t="str">
        <f t="shared" ca="1" si="29"/>
        <v/>
      </c>
      <c r="Q254" s="494" t="s">
        <v>1424</v>
      </c>
      <c r="R254" s="494" t="str">
        <f t="shared" si="36"/>
        <v>H254</v>
      </c>
      <c r="S254" s="494" t="s">
        <v>1425</v>
      </c>
      <c r="T254" s="494">
        <v>6</v>
      </c>
      <c r="U254" s="556" t="str">
        <f t="shared" ca="1" si="30"/>
        <v/>
      </c>
      <c r="V254" s="494">
        <v>7</v>
      </c>
      <c r="W254" s="556" t="str">
        <f t="shared" ca="1" si="31"/>
        <v/>
      </c>
      <c r="X254" s="494" t="s">
        <v>1426</v>
      </c>
      <c r="Y254" s="547" t="str">
        <f t="shared" ca="1" si="32"/>
        <v/>
      </c>
      <c r="Z254" s="494" t="s">
        <v>1427</v>
      </c>
      <c r="AA254" s="547" t="str">
        <f t="shared" ca="1" si="33"/>
        <v/>
      </c>
      <c r="AB254" s="494" t="s">
        <v>1428</v>
      </c>
      <c r="AC254" s="547" t="str">
        <f t="shared" ca="1" si="34"/>
        <v/>
      </c>
      <c r="AD254" s="557"/>
      <c r="AE254" s="958"/>
    </row>
    <row r="255" spans="1:31" ht="15" customHeight="1">
      <c r="A255" s="957">
        <v>61</v>
      </c>
      <c r="B255" s="566" t="s">
        <v>653</v>
      </c>
      <c r="C255" s="567" t="s">
        <v>1369</v>
      </c>
      <c r="D255" s="958">
        <v>1</v>
      </c>
      <c r="E255" s="959" t="s">
        <v>683</v>
      </c>
      <c r="F255" s="558" t="s">
        <v>1386</v>
      </c>
      <c r="G255" s="558">
        <v>769</v>
      </c>
      <c r="H255" s="558">
        <v>10.4</v>
      </c>
      <c r="I255" s="559" t="s">
        <v>696</v>
      </c>
      <c r="J255" s="567" t="s">
        <v>1423</v>
      </c>
      <c r="K255" s="961" t="s">
        <v>1373</v>
      </c>
      <c r="L255" s="555" t="str">
        <f t="shared" ca="1" si="27"/>
        <v/>
      </c>
      <c r="M255" s="494" t="s">
        <v>1374</v>
      </c>
      <c r="N255" s="555" t="str">
        <f t="shared" ca="1" si="28"/>
        <v/>
      </c>
      <c r="O255" s="494" t="s">
        <v>1375</v>
      </c>
      <c r="P255" s="555" t="str">
        <f t="shared" ca="1" si="29"/>
        <v/>
      </c>
      <c r="Q255" s="494" t="s">
        <v>1424</v>
      </c>
      <c r="R255" s="494" t="str">
        <f t="shared" si="36"/>
        <v>H255</v>
      </c>
      <c r="S255" s="494" t="s">
        <v>1425</v>
      </c>
      <c r="T255" s="494">
        <v>6</v>
      </c>
      <c r="U255" s="556" t="str">
        <f t="shared" ca="1" si="30"/>
        <v/>
      </c>
      <c r="V255" s="494">
        <v>7</v>
      </c>
      <c r="W255" s="556" t="str">
        <f t="shared" ca="1" si="31"/>
        <v/>
      </c>
      <c r="X255" s="494" t="s">
        <v>1426</v>
      </c>
      <c r="Y255" s="547" t="str">
        <f t="shared" ca="1" si="32"/>
        <v/>
      </c>
      <c r="Z255" s="494" t="s">
        <v>1427</v>
      </c>
      <c r="AA255" s="547" t="str">
        <f t="shared" ca="1" si="33"/>
        <v/>
      </c>
      <c r="AB255" s="494" t="s">
        <v>1428</v>
      </c>
      <c r="AC255" s="547" t="str">
        <f t="shared" ca="1" si="34"/>
        <v/>
      </c>
      <c r="AD255" s="557"/>
      <c r="AE255" s="958"/>
    </row>
    <row r="256" spans="1:31" ht="15" customHeight="1">
      <c r="A256" s="957">
        <v>61</v>
      </c>
      <c r="B256" s="566" t="s">
        <v>653</v>
      </c>
      <c r="C256" s="567" t="s">
        <v>1369</v>
      </c>
      <c r="D256" s="958">
        <v>1</v>
      </c>
      <c r="E256" s="959" t="s">
        <v>683</v>
      </c>
      <c r="F256" s="558" t="s">
        <v>1386</v>
      </c>
      <c r="G256" s="558">
        <v>777</v>
      </c>
      <c r="H256" s="558">
        <v>11.1</v>
      </c>
      <c r="I256" s="559" t="s">
        <v>698</v>
      </c>
      <c r="J256" s="567" t="s">
        <v>1423</v>
      </c>
      <c r="K256" s="961" t="s">
        <v>1373</v>
      </c>
      <c r="L256" s="555" t="str">
        <f t="shared" ca="1" si="27"/>
        <v/>
      </c>
      <c r="M256" s="494" t="s">
        <v>1374</v>
      </c>
      <c r="N256" s="555" t="str">
        <f t="shared" ca="1" si="28"/>
        <v/>
      </c>
      <c r="O256" s="494" t="s">
        <v>1375</v>
      </c>
      <c r="P256" s="555" t="str">
        <f t="shared" ca="1" si="29"/>
        <v/>
      </c>
      <c r="Q256" s="494" t="s">
        <v>1424</v>
      </c>
      <c r="R256" s="494" t="str">
        <f t="shared" si="36"/>
        <v>H256</v>
      </c>
      <c r="S256" s="494" t="s">
        <v>1425</v>
      </c>
      <c r="T256" s="494">
        <v>6</v>
      </c>
      <c r="U256" s="556" t="str">
        <f t="shared" ca="1" si="30"/>
        <v/>
      </c>
      <c r="V256" s="494">
        <v>7</v>
      </c>
      <c r="W256" s="556" t="str">
        <f t="shared" ca="1" si="31"/>
        <v/>
      </c>
      <c r="X256" s="494" t="s">
        <v>1426</v>
      </c>
      <c r="Y256" s="547" t="str">
        <f t="shared" ca="1" si="32"/>
        <v/>
      </c>
      <c r="Z256" s="494" t="s">
        <v>1427</v>
      </c>
      <c r="AA256" s="547" t="str">
        <f t="shared" ca="1" si="33"/>
        <v/>
      </c>
      <c r="AB256" s="494" t="s">
        <v>1428</v>
      </c>
      <c r="AC256" s="547" t="str">
        <f t="shared" ca="1" si="34"/>
        <v/>
      </c>
      <c r="AD256" s="557"/>
      <c r="AE256" s="958"/>
    </row>
    <row r="257" spans="1:31" ht="15" customHeight="1">
      <c r="A257" s="957">
        <v>61</v>
      </c>
      <c r="B257" s="566" t="s">
        <v>653</v>
      </c>
      <c r="C257" s="567" t="s">
        <v>1369</v>
      </c>
      <c r="D257" s="958">
        <v>1</v>
      </c>
      <c r="E257" s="959" t="s">
        <v>683</v>
      </c>
      <c r="F257" s="558" t="s">
        <v>1386</v>
      </c>
      <c r="G257" s="558">
        <v>777</v>
      </c>
      <c r="H257" s="558">
        <v>11.2</v>
      </c>
      <c r="I257" s="559" t="s">
        <v>699</v>
      </c>
      <c r="J257" s="567" t="s">
        <v>1423</v>
      </c>
      <c r="K257" s="961" t="s">
        <v>1373</v>
      </c>
      <c r="L257" s="555" t="str">
        <f t="shared" ca="1" si="27"/>
        <v/>
      </c>
      <c r="M257" s="494" t="s">
        <v>1374</v>
      </c>
      <c r="N257" s="555" t="str">
        <f t="shared" ca="1" si="28"/>
        <v/>
      </c>
      <c r="O257" s="494" t="s">
        <v>1375</v>
      </c>
      <c r="P257" s="555" t="str">
        <f t="shared" ca="1" si="29"/>
        <v/>
      </c>
      <c r="Q257" s="494" t="s">
        <v>1424</v>
      </c>
      <c r="R257" s="494" t="str">
        <f t="shared" si="36"/>
        <v>H257</v>
      </c>
      <c r="S257" s="494" t="s">
        <v>1425</v>
      </c>
      <c r="T257" s="494">
        <v>6</v>
      </c>
      <c r="U257" s="556" t="str">
        <f t="shared" ca="1" si="30"/>
        <v/>
      </c>
      <c r="V257" s="494">
        <v>7</v>
      </c>
      <c r="W257" s="556" t="str">
        <f t="shared" ca="1" si="31"/>
        <v/>
      </c>
      <c r="X257" s="494" t="s">
        <v>1426</v>
      </c>
      <c r="Y257" s="547" t="str">
        <f t="shared" ca="1" si="32"/>
        <v/>
      </c>
      <c r="Z257" s="494" t="s">
        <v>1427</v>
      </c>
      <c r="AA257" s="547" t="str">
        <f t="shared" ca="1" si="33"/>
        <v/>
      </c>
      <c r="AB257" s="494" t="s">
        <v>1428</v>
      </c>
      <c r="AC257" s="547" t="str">
        <f t="shared" ca="1" si="34"/>
        <v/>
      </c>
      <c r="AD257" s="557"/>
      <c r="AE257" s="958"/>
    </row>
    <row r="258" spans="1:31" ht="15" customHeight="1">
      <c r="A258" s="957">
        <v>61</v>
      </c>
      <c r="B258" s="566" t="s">
        <v>653</v>
      </c>
      <c r="C258" s="567" t="s">
        <v>1369</v>
      </c>
      <c r="D258" s="958">
        <v>1</v>
      </c>
      <c r="E258" s="959" t="s">
        <v>683</v>
      </c>
      <c r="F258" s="558" t="s">
        <v>1386</v>
      </c>
      <c r="G258" s="558">
        <v>770</v>
      </c>
      <c r="H258" s="558">
        <v>12.1</v>
      </c>
      <c r="I258" s="559" t="s">
        <v>702</v>
      </c>
      <c r="J258" s="567" t="s">
        <v>1423</v>
      </c>
      <c r="K258" s="961" t="s">
        <v>1373</v>
      </c>
      <c r="L258" s="555" t="str">
        <f t="shared" ref="L258:L321" ca="1" si="37">IF(AND(INDIRECT(CONCATENATE($J258,$K258,5))=$B258,ISNUMBER(SEARCH("Please",INDIRECT(CONCATENATE($J258,$K258,2)),1))=FALSE),SUMPRODUCT(MID(0&amp;INDIRECT(CONCATENATE($J258,$K258,2)), LARGE(INDEX(ISNUMBER(--MID(INDIRECT(CONCATENATE($J258,$K258,2)), ROW(INDIRECT("1:"&amp;LEN(INDIRECT(CONCATENATE($J258,$K258,2))))),1))*ROW(INDIRECT("1:"&amp;LEN(INDIRECT(CONCATENATE($J258,$K258,2))))),0), ROW(INDIRECT("1:"&amp;LEN(INDIRECT(CONCATENATE($J258,$K258,2))))))+1,1)*10^ROW(INDIRECT("1:"&amp;LEN(INDIRECT(CONCATENATE($J258,$K258,2)))))/10),"")</f>
        <v/>
      </c>
      <c r="M258" s="494" t="s">
        <v>1374</v>
      </c>
      <c r="N258" s="555" t="str">
        <f t="shared" ref="N258:N321" ca="1" si="38">IF(AND(INDIRECT(CONCATENATE($J258,$K258,5))=$B258,ISNUMBER(SEARCH("Select",INDIRECT(CONCATENATE($J258,$M258,6)),1))=FALSE),INDIRECT(CONCATENATE($J258,$M258,6)),"")</f>
        <v/>
      </c>
      <c r="O258" s="494" t="s">
        <v>1375</v>
      </c>
      <c r="P258" s="555" t="str">
        <f t="shared" ref="P258:P321" ca="1" si="39">IF(AND(INDIRECT(CONCATENATE($J258,$K258,5))=$B258,ISNUMBER(SEARCH("Select",INDIRECT(CONCATENATE($J258,$O258,6)),1))=FALSE),INDIRECT(CONCATENATE($J258,$O258,6)),"")</f>
        <v/>
      </c>
      <c r="Q258" s="494" t="s">
        <v>1424</v>
      </c>
      <c r="R258" s="494" t="str">
        <f t="shared" si="36"/>
        <v>H258</v>
      </c>
      <c r="S258" s="494" t="s">
        <v>1425</v>
      </c>
      <c r="T258" s="494">
        <v>6</v>
      </c>
      <c r="U258" s="556" t="str">
        <f t="shared" ref="U258:U321" ca="1" si="40">IF(AND($B258=INDIRECT(CONCATENATE($J258,$K258,5)),ISBLANK(INDEX(INDIRECT(CONCATENATE($J258,$Q258)),MATCH(INDIRECT($R258),INDIRECT(CONCATENATE($J258,$S258)),0),T258))=FALSE),INDEX(INDIRECT(CONCATENATE($J258,$Q258)),MATCH(INDIRECT($R258),INDIRECT(CONCATENATE($J258,$S258)),0),T258),"")</f>
        <v/>
      </c>
      <c r="V258" s="494">
        <v>7</v>
      </c>
      <c r="W258" s="556" t="str">
        <f t="shared" ref="W258:W321" ca="1" si="41">IF(AND($B258=INDIRECT(CONCATENATE($J258,$K258,5)),ISBLANK(INDEX(INDIRECT(CONCATENATE($J258,$Q258)),MATCH(INDIRECT($R258),INDIRECT(CONCATENATE($J258,$S258)),0),V258))=FALSE),INDEX(INDIRECT(CONCATENATE($J258,$Q258)),MATCH(INDIRECT($R258),INDIRECT(CONCATENATE($J258,$S258)),0),V258),"")</f>
        <v/>
      </c>
      <c r="X258" s="494" t="s">
        <v>1426</v>
      </c>
      <c r="Y258" s="547" t="str">
        <f t="shared" ref="Y258:Y321" ca="1" si="42">IF(AND(INDIRECT(CONCATENATE($J258,$K258,5))=$B258,ISBLANK(INDIRECT(CONCATENATE($J258,X258)))=FALSE),INDIRECT(CONCATENATE($J258,X258)),"")</f>
        <v/>
      </c>
      <c r="Z258" s="494" t="s">
        <v>1427</v>
      </c>
      <c r="AA258" s="547" t="str">
        <f t="shared" ref="AA258:AA321" ca="1" si="43">IF(AND(INDIRECT(CONCATENATE($J258,$K258,"5"))=$B258,ISBLANK(INDIRECT(CONCATENATE($J258,Z258)))=FALSE),INDIRECT(CONCATENATE($J258,Z258)),"")</f>
        <v/>
      </c>
      <c r="AB258" s="494" t="s">
        <v>1428</v>
      </c>
      <c r="AC258" s="547" t="str">
        <f t="shared" ref="AC258:AC321" ca="1" si="44">IF(AND(INDIRECT(CONCATENATE($J258,$K258,"5"))=$B258,ISBLANK(INDIRECT(CONCATENATE($J258,AB258)))=FALSE),INDIRECT(CONCATENATE($J258,AB258)),"")</f>
        <v/>
      </c>
      <c r="AD258" s="557"/>
      <c r="AE258" s="958"/>
    </row>
    <row r="259" spans="1:31" ht="15" customHeight="1">
      <c r="A259" s="957">
        <v>61</v>
      </c>
      <c r="B259" s="566" t="s">
        <v>653</v>
      </c>
      <c r="C259" s="567" t="s">
        <v>1369</v>
      </c>
      <c r="D259" s="958">
        <v>1</v>
      </c>
      <c r="E259" s="959" t="s">
        <v>683</v>
      </c>
      <c r="F259" s="558" t="s">
        <v>1386</v>
      </c>
      <c r="G259" s="558">
        <v>771</v>
      </c>
      <c r="H259" s="558">
        <v>12.2</v>
      </c>
      <c r="I259" s="559" t="s">
        <v>703</v>
      </c>
      <c r="J259" s="567" t="s">
        <v>1423</v>
      </c>
      <c r="K259" s="961" t="s">
        <v>1373</v>
      </c>
      <c r="L259" s="555" t="str">
        <f t="shared" ca="1" si="37"/>
        <v/>
      </c>
      <c r="M259" s="494" t="s">
        <v>1374</v>
      </c>
      <c r="N259" s="555" t="str">
        <f t="shared" ca="1" si="38"/>
        <v/>
      </c>
      <c r="O259" s="494" t="s">
        <v>1375</v>
      </c>
      <c r="P259" s="555" t="str">
        <f t="shared" ca="1" si="39"/>
        <v/>
      </c>
      <c r="Q259" s="494" t="s">
        <v>1424</v>
      </c>
      <c r="R259" s="494" t="str">
        <f t="shared" si="36"/>
        <v>H259</v>
      </c>
      <c r="S259" s="494" t="s">
        <v>1425</v>
      </c>
      <c r="T259" s="494">
        <v>6</v>
      </c>
      <c r="U259" s="556" t="str">
        <f t="shared" ca="1" si="40"/>
        <v/>
      </c>
      <c r="V259" s="494">
        <v>7</v>
      </c>
      <c r="W259" s="556" t="str">
        <f t="shared" ca="1" si="41"/>
        <v/>
      </c>
      <c r="X259" s="494" t="s">
        <v>1426</v>
      </c>
      <c r="Y259" s="547" t="str">
        <f t="shared" ca="1" si="42"/>
        <v/>
      </c>
      <c r="Z259" s="494" t="s">
        <v>1427</v>
      </c>
      <c r="AA259" s="547" t="str">
        <f t="shared" ca="1" si="43"/>
        <v/>
      </c>
      <c r="AB259" s="494" t="s">
        <v>1428</v>
      </c>
      <c r="AC259" s="547" t="str">
        <f t="shared" ca="1" si="44"/>
        <v/>
      </c>
      <c r="AD259" s="557"/>
      <c r="AE259" s="958"/>
    </row>
    <row r="260" spans="1:31" ht="15" customHeight="1">
      <c r="A260" s="957">
        <v>61</v>
      </c>
      <c r="B260" s="566" t="s">
        <v>653</v>
      </c>
      <c r="C260" s="567" t="s">
        <v>1369</v>
      </c>
      <c r="D260" s="958">
        <v>1</v>
      </c>
      <c r="E260" s="959" t="s">
        <v>683</v>
      </c>
      <c r="F260" s="558" t="s">
        <v>1386</v>
      </c>
      <c r="G260" s="558">
        <v>772</v>
      </c>
      <c r="H260" s="558">
        <v>13.1</v>
      </c>
      <c r="I260" s="559" t="s">
        <v>704</v>
      </c>
      <c r="J260" s="567" t="s">
        <v>1423</v>
      </c>
      <c r="K260" s="961" t="s">
        <v>1373</v>
      </c>
      <c r="L260" s="555" t="str">
        <f t="shared" ca="1" si="37"/>
        <v/>
      </c>
      <c r="M260" s="494" t="s">
        <v>1374</v>
      </c>
      <c r="N260" s="555" t="str">
        <f t="shared" ca="1" si="38"/>
        <v/>
      </c>
      <c r="O260" s="494" t="s">
        <v>1375</v>
      </c>
      <c r="P260" s="555" t="str">
        <f t="shared" ca="1" si="39"/>
        <v/>
      </c>
      <c r="Q260" s="494" t="s">
        <v>1424</v>
      </c>
      <c r="R260" s="494" t="str">
        <f t="shared" si="36"/>
        <v>H260</v>
      </c>
      <c r="S260" s="494" t="s">
        <v>1425</v>
      </c>
      <c r="T260" s="494">
        <v>6</v>
      </c>
      <c r="U260" s="556" t="str">
        <f t="shared" ca="1" si="40"/>
        <v/>
      </c>
      <c r="V260" s="494">
        <v>7</v>
      </c>
      <c r="W260" s="556" t="str">
        <f t="shared" ca="1" si="41"/>
        <v/>
      </c>
      <c r="X260" s="494" t="s">
        <v>1426</v>
      </c>
      <c r="Y260" s="547" t="str">
        <f t="shared" ca="1" si="42"/>
        <v/>
      </c>
      <c r="Z260" s="494" t="s">
        <v>1427</v>
      </c>
      <c r="AA260" s="547" t="str">
        <f t="shared" ca="1" si="43"/>
        <v/>
      </c>
      <c r="AB260" s="494" t="s">
        <v>1428</v>
      </c>
      <c r="AC260" s="547" t="str">
        <f t="shared" ca="1" si="44"/>
        <v/>
      </c>
      <c r="AD260" s="557"/>
      <c r="AE260" s="958"/>
    </row>
    <row r="261" spans="1:31" ht="15" customHeight="1">
      <c r="A261" s="957">
        <v>61</v>
      </c>
      <c r="B261" s="566" t="s">
        <v>653</v>
      </c>
      <c r="C261" s="567" t="s">
        <v>1369</v>
      </c>
      <c r="D261" s="958">
        <v>1</v>
      </c>
      <c r="E261" s="959" t="s">
        <v>683</v>
      </c>
      <c r="F261" s="558" t="s">
        <v>1386</v>
      </c>
      <c r="G261" s="558">
        <v>773</v>
      </c>
      <c r="H261" s="558">
        <v>14.1</v>
      </c>
      <c r="I261" s="559" t="s">
        <v>706</v>
      </c>
      <c r="J261" s="567" t="s">
        <v>1423</v>
      </c>
      <c r="K261" s="961" t="s">
        <v>1373</v>
      </c>
      <c r="L261" s="555" t="str">
        <f t="shared" ca="1" si="37"/>
        <v/>
      </c>
      <c r="M261" s="494" t="s">
        <v>1374</v>
      </c>
      <c r="N261" s="555" t="str">
        <f t="shared" ca="1" si="38"/>
        <v/>
      </c>
      <c r="O261" s="494" t="s">
        <v>1375</v>
      </c>
      <c r="P261" s="555" t="str">
        <f t="shared" ca="1" si="39"/>
        <v/>
      </c>
      <c r="Q261" s="494" t="s">
        <v>1424</v>
      </c>
      <c r="R261" s="494" t="str">
        <f t="shared" si="36"/>
        <v>H261</v>
      </c>
      <c r="S261" s="494" t="s">
        <v>1425</v>
      </c>
      <c r="T261" s="494">
        <v>6</v>
      </c>
      <c r="U261" s="556" t="str">
        <f t="shared" ca="1" si="40"/>
        <v/>
      </c>
      <c r="V261" s="494">
        <v>7</v>
      </c>
      <c r="W261" s="556" t="str">
        <f t="shared" ca="1" si="41"/>
        <v/>
      </c>
      <c r="X261" s="494" t="s">
        <v>1426</v>
      </c>
      <c r="Y261" s="547" t="str">
        <f t="shared" ca="1" si="42"/>
        <v/>
      </c>
      <c r="Z261" s="494" t="s">
        <v>1427</v>
      </c>
      <c r="AA261" s="547" t="str">
        <f t="shared" ca="1" si="43"/>
        <v/>
      </c>
      <c r="AB261" s="494" t="s">
        <v>1428</v>
      </c>
      <c r="AC261" s="547" t="str">
        <f t="shared" ca="1" si="44"/>
        <v/>
      </c>
      <c r="AD261" s="557"/>
      <c r="AE261" s="958"/>
    </row>
    <row r="262" spans="1:31" ht="15" customHeight="1">
      <c r="A262" s="957">
        <v>61</v>
      </c>
      <c r="B262" s="566" t="s">
        <v>653</v>
      </c>
      <c r="C262" s="567" t="s">
        <v>1369</v>
      </c>
      <c r="D262" s="958">
        <v>1</v>
      </c>
      <c r="E262" s="959" t="s">
        <v>683</v>
      </c>
      <c r="F262" s="558" t="s">
        <v>1386</v>
      </c>
      <c r="G262" s="558">
        <v>774</v>
      </c>
      <c r="H262" s="558">
        <v>14.2</v>
      </c>
      <c r="I262" s="559" t="s">
        <v>708</v>
      </c>
      <c r="J262" s="567" t="s">
        <v>1423</v>
      </c>
      <c r="K262" s="961" t="s">
        <v>1373</v>
      </c>
      <c r="L262" s="555" t="str">
        <f t="shared" ca="1" si="37"/>
        <v/>
      </c>
      <c r="M262" s="494" t="s">
        <v>1374</v>
      </c>
      <c r="N262" s="555" t="str">
        <f t="shared" ca="1" si="38"/>
        <v/>
      </c>
      <c r="O262" s="494" t="s">
        <v>1375</v>
      </c>
      <c r="P262" s="555" t="str">
        <f t="shared" ca="1" si="39"/>
        <v/>
      </c>
      <c r="Q262" s="494" t="s">
        <v>1424</v>
      </c>
      <c r="R262" s="494" t="str">
        <f t="shared" si="36"/>
        <v>H262</v>
      </c>
      <c r="S262" s="494" t="s">
        <v>1425</v>
      </c>
      <c r="T262" s="494">
        <v>6</v>
      </c>
      <c r="U262" s="556" t="str">
        <f t="shared" ca="1" si="40"/>
        <v/>
      </c>
      <c r="V262" s="494">
        <v>7</v>
      </c>
      <c r="W262" s="556" t="str">
        <f t="shared" ca="1" si="41"/>
        <v/>
      </c>
      <c r="X262" s="494" t="s">
        <v>1426</v>
      </c>
      <c r="Y262" s="547" t="str">
        <f t="shared" ca="1" si="42"/>
        <v/>
      </c>
      <c r="Z262" s="494" t="s">
        <v>1427</v>
      </c>
      <c r="AA262" s="547" t="str">
        <f t="shared" ca="1" si="43"/>
        <v/>
      </c>
      <c r="AB262" s="494" t="s">
        <v>1428</v>
      </c>
      <c r="AC262" s="547" t="str">
        <f t="shared" ca="1" si="44"/>
        <v/>
      </c>
      <c r="AD262" s="557"/>
      <c r="AE262" s="958"/>
    </row>
    <row r="263" spans="1:31" ht="15" customHeight="1">
      <c r="A263" s="957">
        <v>61</v>
      </c>
      <c r="B263" s="566" t="s">
        <v>653</v>
      </c>
      <c r="C263" s="567" t="s">
        <v>1369</v>
      </c>
      <c r="D263" s="958">
        <v>1</v>
      </c>
      <c r="E263" s="959" t="s">
        <v>683</v>
      </c>
      <c r="F263" s="558" t="s">
        <v>1386</v>
      </c>
      <c r="G263" s="558">
        <v>775</v>
      </c>
      <c r="H263" s="558">
        <v>15</v>
      </c>
      <c r="I263" s="559" t="s">
        <v>711</v>
      </c>
      <c r="J263" s="567" t="s">
        <v>1423</v>
      </c>
      <c r="K263" s="961" t="s">
        <v>1373</v>
      </c>
      <c r="L263" s="555" t="str">
        <f t="shared" ca="1" si="37"/>
        <v/>
      </c>
      <c r="M263" s="494" t="s">
        <v>1374</v>
      </c>
      <c r="N263" s="555" t="str">
        <f t="shared" ca="1" si="38"/>
        <v/>
      </c>
      <c r="O263" s="494" t="s">
        <v>1375</v>
      </c>
      <c r="P263" s="555" t="str">
        <f t="shared" ca="1" si="39"/>
        <v/>
      </c>
      <c r="Q263" s="494" t="s">
        <v>1424</v>
      </c>
      <c r="R263" s="494" t="str">
        <f t="shared" si="36"/>
        <v>H263</v>
      </c>
      <c r="S263" s="494" t="s">
        <v>1425</v>
      </c>
      <c r="T263" s="494">
        <v>6</v>
      </c>
      <c r="U263" s="556" t="str">
        <f t="shared" ca="1" si="40"/>
        <v/>
      </c>
      <c r="V263" s="494">
        <v>7</v>
      </c>
      <c r="W263" s="556" t="str">
        <f t="shared" ca="1" si="41"/>
        <v/>
      </c>
      <c r="X263" s="494" t="s">
        <v>1426</v>
      </c>
      <c r="Y263" s="547" t="str">
        <f t="shared" ca="1" si="42"/>
        <v/>
      </c>
      <c r="Z263" s="494" t="s">
        <v>1427</v>
      </c>
      <c r="AA263" s="547" t="str">
        <f t="shared" ca="1" si="43"/>
        <v/>
      </c>
      <c r="AB263" s="494" t="s">
        <v>1428</v>
      </c>
      <c r="AC263" s="547" t="str">
        <f t="shared" ca="1" si="44"/>
        <v/>
      </c>
      <c r="AD263" s="557"/>
      <c r="AE263" s="958"/>
    </row>
    <row r="264" spans="1:31" ht="15" customHeight="1">
      <c r="A264" s="957">
        <v>61</v>
      </c>
      <c r="B264" s="566" t="s">
        <v>653</v>
      </c>
      <c r="C264" s="567" t="s">
        <v>1369</v>
      </c>
      <c r="D264" s="958">
        <v>1</v>
      </c>
      <c r="E264" s="959" t="s">
        <v>683</v>
      </c>
      <c r="F264" s="558" t="s">
        <v>1386</v>
      </c>
      <c r="G264" s="558">
        <v>776</v>
      </c>
      <c r="H264" s="558">
        <v>15.1</v>
      </c>
      <c r="I264" s="559" t="s">
        <v>712</v>
      </c>
      <c r="J264" s="567" t="s">
        <v>1423</v>
      </c>
      <c r="K264" s="961" t="s">
        <v>1373</v>
      </c>
      <c r="L264" s="555" t="str">
        <f t="shared" ca="1" si="37"/>
        <v/>
      </c>
      <c r="M264" s="494" t="s">
        <v>1374</v>
      </c>
      <c r="N264" s="555" t="str">
        <f t="shared" ca="1" si="38"/>
        <v/>
      </c>
      <c r="O264" s="494" t="s">
        <v>1375</v>
      </c>
      <c r="P264" s="555" t="str">
        <f t="shared" ca="1" si="39"/>
        <v/>
      </c>
      <c r="Q264" s="494" t="s">
        <v>1424</v>
      </c>
      <c r="R264" s="494" t="str">
        <f t="shared" si="36"/>
        <v>H264</v>
      </c>
      <c r="S264" s="494" t="s">
        <v>1425</v>
      </c>
      <c r="T264" s="494">
        <v>6</v>
      </c>
      <c r="U264" s="556" t="str">
        <f t="shared" ca="1" si="40"/>
        <v/>
      </c>
      <c r="V264" s="494">
        <v>7</v>
      </c>
      <c r="W264" s="556" t="str">
        <f t="shared" ca="1" si="41"/>
        <v/>
      </c>
      <c r="X264" s="494" t="s">
        <v>1426</v>
      </c>
      <c r="Y264" s="547" t="str">
        <f t="shared" ca="1" si="42"/>
        <v/>
      </c>
      <c r="Z264" s="494" t="s">
        <v>1427</v>
      </c>
      <c r="AA264" s="547" t="str">
        <f t="shared" ca="1" si="43"/>
        <v/>
      </c>
      <c r="AB264" s="494" t="s">
        <v>1428</v>
      </c>
      <c r="AC264" s="547" t="str">
        <f t="shared" ca="1" si="44"/>
        <v/>
      </c>
      <c r="AD264" s="557"/>
      <c r="AE264" s="958"/>
    </row>
    <row r="265" spans="1:31" ht="15" customHeight="1">
      <c r="A265" s="957">
        <v>61</v>
      </c>
      <c r="B265" s="566" t="s">
        <v>653</v>
      </c>
      <c r="C265" s="567" t="s">
        <v>1369</v>
      </c>
      <c r="D265" s="958">
        <v>1</v>
      </c>
      <c r="E265" s="959" t="s">
        <v>713</v>
      </c>
      <c r="F265" s="558" t="s">
        <v>1392</v>
      </c>
      <c r="G265" s="558">
        <v>778</v>
      </c>
      <c r="H265" s="558">
        <v>16.100000000000001</v>
      </c>
      <c r="I265" s="559" t="s">
        <v>716</v>
      </c>
      <c r="J265" s="567" t="s">
        <v>1423</v>
      </c>
      <c r="K265" s="961" t="s">
        <v>1373</v>
      </c>
      <c r="L265" s="555" t="str">
        <f t="shared" ca="1" si="37"/>
        <v/>
      </c>
      <c r="M265" s="494" t="s">
        <v>1374</v>
      </c>
      <c r="N265" s="555" t="str">
        <f t="shared" ca="1" si="38"/>
        <v/>
      </c>
      <c r="O265" s="494" t="s">
        <v>1375</v>
      </c>
      <c r="P265" s="555" t="str">
        <f t="shared" ca="1" si="39"/>
        <v/>
      </c>
      <c r="Q265" s="494" t="s">
        <v>1424</v>
      </c>
      <c r="R265" s="494" t="str">
        <f t="shared" si="36"/>
        <v>H265</v>
      </c>
      <c r="S265" s="494" t="s">
        <v>1425</v>
      </c>
      <c r="T265" s="494">
        <v>6</v>
      </c>
      <c r="U265" s="556" t="str">
        <f t="shared" ca="1" si="40"/>
        <v/>
      </c>
      <c r="V265" s="494">
        <v>7</v>
      </c>
      <c r="W265" s="556" t="str">
        <f t="shared" ca="1" si="41"/>
        <v/>
      </c>
      <c r="X265" s="494" t="s">
        <v>1426</v>
      </c>
      <c r="Y265" s="547" t="str">
        <f t="shared" ca="1" si="42"/>
        <v/>
      </c>
      <c r="Z265" s="494" t="s">
        <v>1427</v>
      </c>
      <c r="AA265" s="547" t="str">
        <f t="shared" ca="1" si="43"/>
        <v/>
      </c>
      <c r="AB265" s="494" t="s">
        <v>1428</v>
      </c>
      <c r="AC265" s="547" t="str">
        <f t="shared" ca="1" si="44"/>
        <v/>
      </c>
      <c r="AD265" s="557"/>
      <c r="AE265" s="958"/>
    </row>
    <row r="266" spans="1:31" ht="15" customHeight="1">
      <c r="A266" s="957">
        <v>61</v>
      </c>
      <c r="B266" s="566" t="s">
        <v>653</v>
      </c>
      <c r="C266" s="567" t="s">
        <v>1369</v>
      </c>
      <c r="D266" s="958">
        <v>1</v>
      </c>
      <c r="E266" s="959" t="s">
        <v>713</v>
      </c>
      <c r="F266" s="558" t="s">
        <v>1392</v>
      </c>
      <c r="G266" s="558">
        <v>779</v>
      </c>
      <c r="H266" s="558">
        <v>17.100000000000001</v>
      </c>
      <c r="I266" s="559" t="s">
        <v>718</v>
      </c>
      <c r="J266" s="567" t="s">
        <v>1423</v>
      </c>
      <c r="K266" s="961" t="s">
        <v>1373</v>
      </c>
      <c r="L266" s="555" t="str">
        <f t="shared" ca="1" si="37"/>
        <v/>
      </c>
      <c r="M266" s="494" t="s">
        <v>1374</v>
      </c>
      <c r="N266" s="555" t="str">
        <f t="shared" ca="1" si="38"/>
        <v/>
      </c>
      <c r="O266" s="494" t="s">
        <v>1375</v>
      </c>
      <c r="P266" s="555" t="str">
        <f t="shared" ca="1" si="39"/>
        <v/>
      </c>
      <c r="Q266" s="494" t="s">
        <v>1424</v>
      </c>
      <c r="R266" s="494" t="str">
        <f t="shared" si="36"/>
        <v>H266</v>
      </c>
      <c r="S266" s="494" t="s">
        <v>1425</v>
      </c>
      <c r="T266" s="494">
        <v>6</v>
      </c>
      <c r="U266" s="556" t="str">
        <f t="shared" ca="1" si="40"/>
        <v/>
      </c>
      <c r="V266" s="494">
        <v>7</v>
      </c>
      <c r="W266" s="556" t="str">
        <f t="shared" ca="1" si="41"/>
        <v/>
      </c>
      <c r="X266" s="494" t="s">
        <v>1426</v>
      </c>
      <c r="Y266" s="547" t="str">
        <f t="shared" ca="1" si="42"/>
        <v/>
      </c>
      <c r="Z266" s="494" t="s">
        <v>1427</v>
      </c>
      <c r="AA266" s="547" t="str">
        <f t="shared" ca="1" si="43"/>
        <v/>
      </c>
      <c r="AB266" s="494" t="s">
        <v>1428</v>
      </c>
      <c r="AC266" s="547" t="str">
        <f t="shared" ca="1" si="44"/>
        <v/>
      </c>
      <c r="AD266" s="557"/>
      <c r="AE266" s="958"/>
    </row>
    <row r="267" spans="1:31" ht="15" customHeight="1">
      <c r="A267" s="957">
        <v>61</v>
      </c>
      <c r="B267" s="566" t="s">
        <v>653</v>
      </c>
      <c r="C267" s="567" t="s">
        <v>1369</v>
      </c>
      <c r="D267" s="958">
        <v>1</v>
      </c>
      <c r="E267" s="959" t="s">
        <v>713</v>
      </c>
      <c r="F267" s="558" t="s">
        <v>1392</v>
      </c>
      <c r="G267" s="558">
        <v>779</v>
      </c>
      <c r="H267" s="558">
        <v>17.2</v>
      </c>
      <c r="I267" s="559" t="s">
        <v>719</v>
      </c>
      <c r="J267" s="567" t="s">
        <v>1423</v>
      </c>
      <c r="K267" s="961" t="s">
        <v>1373</v>
      </c>
      <c r="L267" s="555" t="str">
        <f t="shared" ca="1" si="37"/>
        <v/>
      </c>
      <c r="M267" s="494" t="s">
        <v>1374</v>
      </c>
      <c r="N267" s="555" t="str">
        <f t="shared" ca="1" si="38"/>
        <v/>
      </c>
      <c r="O267" s="494" t="s">
        <v>1375</v>
      </c>
      <c r="P267" s="555" t="str">
        <f t="shared" ca="1" si="39"/>
        <v/>
      </c>
      <c r="Q267" s="494" t="s">
        <v>1424</v>
      </c>
      <c r="R267" s="494" t="str">
        <f t="shared" si="36"/>
        <v>H267</v>
      </c>
      <c r="S267" s="494" t="s">
        <v>1425</v>
      </c>
      <c r="T267" s="494">
        <v>6</v>
      </c>
      <c r="U267" s="556" t="str">
        <f t="shared" ca="1" si="40"/>
        <v/>
      </c>
      <c r="V267" s="494">
        <v>7</v>
      </c>
      <c r="W267" s="556" t="str">
        <f t="shared" ca="1" si="41"/>
        <v/>
      </c>
      <c r="X267" s="494" t="s">
        <v>1426</v>
      </c>
      <c r="Y267" s="547" t="str">
        <f t="shared" ca="1" si="42"/>
        <v/>
      </c>
      <c r="Z267" s="494" t="s">
        <v>1427</v>
      </c>
      <c r="AA267" s="547" t="str">
        <f t="shared" ca="1" si="43"/>
        <v/>
      </c>
      <c r="AB267" s="494" t="s">
        <v>1428</v>
      </c>
      <c r="AC267" s="547" t="str">
        <f t="shared" ca="1" si="44"/>
        <v/>
      </c>
      <c r="AD267" s="557"/>
      <c r="AE267" s="958"/>
    </row>
    <row r="268" spans="1:31" ht="15" customHeight="1">
      <c r="A268" s="957">
        <v>61</v>
      </c>
      <c r="B268" s="566" t="s">
        <v>653</v>
      </c>
      <c r="C268" s="567" t="s">
        <v>1369</v>
      </c>
      <c r="D268" s="958">
        <v>1</v>
      </c>
      <c r="E268" s="959" t="s">
        <v>713</v>
      </c>
      <c r="F268" s="558" t="s">
        <v>1392</v>
      </c>
      <c r="G268" s="558">
        <v>780</v>
      </c>
      <c r="H268" s="558">
        <v>18.100000000000001</v>
      </c>
      <c r="I268" s="559" t="s">
        <v>722</v>
      </c>
      <c r="J268" s="567" t="s">
        <v>1423</v>
      </c>
      <c r="K268" s="961" t="s">
        <v>1373</v>
      </c>
      <c r="L268" s="555" t="str">
        <f t="shared" ca="1" si="37"/>
        <v/>
      </c>
      <c r="M268" s="494" t="s">
        <v>1374</v>
      </c>
      <c r="N268" s="555" t="str">
        <f t="shared" ca="1" si="38"/>
        <v/>
      </c>
      <c r="O268" s="494" t="s">
        <v>1375</v>
      </c>
      <c r="P268" s="555" t="str">
        <f t="shared" ca="1" si="39"/>
        <v/>
      </c>
      <c r="Q268" s="494" t="s">
        <v>1424</v>
      </c>
      <c r="R268" s="494" t="str">
        <f t="shared" si="36"/>
        <v>H268</v>
      </c>
      <c r="S268" s="494" t="s">
        <v>1425</v>
      </c>
      <c r="T268" s="494">
        <v>6</v>
      </c>
      <c r="U268" s="556" t="str">
        <f t="shared" ca="1" si="40"/>
        <v/>
      </c>
      <c r="V268" s="494">
        <v>7</v>
      </c>
      <c r="W268" s="556" t="str">
        <f t="shared" ca="1" si="41"/>
        <v/>
      </c>
      <c r="X268" s="494" t="s">
        <v>1426</v>
      </c>
      <c r="Y268" s="547" t="str">
        <f t="shared" ca="1" si="42"/>
        <v/>
      </c>
      <c r="Z268" s="494" t="s">
        <v>1427</v>
      </c>
      <c r="AA268" s="547" t="str">
        <f t="shared" ca="1" si="43"/>
        <v/>
      </c>
      <c r="AB268" s="494" t="s">
        <v>1428</v>
      </c>
      <c r="AC268" s="547" t="str">
        <f t="shared" ca="1" si="44"/>
        <v/>
      </c>
      <c r="AD268" s="557"/>
      <c r="AE268" s="958"/>
    </row>
    <row r="269" spans="1:31" ht="15" customHeight="1">
      <c r="A269" s="957">
        <v>61</v>
      </c>
      <c r="B269" s="566" t="s">
        <v>653</v>
      </c>
      <c r="C269" s="567" t="s">
        <v>1369</v>
      </c>
      <c r="D269" s="958">
        <v>1</v>
      </c>
      <c r="E269" s="959" t="s">
        <v>713</v>
      </c>
      <c r="F269" s="558" t="s">
        <v>1392</v>
      </c>
      <c r="G269" s="558">
        <v>782</v>
      </c>
      <c r="H269" s="558">
        <v>19.100000000000001</v>
      </c>
      <c r="I269" s="559" t="s">
        <v>734</v>
      </c>
      <c r="J269" s="567" t="s">
        <v>1423</v>
      </c>
      <c r="K269" s="961" t="s">
        <v>1373</v>
      </c>
      <c r="L269" s="555" t="str">
        <f t="shared" ca="1" si="37"/>
        <v/>
      </c>
      <c r="M269" s="494" t="s">
        <v>1374</v>
      </c>
      <c r="N269" s="555" t="str">
        <f t="shared" ca="1" si="38"/>
        <v/>
      </c>
      <c r="O269" s="494" t="s">
        <v>1375</v>
      </c>
      <c r="P269" s="555" t="str">
        <f t="shared" ca="1" si="39"/>
        <v/>
      </c>
      <c r="Q269" s="494" t="s">
        <v>1424</v>
      </c>
      <c r="R269" s="494" t="str">
        <f t="shared" si="36"/>
        <v>H269</v>
      </c>
      <c r="S269" s="494" t="s">
        <v>1425</v>
      </c>
      <c r="T269" s="494">
        <v>6</v>
      </c>
      <c r="U269" s="556" t="str">
        <f t="shared" ca="1" si="40"/>
        <v/>
      </c>
      <c r="V269" s="494">
        <v>7</v>
      </c>
      <c r="W269" s="556" t="str">
        <f t="shared" ca="1" si="41"/>
        <v/>
      </c>
      <c r="X269" s="494" t="s">
        <v>1426</v>
      </c>
      <c r="Y269" s="547" t="str">
        <f t="shared" ca="1" si="42"/>
        <v/>
      </c>
      <c r="Z269" s="494" t="s">
        <v>1427</v>
      </c>
      <c r="AA269" s="547" t="str">
        <f t="shared" ca="1" si="43"/>
        <v/>
      </c>
      <c r="AB269" s="494" t="s">
        <v>1428</v>
      </c>
      <c r="AC269" s="547" t="str">
        <f t="shared" ca="1" si="44"/>
        <v/>
      </c>
      <c r="AD269" s="557"/>
      <c r="AE269" s="958"/>
    </row>
    <row r="270" spans="1:31" ht="15" customHeight="1">
      <c r="A270" s="957">
        <v>61</v>
      </c>
      <c r="B270" s="566" t="s">
        <v>653</v>
      </c>
      <c r="C270" s="567" t="s">
        <v>1369</v>
      </c>
      <c r="D270" s="958">
        <v>1</v>
      </c>
      <c r="E270" s="959" t="s">
        <v>713</v>
      </c>
      <c r="F270" s="558" t="s">
        <v>1392</v>
      </c>
      <c r="G270" s="558">
        <v>783</v>
      </c>
      <c r="H270" s="558">
        <v>19.2</v>
      </c>
      <c r="I270" s="559" t="s">
        <v>735</v>
      </c>
      <c r="J270" s="567" t="s">
        <v>1423</v>
      </c>
      <c r="K270" s="961" t="s">
        <v>1373</v>
      </c>
      <c r="L270" s="555" t="str">
        <f t="shared" ca="1" si="37"/>
        <v/>
      </c>
      <c r="M270" s="494" t="s">
        <v>1374</v>
      </c>
      <c r="N270" s="555" t="str">
        <f t="shared" ca="1" si="38"/>
        <v/>
      </c>
      <c r="O270" s="494" t="s">
        <v>1375</v>
      </c>
      <c r="P270" s="555" t="str">
        <f t="shared" ca="1" si="39"/>
        <v/>
      </c>
      <c r="Q270" s="494" t="s">
        <v>1424</v>
      </c>
      <c r="R270" s="494" t="str">
        <f t="shared" si="36"/>
        <v>H270</v>
      </c>
      <c r="S270" s="494" t="s">
        <v>1425</v>
      </c>
      <c r="T270" s="494">
        <v>6</v>
      </c>
      <c r="U270" s="556" t="str">
        <f t="shared" ca="1" si="40"/>
        <v/>
      </c>
      <c r="V270" s="494">
        <v>7</v>
      </c>
      <c r="W270" s="556" t="str">
        <f t="shared" ca="1" si="41"/>
        <v/>
      </c>
      <c r="X270" s="494" t="s">
        <v>1426</v>
      </c>
      <c r="Y270" s="547" t="str">
        <f t="shared" ca="1" si="42"/>
        <v/>
      </c>
      <c r="Z270" s="494" t="s">
        <v>1427</v>
      </c>
      <c r="AA270" s="547" t="str">
        <f t="shared" ca="1" si="43"/>
        <v/>
      </c>
      <c r="AB270" s="494" t="s">
        <v>1428</v>
      </c>
      <c r="AC270" s="547" t="str">
        <f t="shared" ca="1" si="44"/>
        <v/>
      </c>
      <c r="AD270" s="557"/>
      <c r="AE270" s="958"/>
    </row>
    <row r="271" spans="1:31" ht="15" customHeight="1">
      <c r="A271" s="957">
        <v>61</v>
      </c>
      <c r="B271" s="566" t="s">
        <v>653</v>
      </c>
      <c r="C271" s="567" t="s">
        <v>1369</v>
      </c>
      <c r="D271" s="958">
        <v>1</v>
      </c>
      <c r="E271" s="959" t="s">
        <v>713</v>
      </c>
      <c r="F271" s="558" t="s">
        <v>1392</v>
      </c>
      <c r="G271" s="558">
        <v>784</v>
      </c>
      <c r="H271" s="558">
        <v>19.3</v>
      </c>
      <c r="I271" s="559" t="s">
        <v>736</v>
      </c>
      <c r="J271" s="567" t="s">
        <v>1423</v>
      </c>
      <c r="K271" s="961" t="s">
        <v>1373</v>
      </c>
      <c r="L271" s="555" t="str">
        <f t="shared" ca="1" si="37"/>
        <v/>
      </c>
      <c r="M271" s="494" t="s">
        <v>1374</v>
      </c>
      <c r="N271" s="555" t="str">
        <f t="shared" ca="1" si="38"/>
        <v/>
      </c>
      <c r="O271" s="494" t="s">
        <v>1375</v>
      </c>
      <c r="P271" s="555" t="str">
        <f t="shared" ca="1" si="39"/>
        <v/>
      </c>
      <c r="Q271" s="494" t="s">
        <v>1424</v>
      </c>
      <c r="R271" s="494" t="str">
        <f t="shared" si="36"/>
        <v>H271</v>
      </c>
      <c r="S271" s="494" t="s">
        <v>1425</v>
      </c>
      <c r="T271" s="494">
        <v>6</v>
      </c>
      <c r="U271" s="556" t="str">
        <f t="shared" ca="1" si="40"/>
        <v/>
      </c>
      <c r="V271" s="494">
        <v>7</v>
      </c>
      <c r="W271" s="556" t="str">
        <f t="shared" ca="1" si="41"/>
        <v/>
      </c>
      <c r="X271" s="494" t="s">
        <v>1426</v>
      </c>
      <c r="Y271" s="547" t="str">
        <f t="shared" ca="1" si="42"/>
        <v/>
      </c>
      <c r="Z271" s="494" t="s">
        <v>1427</v>
      </c>
      <c r="AA271" s="547" t="str">
        <f t="shared" ca="1" si="43"/>
        <v/>
      </c>
      <c r="AB271" s="494" t="s">
        <v>1428</v>
      </c>
      <c r="AC271" s="547" t="str">
        <f t="shared" ca="1" si="44"/>
        <v/>
      </c>
      <c r="AD271" s="557"/>
      <c r="AE271" s="958"/>
    </row>
    <row r="272" spans="1:31" ht="15" customHeight="1">
      <c r="A272" s="957">
        <v>61</v>
      </c>
      <c r="B272" s="566" t="s">
        <v>653</v>
      </c>
      <c r="C272" s="567" t="s">
        <v>1369</v>
      </c>
      <c r="D272" s="958">
        <v>1</v>
      </c>
      <c r="E272" s="959" t="s">
        <v>713</v>
      </c>
      <c r="F272" s="558" t="s">
        <v>1392</v>
      </c>
      <c r="G272" s="558">
        <v>785</v>
      </c>
      <c r="H272" s="558">
        <v>20.100000000000001</v>
      </c>
      <c r="I272" s="559" t="s">
        <v>739</v>
      </c>
      <c r="J272" s="567" t="s">
        <v>1423</v>
      </c>
      <c r="K272" s="961" t="s">
        <v>1373</v>
      </c>
      <c r="L272" s="555" t="str">
        <f t="shared" ca="1" si="37"/>
        <v/>
      </c>
      <c r="M272" s="494" t="s">
        <v>1374</v>
      </c>
      <c r="N272" s="555" t="str">
        <f t="shared" ca="1" si="38"/>
        <v/>
      </c>
      <c r="O272" s="494" t="s">
        <v>1375</v>
      </c>
      <c r="P272" s="555" t="str">
        <f t="shared" ca="1" si="39"/>
        <v/>
      </c>
      <c r="Q272" s="494" t="s">
        <v>1424</v>
      </c>
      <c r="R272" s="494" t="str">
        <f t="shared" si="36"/>
        <v>H272</v>
      </c>
      <c r="S272" s="494" t="s">
        <v>1425</v>
      </c>
      <c r="T272" s="494">
        <v>6</v>
      </c>
      <c r="U272" s="556" t="str">
        <f t="shared" ca="1" si="40"/>
        <v/>
      </c>
      <c r="V272" s="494">
        <v>7</v>
      </c>
      <c r="W272" s="556" t="str">
        <f t="shared" ca="1" si="41"/>
        <v/>
      </c>
      <c r="X272" s="494" t="s">
        <v>1426</v>
      </c>
      <c r="Y272" s="547" t="str">
        <f t="shared" ca="1" si="42"/>
        <v/>
      </c>
      <c r="Z272" s="494" t="s">
        <v>1427</v>
      </c>
      <c r="AA272" s="547" t="str">
        <f t="shared" ca="1" si="43"/>
        <v/>
      </c>
      <c r="AB272" s="494" t="s">
        <v>1428</v>
      </c>
      <c r="AC272" s="547" t="str">
        <f t="shared" ca="1" si="44"/>
        <v/>
      </c>
      <c r="AD272" s="557"/>
      <c r="AE272" s="958"/>
    </row>
    <row r="273" spans="1:31" ht="15" customHeight="1">
      <c r="A273" s="957">
        <v>61</v>
      </c>
      <c r="B273" s="566" t="s">
        <v>653</v>
      </c>
      <c r="C273" s="567" t="s">
        <v>1369</v>
      </c>
      <c r="D273" s="958">
        <v>1</v>
      </c>
      <c r="E273" s="959" t="s">
        <v>713</v>
      </c>
      <c r="F273" s="558" t="s">
        <v>1392</v>
      </c>
      <c r="G273" s="558">
        <v>786</v>
      </c>
      <c r="H273" s="558">
        <v>20.2</v>
      </c>
      <c r="I273" s="559" t="s">
        <v>740</v>
      </c>
      <c r="J273" s="567" t="s">
        <v>1423</v>
      </c>
      <c r="K273" s="961" t="s">
        <v>1373</v>
      </c>
      <c r="L273" s="555" t="str">
        <f t="shared" ca="1" si="37"/>
        <v/>
      </c>
      <c r="M273" s="494" t="s">
        <v>1374</v>
      </c>
      <c r="N273" s="555" t="str">
        <f t="shared" ca="1" si="38"/>
        <v/>
      </c>
      <c r="O273" s="494" t="s">
        <v>1375</v>
      </c>
      <c r="P273" s="555" t="str">
        <f t="shared" ca="1" si="39"/>
        <v/>
      </c>
      <c r="Q273" s="494" t="s">
        <v>1424</v>
      </c>
      <c r="R273" s="494" t="str">
        <f t="shared" si="36"/>
        <v>H273</v>
      </c>
      <c r="S273" s="494" t="s">
        <v>1425</v>
      </c>
      <c r="T273" s="494">
        <v>6</v>
      </c>
      <c r="U273" s="556" t="str">
        <f t="shared" ca="1" si="40"/>
        <v/>
      </c>
      <c r="V273" s="494">
        <v>7</v>
      </c>
      <c r="W273" s="556" t="str">
        <f t="shared" ca="1" si="41"/>
        <v/>
      </c>
      <c r="X273" s="494" t="s">
        <v>1426</v>
      </c>
      <c r="Y273" s="547" t="str">
        <f t="shared" ca="1" si="42"/>
        <v/>
      </c>
      <c r="Z273" s="494" t="s">
        <v>1427</v>
      </c>
      <c r="AA273" s="547" t="str">
        <f t="shared" ca="1" si="43"/>
        <v/>
      </c>
      <c r="AB273" s="494" t="s">
        <v>1428</v>
      </c>
      <c r="AC273" s="547" t="str">
        <f t="shared" ca="1" si="44"/>
        <v/>
      </c>
      <c r="AD273" s="557"/>
      <c r="AE273" s="958"/>
    </row>
    <row r="274" spans="1:31" ht="15" customHeight="1">
      <c r="A274" s="957">
        <v>61</v>
      </c>
      <c r="B274" s="566" t="s">
        <v>653</v>
      </c>
      <c r="C274" s="567" t="s">
        <v>1369</v>
      </c>
      <c r="D274" s="958">
        <v>1</v>
      </c>
      <c r="E274" s="959" t="s">
        <v>713</v>
      </c>
      <c r="F274" s="558" t="s">
        <v>1392</v>
      </c>
      <c r="G274" s="558">
        <v>787</v>
      </c>
      <c r="H274" s="558">
        <v>21.1</v>
      </c>
      <c r="I274" s="559" t="s">
        <v>742</v>
      </c>
      <c r="J274" s="567" t="s">
        <v>1423</v>
      </c>
      <c r="K274" s="961" t="s">
        <v>1373</v>
      </c>
      <c r="L274" s="555" t="str">
        <f t="shared" ca="1" si="37"/>
        <v/>
      </c>
      <c r="M274" s="494" t="s">
        <v>1374</v>
      </c>
      <c r="N274" s="555" t="str">
        <f t="shared" ca="1" si="38"/>
        <v/>
      </c>
      <c r="O274" s="494" t="s">
        <v>1375</v>
      </c>
      <c r="P274" s="555" t="str">
        <f t="shared" ca="1" si="39"/>
        <v/>
      </c>
      <c r="Q274" s="494" t="s">
        <v>1424</v>
      </c>
      <c r="R274" s="494" t="str">
        <f t="shared" si="36"/>
        <v>H274</v>
      </c>
      <c r="S274" s="494" t="s">
        <v>1425</v>
      </c>
      <c r="T274" s="494">
        <v>6</v>
      </c>
      <c r="U274" s="556" t="str">
        <f t="shared" ca="1" si="40"/>
        <v/>
      </c>
      <c r="V274" s="494">
        <v>7</v>
      </c>
      <c r="W274" s="556" t="str">
        <f t="shared" ca="1" si="41"/>
        <v/>
      </c>
      <c r="X274" s="494" t="s">
        <v>1426</v>
      </c>
      <c r="Y274" s="547" t="str">
        <f t="shared" ca="1" si="42"/>
        <v/>
      </c>
      <c r="Z274" s="494" t="s">
        <v>1427</v>
      </c>
      <c r="AA274" s="547" t="str">
        <f t="shared" ca="1" si="43"/>
        <v/>
      </c>
      <c r="AB274" s="494" t="s">
        <v>1428</v>
      </c>
      <c r="AC274" s="547" t="str">
        <f t="shared" ca="1" si="44"/>
        <v/>
      </c>
      <c r="AD274" s="557"/>
      <c r="AE274" s="958"/>
    </row>
    <row r="275" spans="1:31" ht="15" customHeight="1">
      <c r="A275" s="957">
        <v>61</v>
      </c>
      <c r="B275" s="566" t="s">
        <v>653</v>
      </c>
      <c r="C275" s="567" t="s">
        <v>1369</v>
      </c>
      <c r="D275" s="958">
        <v>1</v>
      </c>
      <c r="E275" s="959" t="s">
        <v>713</v>
      </c>
      <c r="F275" s="558" t="s">
        <v>1392</v>
      </c>
      <c r="G275" s="558">
        <v>787</v>
      </c>
      <c r="H275" s="558">
        <v>21.2</v>
      </c>
      <c r="I275" s="559" t="s">
        <v>743</v>
      </c>
      <c r="J275" s="567" t="s">
        <v>1423</v>
      </c>
      <c r="K275" s="961" t="s">
        <v>1373</v>
      </c>
      <c r="L275" s="555" t="str">
        <f t="shared" ca="1" si="37"/>
        <v/>
      </c>
      <c r="M275" s="494" t="s">
        <v>1374</v>
      </c>
      <c r="N275" s="555" t="str">
        <f t="shared" ca="1" si="38"/>
        <v/>
      </c>
      <c r="O275" s="494" t="s">
        <v>1375</v>
      </c>
      <c r="P275" s="555" t="str">
        <f t="shared" ca="1" si="39"/>
        <v/>
      </c>
      <c r="Q275" s="494" t="s">
        <v>1424</v>
      </c>
      <c r="R275" s="494" t="str">
        <f t="shared" si="36"/>
        <v>H275</v>
      </c>
      <c r="S275" s="494" t="s">
        <v>1425</v>
      </c>
      <c r="T275" s="494">
        <v>6</v>
      </c>
      <c r="U275" s="556" t="str">
        <f t="shared" ca="1" si="40"/>
        <v/>
      </c>
      <c r="V275" s="494">
        <v>7</v>
      </c>
      <c r="W275" s="556" t="str">
        <f t="shared" ca="1" si="41"/>
        <v/>
      </c>
      <c r="X275" s="494" t="s">
        <v>1426</v>
      </c>
      <c r="Y275" s="547" t="str">
        <f t="shared" ca="1" si="42"/>
        <v/>
      </c>
      <c r="Z275" s="494" t="s">
        <v>1427</v>
      </c>
      <c r="AA275" s="547" t="str">
        <f t="shared" ca="1" si="43"/>
        <v/>
      </c>
      <c r="AB275" s="494" t="s">
        <v>1428</v>
      </c>
      <c r="AC275" s="547" t="str">
        <f t="shared" ca="1" si="44"/>
        <v/>
      </c>
      <c r="AD275" s="557"/>
      <c r="AE275" s="958"/>
    </row>
    <row r="276" spans="1:31" ht="15" customHeight="1">
      <c r="A276" s="957">
        <v>61</v>
      </c>
      <c r="B276" s="566" t="s">
        <v>653</v>
      </c>
      <c r="C276" s="567" t="s">
        <v>1369</v>
      </c>
      <c r="D276" s="958">
        <v>1</v>
      </c>
      <c r="E276" s="959" t="s">
        <v>713</v>
      </c>
      <c r="F276" s="558" t="s">
        <v>1392</v>
      </c>
      <c r="G276" s="558">
        <v>788</v>
      </c>
      <c r="H276" s="558">
        <v>22.1</v>
      </c>
      <c r="I276" s="559" t="s">
        <v>746</v>
      </c>
      <c r="J276" s="567" t="s">
        <v>1423</v>
      </c>
      <c r="K276" s="961" t="s">
        <v>1373</v>
      </c>
      <c r="L276" s="555" t="str">
        <f t="shared" ca="1" si="37"/>
        <v/>
      </c>
      <c r="M276" s="494" t="s">
        <v>1374</v>
      </c>
      <c r="N276" s="555" t="str">
        <f t="shared" ca="1" si="38"/>
        <v/>
      </c>
      <c r="O276" s="494" t="s">
        <v>1375</v>
      </c>
      <c r="P276" s="555" t="str">
        <f t="shared" ca="1" si="39"/>
        <v/>
      </c>
      <c r="Q276" s="494" t="s">
        <v>1424</v>
      </c>
      <c r="R276" s="494" t="str">
        <f t="shared" si="36"/>
        <v>H276</v>
      </c>
      <c r="S276" s="494" t="s">
        <v>1425</v>
      </c>
      <c r="T276" s="494">
        <v>6</v>
      </c>
      <c r="U276" s="556" t="str">
        <f t="shared" ca="1" si="40"/>
        <v/>
      </c>
      <c r="V276" s="494">
        <v>7</v>
      </c>
      <c r="W276" s="556" t="str">
        <f t="shared" ca="1" si="41"/>
        <v/>
      </c>
      <c r="X276" s="494" t="s">
        <v>1426</v>
      </c>
      <c r="Y276" s="547" t="str">
        <f t="shared" ca="1" si="42"/>
        <v/>
      </c>
      <c r="Z276" s="494" t="s">
        <v>1427</v>
      </c>
      <c r="AA276" s="547" t="str">
        <f t="shared" ca="1" si="43"/>
        <v/>
      </c>
      <c r="AB276" s="494" t="s">
        <v>1428</v>
      </c>
      <c r="AC276" s="547" t="str">
        <f t="shared" ca="1" si="44"/>
        <v/>
      </c>
      <c r="AD276" s="557"/>
      <c r="AE276" s="958"/>
    </row>
    <row r="277" spans="1:31" ht="15" customHeight="1">
      <c r="A277" s="957">
        <v>61</v>
      </c>
      <c r="B277" s="566" t="s">
        <v>653</v>
      </c>
      <c r="C277" s="567" t="s">
        <v>1369</v>
      </c>
      <c r="D277" s="958">
        <v>1</v>
      </c>
      <c r="E277" s="959" t="s">
        <v>713</v>
      </c>
      <c r="F277" s="558" t="s">
        <v>1392</v>
      </c>
      <c r="G277" s="558">
        <v>789</v>
      </c>
      <c r="H277" s="558">
        <v>22.2</v>
      </c>
      <c r="I277" s="559" t="s">
        <v>747</v>
      </c>
      <c r="J277" s="567" t="s">
        <v>1423</v>
      </c>
      <c r="K277" s="961" t="s">
        <v>1373</v>
      </c>
      <c r="L277" s="555" t="str">
        <f t="shared" ca="1" si="37"/>
        <v/>
      </c>
      <c r="M277" s="494" t="s">
        <v>1374</v>
      </c>
      <c r="N277" s="555" t="str">
        <f t="shared" ca="1" si="38"/>
        <v/>
      </c>
      <c r="O277" s="494" t="s">
        <v>1375</v>
      </c>
      <c r="P277" s="555" t="str">
        <f t="shared" ca="1" si="39"/>
        <v/>
      </c>
      <c r="Q277" s="494" t="s">
        <v>1424</v>
      </c>
      <c r="R277" s="494" t="str">
        <f t="shared" si="36"/>
        <v>H277</v>
      </c>
      <c r="S277" s="494" t="s">
        <v>1425</v>
      </c>
      <c r="T277" s="494">
        <v>6</v>
      </c>
      <c r="U277" s="556" t="str">
        <f t="shared" ca="1" si="40"/>
        <v/>
      </c>
      <c r="V277" s="494">
        <v>7</v>
      </c>
      <c r="W277" s="556" t="str">
        <f t="shared" ca="1" si="41"/>
        <v/>
      </c>
      <c r="X277" s="494" t="s">
        <v>1426</v>
      </c>
      <c r="Y277" s="547" t="str">
        <f t="shared" ca="1" si="42"/>
        <v/>
      </c>
      <c r="Z277" s="494" t="s">
        <v>1427</v>
      </c>
      <c r="AA277" s="547" t="str">
        <f t="shared" ca="1" si="43"/>
        <v/>
      </c>
      <c r="AB277" s="494" t="s">
        <v>1428</v>
      </c>
      <c r="AC277" s="547" t="str">
        <f t="shared" ca="1" si="44"/>
        <v/>
      </c>
      <c r="AD277" s="557"/>
      <c r="AE277" s="958"/>
    </row>
    <row r="278" spans="1:31" ht="15" customHeight="1">
      <c r="A278" s="957">
        <v>61</v>
      </c>
      <c r="B278" s="566" t="s">
        <v>653</v>
      </c>
      <c r="C278" s="567" t="s">
        <v>1369</v>
      </c>
      <c r="D278" s="958">
        <v>1</v>
      </c>
      <c r="E278" s="959" t="s">
        <v>713</v>
      </c>
      <c r="F278" s="558" t="s">
        <v>1392</v>
      </c>
      <c r="G278" s="558">
        <v>781</v>
      </c>
      <c r="H278" s="558" t="s">
        <v>724</v>
      </c>
      <c r="I278" s="559" t="s">
        <v>725</v>
      </c>
      <c r="J278" s="567" t="s">
        <v>1423</v>
      </c>
      <c r="K278" s="961" t="s">
        <v>1373</v>
      </c>
      <c r="L278" s="555" t="str">
        <f t="shared" ca="1" si="37"/>
        <v/>
      </c>
      <c r="M278" s="494" t="s">
        <v>1374</v>
      </c>
      <c r="N278" s="555" t="str">
        <f t="shared" ca="1" si="38"/>
        <v/>
      </c>
      <c r="O278" s="494" t="s">
        <v>1375</v>
      </c>
      <c r="P278" s="555" t="str">
        <f t="shared" ca="1" si="39"/>
        <v/>
      </c>
      <c r="Q278" s="494" t="s">
        <v>1424</v>
      </c>
      <c r="R278" s="494" t="str">
        <f t="shared" si="36"/>
        <v>H278</v>
      </c>
      <c r="S278" s="494" t="s">
        <v>1425</v>
      </c>
      <c r="T278" s="494">
        <v>6</v>
      </c>
      <c r="U278" s="556" t="str">
        <f t="shared" ca="1" si="40"/>
        <v/>
      </c>
      <c r="V278" s="494">
        <v>7</v>
      </c>
      <c r="W278" s="556" t="str">
        <f t="shared" ca="1" si="41"/>
        <v/>
      </c>
      <c r="X278" s="494" t="s">
        <v>1426</v>
      </c>
      <c r="Y278" s="547" t="str">
        <f t="shared" ca="1" si="42"/>
        <v/>
      </c>
      <c r="Z278" s="494" t="s">
        <v>1427</v>
      </c>
      <c r="AA278" s="547" t="str">
        <f t="shared" ca="1" si="43"/>
        <v/>
      </c>
      <c r="AB278" s="494" t="s">
        <v>1428</v>
      </c>
      <c r="AC278" s="547" t="str">
        <f t="shared" ca="1" si="44"/>
        <v/>
      </c>
      <c r="AD278" s="557"/>
      <c r="AE278" s="958"/>
    </row>
    <row r="279" spans="1:31" ht="15" customHeight="1">
      <c r="A279" s="957">
        <v>61</v>
      </c>
      <c r="B279" s="566" t="s">
        <v>653</v>
      </c>
      <c r="C279" s="567" t="s">
        <v>1369</v>
      </c>
      <c r="D279" s="958">
        <v>1</v>
      </c>
      <c r="E279" s="959" t="s">
        <v>713</v>
      </c>
      <c r="F279" s="558" t="s">
        <v>1392</v>
      </c>
      <c r="G279" s="558">
        <v>781</v>
      </c>
      <c r="H279" s="558" t="s">
        <v>726</v>
      </c>
      <c r="I279" s="559" t="s">
        <v>727</v>
      </c>
      <c r="J279" s="567" t="s">
        <v>1423</v>
      </c>
      <c r="K279" s="961" t="s">
        <v>1373</v>
      </c>
      <c r="L279" s="555" t="str">
        <f t="shared" ca="1" si="37"/>
        <v/>
      </c>
      <c r="M279" s="494" t="s">
        <v>1374</v>
      </c>
      <c r="N279" s="555" t="str">
        <f t="shared" ca="1" si="38"/>
        <v/>
      </c>
      <c r="O279" s="494" t="s">
        <v>1375</v>
      </c>
      <c r="P279" s="555" t="str">
        <f t="shared" ca="1" si="39"/>
        <v/>
      </c>
      <c r="Q279" s="494" t="s">
        <v>1424</v>
      </c>
      <c r="R279" s="494" t="str">
        <f t="shared" si="36"/>
        <v>H279</v>
      </c>
      <c r="S279" s="494" t="s">
        <v>1425</v>
      </c>
      <c r="T279" s="494">
        <v>6</v>
      </c>
      <c r="U279" s="556" t="str">
        <f t="shared" ca="1" si="40"/>
        <v/>
      </c>
      <c r="V279" s="494">
        <v>7</v>
      </c>
      <c r="W279" s="556" t="str">
        <f t="shared" ca="1" si="41"/>
        <v/>
      </c>
      <c r="X279" s="494" t="s">
        <v>1426</v>
      </c>
      <c r="Y279" s="547" t="str">
        <f t="shared" ca="1" si="42"/>
        <v/>
      </c>
      <c r="Z279" s="494" t="s">
        <v>1427</v>
      </c>
      <c r="AA279" s="547" t="str">
        <f t="shared" ca="1" si="43"/>
        <v/>
      </c>
      <c r="AB279" s="494" t="s">
        <v>1428</v>
      </c>
      <c r="AC279" s="547" t="str">
        <f t="shared" ca="1" si="44"/>
        <v/>
      </c>
      <c r="AD279" s="557"/>
      <c r="AE279" s="958"/>
    </row>
    <row r="280" spans="1:31" ht="15" customHeight="1">
      <c r="A280" s="957">
        <v>61</v>
      </c>
      <c r="B280" s="566" t="s">
        <v>653</v>
      </c>
      <c r="C280" s="567" t="s">
        <v>1369</v>
      </c>
      <c r="D280" s="958">
        <v>1</v>
      </c>
      <c r="E280" s="959" t="s">
        <v>713</v>
      </c>
      <c r="F280" s="558" t="s">
        <v>1392</v>
      </c>
      <c r="G280" s="558">
        <v>781</v>
      </c>
      <c r="H280" s="558" t="s">
        <v>729</v>
      </c>
      <c r="I280" s="559" t="s">
        <v>730</v>
      </c>
      <c r="J280" s="567" t="s">
        <v>1423</v>
      </c>
      <c r="K280" s="961" t="s">
        <v>1373</v>
      </c>
      <c r="L280" s="555" t="str">
        <f t="shared" ca="1" si="37"/>
        <v/>
      </c>
      <c r="M280" s="494" t="s">
        <v>1374</v>
      </c>
      <c r="N280" s="555" t="str">
        <f t="shared" ca="1" si="38"/>
        <v/>
      </c>
      <c r="O280" s="494" t="s">
        <v>1375</v>
      </c>
      <c r="P280" s="555" t="str">
        <f t="shared" ca="1" si="39"/>
        <v/>
      </c>
      <c r="Q280" s="494" t="s">
        <v>1424</v>
      </c>
      <c r="R280" s="494" t="str">
        <f t="shared" si="36"/>
        <v>H280</v>
      </c>
      <c r="S280" s="494" t="s">
        <v>1425</v>
      </c>
      <c r="T280" s="494">
        <v>6</v>
      </c>
      <c r="U280" s="556" t="str">
        <f t="shared" ca="1" si="40"/>
        <v/>
      </c>
      <c r="V280" s="494">
        <v>7</v>
      </c>
      <c r="W280" s="556" t="str">
        <f t="shared" ca="1" si="41"/>
        <v/>
      </c>
      <c r="X280" s="494" t="s">
        <v>1426</v>
      </c>
      <c r="Y280" s="547" t="str">
        <f t="shared" ca="1" si="42"/>
        <v/>
      </c>
      <c r="Z280" s="494" t="s">
        <v>1427</v>
      </c>
      <c r="AA280" s="547" t="str">
        <f t="shared" ca="1" si="43"/>
        <v/>
      </c>
      <c r="AB280" s="494" t="s">
        <v>1428</v>
      </c>
      <c r="AC280" s="547" t="str">
        <f t="shared" ca="1" si="44"/>
        <v/>
      </c>
      <c r="AD280" s="557"/>
      <c r="AE280" s="958"/>
    </row>
    <row r="281" spans="1:31" ht="15" customHeight="1">
      <c r="A281" s="957">
        <v>61</v>
      </c>
      <c r="B281" s="566" t="s">
        <v>653</v>
      </c>
      <c r="C281" s="567" t="s">
        <v>1369</v>
      </c>
      <c r="D281" s="958">
        <v>1</v>
      </c>
      <c r="E281" s="959" t="s">
        <v>713</v>
      </c>
      <c r="F281" s="558" t="s">
        <v>1392</v>
      </c>
      <c r="G281" s="558">
        <v>790</v>
      </c>
      <c r="H281" s="558" t="s">
        <v>750</v>
      </c>
      <c r="I281" s="559" t="s">
        <v>751</v>
      </c>
      <c r="J281" s="567" t="s">
        <v>1423</v>
      </c>
      <c r="K281" s="961" t="s">
        <v>1373</v>
      </c>
      <c r="L281" s="555" t="str">
        <f t="shared" ca="1" si="37"/>
        <v/>
      </c>
      <c r="M281" s="494" t="s">
        <v>1374</v>
      </c>
      <c r="N281" s="555" t="str">
        <f t="shared" ca="1" si="38"/>
        <v/>
      </c>
      <c r="O281" s="494" t="s">
        <v>1375</v>
      </c>
      <c r="P281" s="555" t="str">
        <f t="shared" ca="1" si="39"/>
        <v/>
      </c>
      <c r="Q281" s="494" t="s">
        <v>1424</v>
      </c>
      <c r="R281" s="494" t="str">
        <f t="shared" si="36"/>
        <v>H281</v>
      </c>
      <c r="S281" s="494" t="s">
        <v>1425</v>
      </c>
      <c r="T281" s="494">
        <v>6</v>
      </c>
      <c r="U281" s="556" t="str">
        <f t="shared" ca="1" si="40"/>
        <v/>
      </c>
      <c r="V281" s="494">
        <v>7</v>
      </c>
      <c r="W281" s="556" t="str">
        <f t="shared" ca="1" si="41"/>
        <v/>
      </c>
      <c r="X281" s="494" t="s">
        <v>1426</v>
      </c>
      <c r="Y281" s="547" t="str">
        <f t="shared" ca="1" si="42"/>
        <v/>
      </c>
      <c r="Z281" s="494" t="s">
        <v>1427</v>
      </c>
      <c r="AA281" s="547" t="str">
        <f t="shared" ca="1" si="43"/>
        <v/>
      </c>
      <c r="AB281" s="494" t="s">
        <v>1428</v>
      </c>
      <c r="AC281" s="547" t="str">
        <f t="shared" ca="1" si="44"/>
        <v/>
      </c>
      <c r="AD281" s="557"/>
      <c r="AE281" s="958"/>
    </row>
    <row r="282" spans="1:31" ht="15" customHeight="1">
      <c r="A282" s="957">
        <v>61</v>
      </c>
      <c r="B282" s="566" t="s">
        <v>653</v>
      </c>
      <c r="C282" s="567" t="s">
        <v>1369</v>
      </c>
      <c r="D282" s="958">
        <v>1</v>
      </c>
      <c r="E282" s="959" t="s">
        <v>713</v>
      </c>
      <c r="F282" s="558" t="s">
        <v>1392</v>
      </c>
      <c r="G282" s="558">
        <v>790</v>
      </c>
      <c r="H282" s="558" t="s">
        <v>752</v>
      </c>
      <c r="I282" s="559" t="s">
        <v>749</v>
      </c>
      <c r="J282" s="567" t="s">
        <v>1423</v>
      </c>
      <c r="K282" s="961" t="s">
        <v>1373</v>
      </c>
      <c r="L282" s="555" t="str">
        <f t="shared" ca="1" si="37"/>
        <v/>
      </c>
      <c r="M282" s="494" t="s">
        <v>1374</v>
      </c>
      <c r="N282" s="555" t="str">
        <f t="shared" ca="1" si="38"/>
        <v/>
      </c>
      <c r="O282" s="494" t="s">
        <v>1375</v>
      </c>
      <c r="P282" s="555" t="str">
        <f t="shared" ca="1" si="39"/>
        <v/>
      </c>
      <c r="Q282" s="494" t="s">
        <v>1424</v>
      </c>
      <c r="R282" s="494" t="str">
        <f t="shared" si="36"/>
        <v>H282</v>
      </c>
      <c r="S282" s="494" t="s">
        <v>1425</v>
      </c>
      <c r="T282" s="494">
        <v>6</v>
      </c>
      <c r="U282" s="556" t="str">
        <f t="shared" ca="1" si="40"/>
        <v/>
      </c>
      <c r="V282" s="494">
        <v>7</v>
      </c>
      <c r="W282" s="556" t="str">
        <f t="shared" ca="1" si="41"/>
        <v/>
      </c>
      <c r="X282" s="494" t="s">
        <v>1426</v>
      </c>
      <c r="Y282" s="547" t="str">
        <f t="shared" ca="1" si="42"/>
        <v/>
      </c>
      <c r="Z282" s="494" t="s">
        <v>1427</v>
      </c>
      <c r="AA282" s="547" t="str">
        <f t="shared" ca="1" si="43"/>
        <v/>
      </c>
      <c r="AB282" s="494" t="s">
        <v>1428</v>
      </c>
      <c r="AC282" s="547" t="str">
        <f t="shared" ca="1" si="44"/>
        <v/>
      </c>
      <c r="AD282" s="557"/>
      <c r="AE282" s="958"/>
    </row>
    <row r="283" spans="1:31" ht="15" customHeight="1">
      <c r="A283" s="957">
        <v>61</v>
      </c>
      <c r="B283" s="566" t="s">
        <v>653</v>
      </c>
      <c r="C283" s="567" t="s">
        <v>1369</v>
      </c>
      <c r="D283" s="958">
        <v>1</v>
      </c>
      <c r="E283" s="959" t="s">
        <v>713</v>
      </c>
      <c r="F283" s="558" t="s">
        <v>1392</v>
      </c>
      <c r="G283" s="558">
        <v>790</v>
      </c>
      <c r="H283" s="558" t="s">
        <v>753</v>
      </c>
      <c r="I283" s="559" t="s">
        <v>754</v>
      </c>
      <c r="J283" s="567" t="s">
        <v>1423</v>
      </c>
      <c r="K283" s="961" t="s">
        <v>1373</v>
      </c>
      <c r="L283" s="555" t="str">
        <f t="shared" ca="1" si="37"/>
        <v/>
      </c>
      <c r="M283" s="494" t="s">
        <v>1374</v>
      </c>
      <c r="N283" s="555" t="str">
        <f t="shared" ca="1" si="38"/>
        <v/>
      </c>
      <c r="O283" s="494" t="s">
        <v>1375</v>
      </c>
      <c r="P283" s="555" t="str">
        <f t="shared" ca="1" si="39"/>
        <v/>
      </c>
      <c r="Q283" s="494" t="s">
        <v>1424</v>
      </c>
      <c r="R283" s="494" t="str">
        <f t="shared" si="36"/>
        <v>H283</v>
      </c>
      <c r="S283" s="494" t="s">
        <v>1425</v>
      </c>
      <c r="T283" s="494">
        <v>6</v>
      </c>
      <c r="U283" s="556" t="str">
        <f t="shared" ca="1" si="40"/>
        <v/>
      </c>
      <c r="V283" s="494">
        <v>7</v>
      </c>
      <c r="W283" s="556" t="str">
        <f t="shared" ca="1" si="41"/>
        <v/>
      </c>
      <c r="X283" s="494" t="s">
        <v>1426</v>
      </c>
      <c r="Y283" s="547" t="str">
        <f t="shared" ca="1" si="42"/>
        <v/>
      </c>
      <c r="Z283" s="494" t="s">
        <v>1427</v>
      </c>
      <c r="AA283" s="547" t="str">
        <f t="shared" ca="1" si="43"/>
        <v/>
      </c>
      <c r="AB283" s="494" t="s">
        <v>1428</v>
      </c>
      <c r="AC283" s="547" t="str">
        <f t="shared" ca="1" si="44"/>
        <v/>
      </c>
      <c r="AD283" s="557"/>
      <c r="AE283" s="958"/>
    </row>
    <row r="284" spans="1:31" ht="15" customHeight="1">
      <c r="A284" s="957">
        <v>61</v>
      </c>
      <c r="B284" s="566" t="s">
        <v>653</v>
      </c>
      <c r="C284" s="567" t="s">
        <v>1369</v>
      </c>
      <c r="D284" s="958">
        <v>1</v>
      </c>
      <c r="E284" s="959" t="s">
        <v>755</v>
      </c>
      <c r="F284" s="558" t="s">
        <v>1399</v>
      </c>
      <c r="G284" s="558">
        <v>795</v>
      </c>
      <c r="H284" s="558">
        <v>28</v>
      </c>
      <c r="I284" s="559" t="s">
        <v>338</v>
      </c>
      <c r="J284" s="567" t="s">
        <v>1423</v>
      </c>
      <c r="K284" s="961" t="s">
        <v>1373</v>
      </c>
      <c r="L284" s="555" t="str">
        <f t="shared" ca="1" si="37"/>
        <v/>
      </c>
      <c r="M284" s="494" t="s">
        <v>1374</v>
      </c>
      <c r="N284" s="555" t="str">
        <f t="shared" ca="1" si="38"/>
        <v/>
      </c>
      <c r="O284" s="494" t="s">
        <v>1375</v>
      </c>
      <c r="P284" s="555" t="str">
        <f t="shared" ca="1" si="39"/>
        <v/>
      </c>
      <c r="Q284" s="494" t="s">
        <v>1424</v>
      </c>
      <c r="R284" s="494" t="str">
        <f t="shared" si="36"/>
        <v>H284</v>
      </c>
      <c r="S284" s="494" t="s">
        <v>1425</v>
      </c>
      <c r="T284" s="494">
        <v>6</v>
      </c>
      <c r="U284" s="556" t="str">
        <f t="shared" ca="1" si="40"/>
        <v/>
      </c>
      <c r="V284" s="494">
        <v>7</v>
      </c>
      <c r="W284" s="556" t="str">
        <f t="shared" ca="1" si="41"/>
        <v/>
      </c>
      <c r="X284" s="494" t="s">
        <v>1426</v>
      </c>
      <c r="Y284" s="547" t="str">
        <f t="shared" ca="1" si="42"/>
        <v/>
      </c>
      <c r="Z284" s="494" t="s">
        <v>1427</v>
      </c>
      <c r="AA284" s="547" t="str">
        <f t="shared" ca="1" si="43"/>
        <v/>
      </c>
      <c r="AB284" s="494" t="s">
        <v>1428</v>
      </c>
      <c r="AC284" s="547" t="str">
        <f t="shared" ca="1" si="44"/>
        <v/>
      </c>
      <c r="AD284" s="557"/>
      <c r="AE284" s="958"/>
    </row>
    <row r="285" spans="1:31" ht="15" customHeight="1">
      <c r="A285" s="957">
        <v>61</v>
      </c>
      <c r="B285" s="566" t="s">
        <v>653</v>
      </c>
      <c r="C285" s="567" t="s">
        <v>1369</v>
      </c>
      <c r="D285" s="958">
        <v>1</v>
      </c>
      <c r="E285" s="959" t="s">
        <v>755</v>
      </c>
      <c r="F285" s="558" t="s">
        <v>1399</v>
      </c>
      <c r="G285" s="558">
        <v>796</v>
      </c>
      <c r="H285" s="558">
        <v>28.1</v>
      </c>
      <c r="I285" s="559" t="s">
        <v>780</v>
      </c>
      <c r="J285" s="567" t="s">
        <v>1423</v>
      </c>
      <c r="K285" s="961" t="s">
        <v>1373</v>
      </c>
      <c r="L285" s="555" t="str">
        <f t="shared" ca="1" si="37"/>
        <v/>
      </c>
      <c r="M285" s="494" t="s">
        <v>1374</v>
      </c>
      <c r="N285" s="555" t="str">
        <f t="shared" ca="1" si="38"/>
        <v/>
      </c>
      <c r="O285" s="494" t="s">
        <v>1375</v>
      </c>
      <c r="P285" s="555" t="str">
        <f t="shared" ca="1" si="39"/>
        <v/>
      </c>
      <c r="Q285" s="494" t="s">
        <v>1424</v>
      </c>
      <c r="R285" s="494" t="str">
        <f t="shared" si="36"/>
        <v>H285</v>
      </c>
      <c r="S285" s="494" t="s">
        <v>1425</v>
      </c>
      <c r="T285" s="494">
        <v>6</v>
      </c>
      <c r="U285" s="556" t="str">
        <f t="shared" ca="1" si="40"/>
        <v/>
      </c>
      <c r="V285" s="494">
        <v>7</v>
      </c>
      <c r="W285" s="556" t="str">
        <f t="shared" ca="1" si="41"/>
        <v/>
      </c>
      <c r="X285" s="494" t="s">
        <v>1426</v>
      </c>
      <c r="Y285" s="547" t="str">
        <f t="shared" ca="1" si="42"/>
        <v/>
      </c>
      <c r="Z285" s="494" t="s">
        <v>1427</v>
      </c>
      <c r="AA285" s="547" t="str">
        <f t="shared" ca="1" si="43"/>
        <v/>
      </c>
      <c r="AB285" s="494" t="s">
        <v>1428</v>
      </c>
      <c r="AC285" s="547" t="str">
        <f t="shared" ca="1" si="44"/>
        <v/>
      </c>
      <c r="AD285" s="557"/>
      <c r="AE285" s="958"/>
    </row>
    <row r="286" spans="1:31" ht="15" customHeight="1">
      <c r="A286" s="957">
        <v>61</v>
      </c>
      <c r="B286" s="566" t="s">
        <v>653</v>
      </c>
      <c r="C286" s="567" t="s">
        <v>1369</v>
      </c>
      <c r="D286" s="958">
        <v>1</v>
      </c>
      <c r="E286" s="959" t="s">
        <v>755</v>
      </c>
      <c r="F286" s="558" t="s">
        <v>1399</v>
      </c>
      <c r="G286" s="558">
        <v>797</v>
      </c>
      <c r="H286" s="558">
        <v>28.2</v>
      </c>
      <c r="I286" s="559" t="s">
        <v>781</v>
      </c>
      <c r="J286" s="567" t="s">
        <v>1423</v>
      </c>
      <c r="K286" s="961" t="s">
        <v>1373</v>
      </c>
      <c r="L286" s="555" t="str">
        <f t="shared" ca="1" si="37"/>
        <v/>
      </c>
      <c r="M286" s="494" t="s">
        <v>1374</v>
      </c>
      <c r="N286" s="555" t="str">
        <f t="shared" ca="1" si="38"/>
        <v/>
      </c>
      <c r="O286" s="494" t="s">
        <v>1375</v>
      </c>
      <c r="P286" s="555" t="str">
        <f t="shared" ca="1" si="39"/>
        <v/>
      </c>
      <c r="Q286" s="494" t="s">
        <v>1424</v>
      </c>
      <c r="R286" s="494" t="str">
        <f t="shared" si="36"/>
        <v>H286</v>
      </c>
      <c r="S286" s="494" t="s">
        <v>1425</v>
      </c>
      <c r="T286" s="494">
        <v>6</v>
      </c>
      <c r="U286" s="556" t="str">
        <f t="shared" ca="1" si="40"/>
        <v/>
      </c>
      <c r="V286" s="494">
        <v>7</v>
      </c>
      <c r="W286" s="556" t="str">
        <f t="shared" ca="1" si="41"/>
        <v/>
      </c>
      <c r="X286" s="494" t="s">
        <v>1426</v>
      </c>
      <c r="Y286" s="547" t="str">
        <f t="shared" ca="1" si="42"/>
        <v/>
      </c>
      <c r="Z286" s="494" t="s">
        <v>1427</v>
      </c>
      <c r="AA286" s="547" t="str">
        <f t="shared" ca="1" si="43"/>
        <v/>
      </c>
      <c r="AB286" s="494" t="s">
        <v>1428</v>
      </c>
      <c r="AC286" s="547" t="str">
        <f t="shared" ca="1" si="44"/>
        <v/>
      </c>
      <c r="AD286" s="557"/>
      <c r="AE286" s="958"/>
    </row>
    <row r="287" spans="1:31" ht="15" customHeight="1">
      <c r="A287" s="957">
        <v>61</v>
      </c>
      <c r="B287" s="566" t="s">
        <v>653</v>
      </c>
      <c r="C287" s="567" t="s">
        <v>1369</v>
      </c>
      <c r="D287" s="958">
        <v>1</v>
      </c>
      <c r="E287" s="959" t="s">
        <v>755</v>
      </c>
      <c r="F287" s="558" t="s">
        <v>1399</v>
      </c>
      <c r="G287" s="558">
        <v>798</v>
      </c>
      <c r="H287" s="558">
        <v>29.1</v>
      </c>
      <c r="I287" s="559" t="s">
        <v>783</v>
      </c>
      <c r="J287" s="567" t="s">
        <v>1423</v>
      </c>
      <c r="K287" s="961" t="s">
        <v>1373</v>
      </c>
      <c r="L287" s="555" t="str">
        <f t="shared" ca="1" si="37"/>
        <v/>
      </c>
      <c r="M287" s="494" t="s">
        <v>1374</v>
      </c>
      <c r="N287" s="555" t="str">
        <f t="shared" ca="1" si="38"/>
        <v/>
      </c>
      <c r="O287" s="494" t="s">
        <v>1375</v>
      </c>
      <c r="P287" s="555" t="str">
        <f t="shared" ca="1" si="39"/>
        <v/>
      </c>
      <c r="Q287" s="494" t="s">
        <v>1424</v>
      </c>
      <c r="R287" s="494" t="str">
        <f t="shared" si="36"/>
        <v>H287</v>
      </c>
      <c r="S287" s="494" t="s">
        <v>1425</v>
      </c>
      <c r="T287" s="494">
        <v>6</v>
      </c>
      <c r="U287" s="556" t="str">
        <f t="shared" ca="1" si="40"/>
        <v/>
      </c>
      <c r="V287" s="494">
        <v>7</v>
      </c>
      <c r="W287" s="556" t="str">
        <f t="shared" ca="1" si="41"/>
        <v/>
      </c>
      <c r="X287" s="494" t="s">
        <v>1426</v>
      </c>
      <c r="Y287" s="547" t="str">
        <f t="shared" ca="1" si="42"/>
        <v/>
      </c>
      <c r="Z287" s="494" t="s">
        <v>1427</v>
      </c>
      <c r="AA287" s="547" t="str">
        <f t="shared" ca="1" si="43"/>
        <v/>
      </c>
      <c r="AB287" s="494" t="s">
        <v>1428</v>
      </c>
      <c r="AC287" s="547" t="str">
        <f t="shared" ca="1" si="44"/>
        <v/>
      </c>
      <c r="AD287" s="557"/>
      <c r="AE287" s="958"/>
    </row>
    <row r="288" spans="1:31" ht="15" customHeight="1">
      <c r="A288" s="957">
        <v>61</v>
      </c>
      <c r="B288" s="566" t="s">
        <v>653</v>
      </c>
      <c r="C288" s="567" t="s">
        <v>1369</v>
      </c>
      <c r="D288" s="958">
        <v>1</v>
      </c>
      <c r="E288" s="959" t="s">
        <v>755</v>
      </c>
      <c r="F288" s="558" t="s">
        <v>1399</v>
      </c>
      <c r="G288" s="558">
        <v>799</v>
      </c>
      <c r="H288" s="558">
        <v>29.2</v>
      </c>
      <c r="I288" s="559" t="s">
        <v>784</v>
      </c>
      <c r="J288" s="567" t="s">
        <v>1423</v>
      </c>
      <c r="K288" s="961" t="s">
        <v>1373</v>
      </c>
      <c r="L288" s="555" t="str">
        <f t="shared" ca="1" si="37"/>
        <v/>
      </c>
      <c r="M288" s="494" t="s">
        <v>1374</v>
      </c>
      <c r="N288" s="555" t="str">
        <f t="shared" ca="1" si="38"/>
        <v/>
      </c>
      <c r="O288" s="494" t="s">
        <v>1375</v>
      </c>
      <c r="P288" s="555" t="str">
        <f t="shared" ca="1" si="39"/>
        <v/>
      </c>
      <c r="Q288" s="494" t="s">
        <v>1424</v>
      </c>
      <c r="R288" s="494" t="str">
        <f t="shared" si="36"/>
        <v>H288</v>
      </c>
      <c r="S288" s="494" t="s">
        <v>1425</v>
      </c>
      <c r="T288" s="494">
        <v>6</v>
      </c>
      <c r="U288" s="556" t="str">
        <f t="shared" ca="1" si="40"/>
        <v/>
      </c>
      <c r="V288" s="494">
        <v>7</v>
      </c>
      <c r="W288" s="556" t="str">
        <f t="shared" ca="1" si="41"/>
        <v/>
      </c>
      <c r="X288" s="494" t="s">
        <v>1426</v>
      </c>
      <c r="Y288" s="547" t="str">
        <f t="shared" ca="1" si="42"/>
        <v/>
      </c>
      <c r="Z288" s="494" t="s">
        <v>1427</v>
      </c>
      <c r="AA288" s="547" t="str">
        <f t="shared" ca="1" si="43"/>
        <v/>
      </c>
      <c r="AB288" s="494" t="s">
        <v>1428</v>
      </c>
      <c r="AC288" s="547" t="str">
        <f t="shared" ca="1" si="44"/>
        <v/>
      </c>
      <c r="AD288" s="557"/>
      <c r="AE288" s="958"/>
    </row>
    <row r="289" spans="1:31" ht="15" customHeight="1">
      <c r="A289" s="957">
        <v>61</v>
      </c>
      <c r="B289" s="566" t="s">
        <v>653</v>
      </c>
      <c r="C289" s="567" t="s">
        <v>1369</v>
      </c>
      <c r="D289" s="958">
        <v>1</v>
      </c>
      <c r="E289" s="959" t="s">
        <v>755</v>
      </c>
      <c r="F289" s="558" t="s">
        <v>1399</v>
      </c>
      <c r="G289" s="558">
        <v>800</v>
      </c>
      <c r="H289" s="558">
        <v>30.1</v>
      </c>
      <c r="I289" s="559" t="s">
        <v>787</v>
      </c>
      <c r="J289" s="567" t="s">
        <v>1423</v>
      </c>
      <c r="K289" s="961" t="s">
        <v>1373</v>
      </c>
      <c r="L289" s="555" t="str">
        <f t="shared" ca="1" si="37"/>
        <v/>
      </c>
      <c r="M289" s="494" t="s">
        <v>1374</v>
      </c>
      <c r="N289" s="555" t="str">
        <f t="shared" ca="1" si="38"/>
        <v/>
      </c>
      <c r="O289" s="494" t="s">
        <v>1375</v>
      </c>
      <c r="P289" s="555" t="str">
        <f t="shared" ca="1" si="39"/>
        <v/>
      </c>
      <c r="Q289" s="494" t="s">
        <v>1424</v>
      </c>
      <c r="R289" s="494" t="str">
        <f t="shared" si="36"/>
        <v>H289</v>
      </c>
      <c r="S289" s="494" t="s">
        <v>1425</v>
      </c>
      <c r="T289" s="494">
        <v>6</v>
      </c>
      <c r="U289" s="556" t="str">
        <f t="shared" ca="1" si="40"/>
        <v/>
      </c>
      <c r="V289" s="494">
        <v>7</v>
      </c>
      <c r="W289" s="556" t="str">
        <f t="shared" ca="1" si="41"/>
        <v/>
      </c>
      <c r="X289" s="494" t="s">
        <v>1426</v>
      </c>
      <c r="Y289" s="547" t="str">
        <f t="shared" ca="1" si="42"/>
        <v/>
      </c>
      <c r="Z289" s="494" t="s">
        <v>1427</v>
      </c>
      <c r="AA289" s="547" t="str">
        <f t="shared" ca="1" si="43"/>
        <v/>
      </c>
      <c r="AB289" s="494" t="s">
        <v>1428</v>
      </c>
      <c r="AC289" s="547" t="str">
        <f t="shared" ca="1" si="44"/>
        <v/>
      </c>
      <c r="AD289" s="557"/>
      <c r="AE289" s="958"/>
    </row>
    <row r="290" spans="1:31" ht="15" customHeight="1">
      <c r="A290" s="957">
        <v>61</v>
      </c>
      <c r="B290" s="566" t="s">
        <v>653</v>
      </c>
      <c r="C290" s="567" t="s">
        <v>1369</v>
      </c>
      <c r="D290" s="958">
        <v>1</v>
      </c>
      <c r="E290" s="959" t="s">
        <v>755</v>
      </c>
      <c r="F290" s="558" t="s">
        <v>1399</v>
      </c>
      <c r="G290" s="558">
        <v>801</v>
      </c>
      <c r="H290" s="558">
        <v>30.2</v>
      </c>
      <c r="I290" s="559" t="s">
        <v>300</v>
      </c>
      <c r="J290" s="567" t="s">
        <v>1423</v>
      </c>
      <c r="K290" s="961" t="s">
        <v>1373</v>
      </c>
      <c r="L290" s="555" t="str">
        <f t="shared" ca="1" si="37"/>
        <v/>
      </c>
      <c r="M290" s="494" t="s">
        <v>1374</v>
      </c>
      <c r="N290" s="555" t="str">
        <f t="shared" ca="1" si="38"/>
        <v/>
      </c>
      <c r="O290" s="494" t="s">
        <v>1375</v>
      </c>
      <c r="P290" s="555" t="str">
        <f t="shared" ca="1" si="39"/>
        <v/>
      </c>
      <c r="Q290" s="494" t="s">
        <v>1424</v>
      </c>
      <c r="R290" s="494" t="str">
        <f t="shared" si="36"/>
        <v>H290</v>
      </c>
      <c r="S290" s="494" t="s">
        <v>1425</v>
      </c>
      <c r="T290" s="494">
        <v>6</v>
      </c>
      <c r="U290" s="556" t="str">
        <f t="shared" ca="1" si="40"/>
        <v/>
      </c>
      <c r="V290" s="494">
        <v>7</v>
      </c>
      <c r="W290" s="556" t="str">
        <f t="shared" ca="1" si="41"/>
        <v/>
      </c>
      <c r="X290" s="494" t="s">
        <v>1426</v>
      </c>
      <c r="Y290" s="547" t="str">
        <f t="shared" ca="1" si="42"/>
        <v/>
      </c>
      <c r="Z290" s="494" t="s">
        <v>1427</v>
      </c>
      <c r="AA290" s="547" t="str">
        <f t="shared" ca="1" si="43"/>
        <v/>
      </c>
      <c r="AB290" s="494" t="s">
        <v>1428</v>
      </c>
      <c r="AC290" s="547" t="str">
        <f t="shared" ca="1" si="44"/>
        <v/>
      </c>
      <c r="AD290" s="557"/>
      <c r="AE290" s="958"/>
    </row>
    <row r="291" spans="1:31" ht="15" customHeight="1">
      <c r="A291" s="957">
        <v>61</v>
      </c>
      <c r="B291" s="566" t="s">
        <v>653</v>
      </c>
      <c r="C291" s="567" t="s">
        <v>1369</v>
      </c>
      <c r="D291" s="958">
        <v>1</v>
      </c>
      <c r="E291" s="959" t="s">
        <v>755</v>
      </c>
      <c r="F291" s="558" t="s">
        <v>1399</v>
      </c>
      <c r="G291" s="558">
        <v>802</v>
      </c>
      <c r="H291" s="558">
        <v>31.1</v>
      </c>
      <c r="I291" s="559" t="s">
        <v>515</v>
      </c>
      <c r="J291" s="567" t="s">
        <v>1423</v>
      </c>
      <c r="K291" s="961" t="s">
        <v>1373</v>
      </c>
      <c r="L291" s="555" t="str">
        <f t="shared" ca="1" si="37"/>
        <v/>
      </c>
      <c r="M291" s="494" t="s">
        <v>1374</v>
      </c>
      <c r="N291" s="555" t="str">
        <f t="shared" ca="1" si="38"/>
        <v/>
      </c>
      <c r="O291" s="494" t="s">
        <v>1375</v>
      </c>
      <c r="P291" s="555" t="str">
        <f t="shared" ca="1" si="39"/>
        <v/>
      </c>
      <c r="Q291" s="494" t="s">
        <v>1424</v>
      </c>
      <c r="R291" s="494" t="str">
        <f t="shared" si="36"/>
        <v>H291</v>
      </c>
      <c r="S291" s="494" t="s">
        <v>1425</v>
      </c>
      <c r="T291" s="494">
        <v>6</v>
      </c>
      <c r="U291" s="556" t="str">
        <f t="shared" ca="1" si="40"/>
        <v/>
      </c>
      <c r="V291" s="494">
        <v>7</v>
      </c>
      <c r="W291" s="556" t="str">
        <f t="shared" ca="1" si="41"/>
        <v/>
      </c>
      <c r="X291" s="494" t="s">
        <v>1426</v>
      </c>
      <c r="Y291" s="547" t="str">
        <f t="shared" ca="1" si="42"/>
        <v/>
      </c>
      <c r="Z291" s="494" t="s">
        <v>1427</v>
      </c>
      <c r="AA291" s="547" t="str">
        <f t="shared" ca="1" si="43"/>
        <v/>
      </c>
      <c r="AB291" s="494" t="s">
        <v>1428</v>
      </c>
      <c r="AC291" s="547" t="str">
        <f t="shared" ca="1" si="44"/>
        <v/>
      </c>
      <c r="AD291" s="557"/>
      <c r="AE291" s="958"/>
    </row>
    <row r="292" spans="1:31" ht="15" customHeight="1">
      <c r="A292" s="957">
        <v>61</v>
      </c>
      <c r="B292" s="566" t="s">
        <v>653</v>
      </c>
      <c r="C292" s="567" t="s">
        <v>1369</v>
      </c>
      <c r="D292" s="958">
        <v>1</v>
      </c>
      <c r="E292" s="959" t="s">
        <v>755</v>
      </c>
      <c r="F292" s="558" t="s">
        <v>1399</v>
      </c>
      <c r="G292" s="558">
        <v>803</v>
      </c>
      <c r="H292" s="558">
        <v>32.1</v>
      </c>
      <c r="I292" s="559" t="s">
        <v>409</v>
      </c>
      <c r="J292" s="567" t="s">
        <v>1423</v>
      </c>
      <c r="K292" s="961" t="s">
        <v>1373</v>
      </c>
      <c r="L292" s="555" t="str">
        <f t="shared" ca="1" si="37"/>
        <v/>
      </c>
      <c r="M292" s="494" t="s">
        <v>1374</v>
      </c>
      <c r="N292" s="555" t="str">
        <f t="shared" ca="1" si="38"/>
        <v/>
      </c>
      <c r="O292" s="494" t="s">
        <v>1375</v>
      </c>
      <c r="P292" s="555" t="str">
        <f t="shared" ca="1" si="39"/>
        <v/>
      </c>
      <c r="Q292" s="494" t="s">
        <v>1424</v>
      </c>
      <c r="R292" s="494" t="str">
        <f t="shared" si="36"/>
        <v>H292</v>
      </c>
      <c r="S292" s="494" t="s">
        <v>1425</v>
      </c>
      <c r="T292" s="494">
        <v>6</v>
      </c>
      <c r="U292" s="556" t="str">
        <f t="shared" ca="1" si="40"/>
        <v/>
      </c>
      <c r="V292" s="494">
        <v>7</v>
      </c>
      <c r="W292" s="556" t="str">
        <f t="shared" ca="1" si="41"/>
        <v/>
      </c>
      <c r="X292" s="494" t="s">
        <v>1426</v>
      </c>
      <c r="Y292" s="547" t="str">
        <f t="shared" ca="1" si="42"/>
        <v/>
      </c>
      <c r="Z292" s="494" t="s">
        <v>1427</v>
      </c>
      <c r="AA292" s="547" t="str">
        <f t="shared" ca="1" si="43"/>
        <v/>
      </c>
      <c r="AB292" s="494" t="s">
        <v>1428</v>
      </c>
      <c r="AC292" s="547" t="str">
        <f t="shared" ca="1" si="44"/>
        <v/>
      </c>
      <c r="AD292" s="557"/>
      <c r="AE292" s="958"/>
    </row>
    <row r="293" spans="1:31" ht="15" customHeight="1">
      <c r="A293" s="957">
        <v>61</v>
      </c>
      <c r="B293" s="566" t="s">
        <v>653</v>
      </c>
      <c r="C293" s="567" t="s">
        <v>1369</v>
      </c>
      <c r="D293" s="958">
        <v>1</v>
      </c>
      <c r="E293" s="959" t="s">
        <v>755</v>
      </c>
      <c r="F293" s="558" t="s">
        <v>1399</v>
      </c>
      <c r="G293" s="558">
        <v>791</v>
      </c>
      <c r="H293" s="558" t="s">
        <v>1429</v>
      </c>
      <c r="I293" s="559" t="s">
        <v>1430</v>
      </c>
      <c r="J293" s="567" t="s">
        <v>1423</v>
      </c>
      <c r="K293" s="961" t="s">
        <v>1373</v>
      </c>
      <c r="L293" s="555" t="str">
        <f t="shared" ca="1" si="37"/>
        <v/>
      </c>
      <c r="M293" s="494" t="s">
        <v>1374</v>
      </c>
      <c r="N293" s="555" t="str">
        <f t="shared" ca="1" si="38"/>
        <v/>
      </c>
      <c r="O293" s="494" t="s">
        <v>1375</v>
      </c>
      <c r="P293" s="555" t="str">
        <f t="shared" ca="1" si="39"/>
        <v/>
      </c>
      <c r="Q293" s="494" t="s">
        <v>1424</v>
      </c>
      <c r="R293" s="494" t="str">
        <f t="shared" si="36"/>
        <v>H293</v>
      </c>
      <c r="S293" s="494" t="s">
        <v>1425</v>
      </c>
      <c r="T293" s="494">
        <v>6</v>
      </c>
      <c r="U293" s="556" t="str">
        <f t="shared" ca="1" si="40"/>
        <v/>
      </c>
      <c r="V293" s="494">
        <v>7</v>
      </c>
      <c r="W293" s="556" t="str">
        <f t="shared" ca="1" si="41"/>
        <v/>
      </c>
      <c r="X293" s="494" t="s">
        <v>1426</v>
      </c>
      <c r="Y293" s="547" t="str">
        <f t="shared" ca="1" si="42"/>
        <v/>
      </c>
      <c r="Z293" s="494" t="s">
        <v>1427</v>
      </c>
      <c r="AA293" s="547" t="str">
        <f t="shared" ca="1" si="43"/>
        <v/>
      </c>
      <c r="AB293" s="494" t="s">
        <v>1428</v>
      </c>
      <c r="AC293" s="547" t="str">
        <f t="shared" ca="1" si="44"/>
        <v/>
      </c>
      <c r="AD293" s="557"/>
      <c r="AE293" s="958"/>
    </row>
    <row r="294" spans="1:31" ht="15" customHeight="1">
      <c r="A294" s="957">
        <v>61</v>
      </c>
      <c r="B294" s="566" t="s">
        <v>653</v>
      </c>
      <c r="C294" s="567" t="s">
        <v>1369</v>
      </c>
      <c r="D294" s="958">
        <v>1</v>
      </c>
      <c r="E294" s="959" t="s">
        <v>755</v>
      </c>
      <c r="F294" s="558" t="s">
        <v>1399</v>
      </c>
      <c r="G294" s="558">
        <v>791</v>
      </c>
      <c r="H294" s="558" t="s">
        <v>1431</v>
      </c>
      <c r="I294" s="559" t="s">
        <v>1432</v>
      </c>
      <c r="J294" s="567" t="s">
        <v>1423</v>
      </c>
      <c r="K294" s="961" t="s">
        <v>1373</v>
      </c>
      <c r="L294" s="555" t="str">
        <f t="shared" ca="1" si="37"/>
        <v/>
      </c>
      <c r="M294" s="494" t="s">
        <v>1374</v>
      </c>
      <c r="N294" s="555" t="str">
        <f t="shared" ca="1" si="38"/>
        <v/>
      </c>
      <c r="O294" s="494" t="s">
        <v>1375</v>
      </c>
      <c r="P294" s="555" t="str">
        <f t="shared" ca="1" si="39"/>
        <v/>
      </c>
      <c r="Q294" s="494" t="s">
        <v>1424</v>
      </c>
      <c r="R294" s="494" t="str">
        <f t="shared" si="36"/>
        <v>H294</v>
      </c>
      <c r="S294" s="494" t="s">
        <v>1425</v>
      </c>
      <c r="T294" s="494">
        <v>6</v>
      </c>
      <c r="U294" s="556" t="str">
        <f t="shared" ca="1" si="40"/>
        <v/>
      </c>
      <c r="V294" s="494">
        <v>7</v>
      </c>
      <c r="W294" s="556" t="str">
        <f t="shared" ca="1" si="41"/>
        <v/>
      </c>
      <c r="X294" s="494" t="s">
        <v>1426</v>
      </c>
      <c r="Y294" s="547" t="str">
        <f t="shared" ca="1" si="42"/>
        <v/>
      </c>
      <c r="Z294" s="494" t="s">
        <v>1427</v>
      </c>
      <c r="AA294" s="547" t="str">
        <f t="shared" ca="1" si="43"/>
        <v/>
      </c>
      <c r="AB294" s="494" t="s">
        <v>1428</v>
      </c>
      <c r="AC294" s="547" t="str">
        <f t="shared" ca="1" si="44"/>
        <v/>
      </c>
      <c r="AD294" s="557"/>
      <c r="AE294" s="958"/>
    </row>
    <row r="295" spans="1:31" ht="15" customHeight="1">
      <c r="A295" s="957">
        <v>61</v>
      </c>
      <c r="B295" s="566" t="s">
        <v>653</v>
      </c>
      <c r="C295" s="567" t="s">
        <v>1369</v>
      </c>
      <c r="D295" s="958">
        <v>1</v>
      </c>
      <c r="E295" s="959" t="s">
        <v>755</v>
      </c>
      <c r="F295" s="558" t="s">
        <v>1399</v>
      </c>
      <c r="G295" s="558">
        <v>791</v>
      </c>
      <c r="H295" s="558" t="s">
        <v>1433</v>
      </c>
      <c r="I295" s="559" t="s">
        <v>1434</v>
      </c>
      <c r="J295" s="567" t="s">
        <v>1423</v>
      </c>
      <c r="K295" s="961" t="s">
        <v>1373</v>
      </c>
      <c r="L295" s="555" t="str">
        <f t="shared" ca="1" si="37"/>
        <v/>
      </c>
      <c r="M295" s="494" t="s">
        <v>1374</v>
      </c>
      <c r="N295" s="555" t="str">
        <f t="shared" ca="1" si="38"/>
        <v/>
      </c>
      <c r="O295" s="494" t="s">
        <v>1375</v>
      </c>
      <c r="P295" s="555" t="str">
        <f t="shared" ca="1" si="39"/>
        <v/>
      </c>
      <c r="Q295" s="494" t="s">
        <v>1424</v>
      </c>
      <c r="R295" s="494" t="str">
        <f t="shared" si="36"/>
        <v>H295</v>
      </c>
      <c r="S295" s="494" t="s">
        <v>1425</v>
      </c>
      <c r="T295" s="494">
        <v>6</v>
      </c>
      <c r="U295" s="556" t="str">
        <f t="shared" ca="1" si="40"/>
        <v/>
      </c>
      <c r="V295" s="494">
        <v>7</v>
      </c>
      <c r="W295" s="556" t="str">
        <f t="shared" ca="1" si="41"/>
        <v/>
      </c>
      <c r="X295" s="494" t="s">
        <v>1426</v>
      </c>
      <c r="Y295" s="547" t="str">
        <f t="shared" ca="1" si="42"/>
        <v/>
      </c>
      <c r="Z295" s="494" t="s">
        <v>1427</v>
      </c>
      <c r="AA295" s="547" t="str">
        <f t="shared" ca="1" si="43"/>
        <v/>
      </c>
      <c r="AB295" s="494" t="s">
        <v>1428</v>
      </c>
      <c r="AC295" s="547" t="str">
        <f t="shared" ca="1" si="44"/>
        <v/>
      </c>
      <c r="AD295" s="557"/>
      <c r="AE295" s="958"/>
    </row>
    <row r="296" spans="1:31" ht="15" customHeight="1">
      <c r="A296" s="957">
        <v>61</v>
      </c>
      <c r="B296" s="566" t="s">
        <v>653</v>
      </c>
      <c r="C296" s="567" t="s">
        <v>1369</v>
      </c>
      <c r="D296" s="958">
        <v>1</v>
      </c>
      <c r="E296" s="959" t="s">
        <v>755</v>
      </c>
      <c r="F296" s="558" t="s">
        <v>1399</v>
      </c>
      <c r="G296" s="558">
        <v>791</v>
      </c>
      <c r="H296" s="558" t="s">
        <v>1435</v>
      </c>
      <c r="I296" s="559" t="s">
        <v>1436</v>
      </c>
      <c r="J296" s="567" t="s">
        <v>1423</v>
      </c>
      <c r="K296" s="961" t="s">
        <v>1373</v>
      </c>
      <c r="L296" s="555" t="str">
        <f t="shared" ca="1" si="37"/>
        <v/>
      </c>
      <c r="M296" s="494" t="s">
        <v>1374</v>
      </c>
      <c r="N296" s="555" t="str">
        <f t="shared" ca="1" si="38"/>
        <v/>
      </c>
      <c r="O296" s="494" t="s">
        <v>1375</v>
      </c>
      <c r="P296" s="555" t="str">
        <f t="shared" ca="1" si="39"/>
        <v/>
      </c>
      <c r="Q296" s="494" t="s">
        <v>1424</v>
      </c>
      <c r="R296" s="494" t="str">
        <f t="shared" si="36"/>
        <v>H296</v>
      </c>
      <c r="S296" s="494" t="s">
        <v>1425</v>
      </c>
      <c r="T296" s="494">
        <v>6</v>
      </c>
      <c r="U296" s="556" t="str">
        <f t="shared" ca="1" si="40"/>
        <v/>
      </c>
      <c r="V296" s="494">
        <v>7</v>
      </c>
      <c r="W296" s="556" t="str">
        <f t="shared" ca="1" si="41"/>
        <v/>
      </c>
      <c r="X296" s="494" t="s">
        <v>1426</v>
      </c>
      <c r="Y296" s="547" t="str">
        <f t="shared" ca="1" si="42"/>
        <v/>
      </c>
      <c r="Z296" s="494" t="s">
        <v>1427</v>
      </c>
      <c r="AA296" s="547" t="str">
        <f t="shared" ca="1" si="43"/>
        <v/>
      </c>
      <c r="AB296" s="494" t="s">
        <v>1428</v>
      </c>
      <c r="AC296" s="547" t="str">
        <f t="shared" ca="1" si="44"/>
        <v/>
      </c>
      <c r="AD296" s="557"/>
      <c r="AE296" s="958"/>
    </row>
    <row r="297" spans="1:31" ht="15" customHeight="1">
      <c r="A297" s="957">
        <v>61</v>
      </c>
      <c r="B297" s="566" t="s">
        <v>653</v>
      </c>
      <c r="C297" s="567" t="s">
        <v>1369</v>
      </c>
      <c r="D297" s="958">
        <v>1</v>
      </c>
      <c r="E297" s="959" t="s">
        <v>755</v>
      </c>
      <c r="F297" s="558" t="s">
        <v>1399</v>
      </c>
      <c r="G297" s="558">
        <v>791</v>
      </c>
      <c r="H297" s="558" t="s">
        <v>1437</v>
      </c>
      <c r="I297" s="559" t="s">
        <v>407</v>
      </c>
      <c r="J297" s="567" t="s">
        <v>1423</v>
      </c>
      <c r="K297" s="961" t="s">
        <v>1373</v>
      </c>
      <c r="L297" s="555" t="str">
        <f t="shared" ca="1" si="37"/>
        <v/>
      </c>
      <c r="M297" s="494" t="s">
        <v>1374</v>
      </c>
      <c r="N297" s="555" t="str">
        <f t="shared" ca="1" si="38"/>
        <v/>
      </c>
      <c r="O297" s="494" t="s">
        <v>1375</v>
      </c>
      <c r="P297" s="555" t="str">
        <f t="shared" ca="1" si="39"/>
        <v/>
      </c>
      <c r="Q297" s="494" t="s">
        <v>1424</v>
      </c>
      <c r="R297" s="494" t="str">
        <f t="shared" ref="R297:R360" si="45">CONCATENATE("H",ROW(J297))</f>
        <v>H297</v>
      </c>
      <c r="S297" s="494" t="s">
        <v>1425</v>
      </c>
      <c r="T297" s="494">
        <v>6</v>
      </c>
      <c r="U297" s="556" t="str">
        <f t="shared" ca="1" si="40"/>
        <v/>
      </c>
      <c r="V297" s="494">
        <v>7</v>
      </c>
      <c r="W297" s="556" t="str">
        <f t="shared" ca="1" si="41"/>
        <v/>
      </c>
      <c r="X297" s="494" t="s">
        <v>1426</v>
      </c>
      <c r="Y297" s="547" t="str">
        <f t="shared" ca="1" si="42"/>
        <v/>
      </c>
      <c r="Z297" s="494" t="s">
        <v>1427</v>
      </c>
      <c r="AA297" s="547" t="str">
        <f t="shared" ca="1" si="43"/>
        <v/>
      </c>
      <c r="AB297" s="494" t="s">
        <v>1428</v>
      </c>
      <c r="AC297" s="547" t="str">
        <f t="shared" ca="1" si="44"/>
        <v/>
      </c>
      <c r="AD297" s="557"/>
      <c r="AE297" s="958"/>
    </row>
    <row r="298" spans="1:31" ht="15" customHeight="1">
      <c r="A298" s="957">
        <v>61</v>
      </c>
      <c r="B298" s="566" t="s">
        <v>653</v>
      </c>
      <c r="C298" s="567" t="s">
        <v>1369</v>
      </c>
      <c r="D298" s="958">
        <v>1</v>
      </c>
      <c r="E298" s="959" t="s">
        <v>755</v>
      </c>
      <c r="F298" s="558" t="s">
        <v>1399</v>
      </c>
      <c r="G298" s="558">
        <v>791</v>
      </c>
      <c r="H298" s="558" t="s">
        <v>1438</v>
      </c>
      <c r="I298" s="559" t="s">
        <v>759</v>
      </c>
      <c r="J298" s="567" t="s">
        <v>1423</v>
      </c>
      <c r="K298" s="961" t="s">
        <v>1373</v>
      </c>
      <c r="L298" s="555" t="str">
        <f t="shared" ca="1" si="37"/>
        <v/>
      </c>
      <c r="M298" s="494" t="s">
        <v>1374</v>
      </c>
      <c r="N298" s="555" t="str">
        <f t="shared" ca="1" si="38"/>
        <v/>
      </c>
      <c r="O298" s="494" t="s">
        <v>1375</v>
      </c>
      <c r="P298" s="555" t="str">
        <f t="shared" ca="1" si="39"/>
        <v/>
      </c>
      <c r="Q298" s="494" t="s">
        <v>1424</v>
      </c>
      <c r="R298" s="494" t="str">
        <f t="shared" si="45"/>
        <v>H298</v>
      </c>
      <c r="S298" s="494" t="s">
        <v>1425</v>
      </c>
      <c r="T298" s="494">
        <v>6</v>
      </c>
      <c r="U298" s="556" t="str">
        <f t="shared" ca="1" si="40"/>
        <v/>
      </c>
      <c r="V298" s="494">
        <v>7</v>
      </c>
      <c r="W298" s="556" t="str">
        <f t="shared" ca="1" si="41"/>
        <v/>
      </c>
      <c r="X298" s="494" t="s">
        <v>1426</v>
      </c>
      <c r="Y298" s="547" t="str">
        <f t="shared" ca="1" si="42"/>
        <v/>
      </c>
      <c r="Z298" s="494" t="s">
        <v>1427</v>
      </c>
      <c r="AA298" s="547" t="str">
        <f t="shared" ca="1" si="43"/>
        <v/>
      </c>
      <c r="AB298" s="494" t="s">
        <v>1428</v>
      </c>
      <c r="AC298" s="547" t="str">
        <f t="shared" ca="1" si="44"/>
        <v/>
      </c>
      <c r="AD298" s="557"/>
      <c r="AE298" s="958"/>
    </row>
    <row r="299" spans="1:31" ht="15" customHeight="1">
      <c r="A299" s="957">
        <v>61</v>
      </c>
      <c r="B299" s="566" t="s">
        <v>653</v>
      </c>
      <c r="C299" s="567" t="s">
        <v>1369</v>
      </c>
      <c r="D299" s="958">
        <v>1</v>
      </c>
      <c r="E299" s="959" t="s">
        <v>755</v>
      </c>
      <c r="F299" s="558" t="s">
        <v>1399</v>
      </c>
      <c r="G299" s="558">
        <v>792</v>
      </c>
      <c r="H299" s="558" t="s">
        <v>762</v>
      </c>
      <c r="I299" s="559" t="s">
        <v>761</v>
      </c>
      <c r="J299" s="567" t="s">
        <v>1423</v>
      </c>
      <c r="K299" s="961" t="s">
        <v>1373</v>
      </c>
      <c r="L299" s="555" t="str">
        <f t="shared" ca="1" si="37"/>
        <v/>
      </c>
      <c r="M299" s="494" t="s">
        <v>1374</v>
      </c>
      <c r="N299" s="555" t="str">
        <f t="shared" ca="1" si="38"/>
        <v/>
      </c>
      <c r="O299" s="494" t="s">
        <v>1375</v>
      </c>
      <c r="P299" s="555" t="str">
        <f t="shared" ca="1" si="39"/>
        <v/>
      </c>
      <c r="Q299" s="494" t="s">
        <v>1424</v>
      </c>
      <c r="R299" s="494" t="str">
        <f t="shared" si="45"/>
        <v>H299</v>
      </c>
      <c r="S299" s="494" t="s">
        <v>1425</v>
      </c>
      <c r="T299" s="494">
        <v>6</v>
      </c>
      <c r="U299" s="556" t="str">
        <f t="shared" ca="1" si="40"/>
        <v/>
      </c>
      <c r="V299" s="494">
        <v>7</v>
      </c>
      <c r="W299" s="556" t="str">
        <f t="shared" ca="1" si="41"/>
        <v/>
      </c>
      <c r="X299" s="494" t="s">
        <v>1426</v>
      </c>
      <c r="Y299" s="547" t="str">
        <f t="shared" ca="1" si="42"/>
        <v/>
      </c>
      <c r="Z299" s="494" t="s">
        <v>1427</v>
      </c>
      <c r="AA299" s="547" t="str">
        <f t="shared" ca="1" si="43"/>
        <v/>
      </c>
      <c r="AB299" s="494" t="s">
        <v>1428</v>
      </c>
      <c r="AC299" s="547" t="str">
        <f t="shared" ca="1" si="44"/>
        <v/>
      </c>
      <c r="AD299" s="557"/>
      <c r="AE299" s="958"/>
    </row>
    <row r="300" spans="1:31" ht="15" customHeight="1">
      <c r="A300" s="957">
        <v>61</v>
      </c>
      <c r="B300" s="566" t="s">
        <v>653</v>
      </c>
      <c r="C300" s="567" t="s">
        <v>1369</v>
      </c>
      <c r="D300" s="958">
        <v>1</v>
      </c>
      <c r="E300" s="959" t="s">
        <v>755</v>
      </c>
      <c r="F300" s="558" t="s">
        <v>1399</v>
      </c>
      <c r="G300" s="558">
        <v>792</v>
      </c>
      <c r="H300" s="558" t="s">
        <v>763</v>
      </c>
      <c r="I300" s="559" t="s">
        <v>764</v>
      </c>
      <c r="J300" s="567" t="s">
        <v>1423</v>
      </c>
      <c r="K300" s="961" t="s">
        <v>1373</v>
      </c>
      <c r="L300" s="555" t="str">
        <f t="shared" ca="1" si="37"/>
        <v/>
      </c>
      <c r="M300" s="494" t="s">
        <v>1374</v>
      </c>
      <c r="N300" s="555" t="str">
        <f t="shared" ca="1" si="38"/>
        <v/>
      </c>
      <c r="O300" s="494" t="s">
        <v>1375</v>
      </c>
      <c r="P300" s="555" t="str">
        <f t="shared" ca="1" si="39"/>
        <v/>
      </c>
      <c r="Q300" s="494" t="s">
        <v>1424</v>
      </c>
      <c r="R300" s="494" t="str">
        <f t="shared" si="45"/>
        <v>H300</v>
      </c>
      <c r="S300" s="494" t="s">
        <v>1425</v>
      </c>
      <c r="T300" s="494">
        <v>6</v>
      </c>
      <c r="U300" s="556" t="str">
        <f t="shared" ca="1" si="40"/>
        <v/>
      </c>
      <c r="V300" s="494">
        <v>7</v>
      </c>
      <c r="W300" s="556" t="str">
        <f t="shared" ca="1" si="41"/>
        <v/>
      </c>
      <c r="X300" s="494" t="s">
        <v>1426</v>
      </c>
      <c r="Y300" s="547" t="str">
        <f t="shared" ca="1" si="42"/>
        <v/>
      </c>
      <c r="Z300" s="494" t="s">
        <v>1427</v>
      </c>
      <c r="AA300" s="547" t="str">
        <f t="shared" ca="1" si="43"/>
        <v/>
      </c>
      <c r="AB300" s="494" t="s">
        <v>1428</v>
      </c>
      <c r="AC300" s="547" t="str">
        <f t="shared" ca="1" si="44"/>
        <v/>
      </c>
      <c r="AD300" s="557"/>
      <c r="AE300" s="958"/>
    </row>
    <row r="301" spans="1:31" ht="15" customHeight="1">
      <c r="A301" s="957">
        <v>61</v>
      </c>
      <c r="B301" s="566" t="s">
        <v>653</v>
      </c>
      <c r="C301" s="567" t="s">
        <v>1369</v>
      </c>
      <c r="D301" s="958">
        <v>1</v>
      </c>
      <c r="E301" s="959" t="s">
        <v>755</v>
      </c>
      <c r="F301" s="558" t="s">
        <v>1399</v>
      </c>
      <c r="G301" s="558">
        <v>792</v>
      </c>
      <c r="H301" s="558" t="s">
        <v>766</v>
      </c>
      <c r="I301" s="559" t="s">
        <v>767</v>
      </c>
      <c r="J301" s="567" t="s">
        <v>1423</v>
      </c>
      <c r="K301" s="961" t="s">
        <v>1373</v>
      </c>
      <c r="L301" s="555" t="str">
        <f t="shared" ca="1" si="37"/>
        <v/>
      </c>
      <c r="M301" s="494" t="s">
        <v>1374</v>
      </c>
      <c r="N301" s="555" t="str">
        <f t="shared" ca="1" si="38"/>
        <v/>
      </c>
      <c r="O301" s="494" t="s">
        <v>1375</v>
      </c>
      <c r="P301" s="555" t="str">
        <f t="shared" ca="1" si="39"/>
        <v/>
      </c>
      <c r="Q301" s="494" t="s">
        <v>1424</v>
      </c>
      <c r="R301" s="494" t="str">
        <f t="shared" si="45"/>
        <v>H301</v>
      </c>
      <c r="S301" s="494" t="s">
        <v>1425</v>
      </c>
      <c r="T301" s="494">
        <v>6</v>
      </c>
      <c r="U301" s="556" t="str">
        <f t="shared" ca="1" si="40"/>
        <v/>
      </c>
      <c r="V301" s="494">
        <v>7</v>
      </c>
      <c r="W301" s="556" t="str">
        <f t="shared" ca="1" si="41"/>
        <v/>
      </c>
      <c r="X301" s="494" t="s">
        <v>1426</v>
      </c>
      <c r="Y301" s="547" t="str">
        <f t="shared" ca="1" si="42"/>
        <v/>
      </c>
      <c r="Z301" s="494" t="s">
        <v>1427</v>
      </c>
      <c r="AA301" s="547" t="str">
        <f t="shared" ca="1" si="43"/>
        <v/>
      </c>
      <c r="AB301" s="494" t="s">
        <v>1428</v>
      </c>
      <c r="AC301" s="547" t="str">
        <f t="shared" ca="1" si="44"/>
        <v/>
      </c>
      <c r="AD301" s="557"/>
      <c r="AE301" s="958"/>
    </row>
    <row r="302" spans="1:31" ht="15" customHeight="1">
      <c r="A302" s="957">
        <v>61</v>
      </c>
      <c r="B302" s="566" t="s">
        <v>653</v>
      </c>
      <c r="C302" s="567" t="s">
        <v>1369</v>
      </c>
      <c r="D302" s="958">
        <v>1</v>
      </c>
      <c r="E302" s="959" t="s">
        <v>755</v>
      </c>
      <c r="F302" s="558" t="s">
        <v>1399</v>
      </c>
      <c r="G302" s="558">
        <v>792</v>
      </c>
      <c r="H302" s="558" t="s">
        <v>768</v>
      </c>
      <c r="I302" s="559" t="s">
        <v>769</v>
      </c>
      <c r="J302" s="567" t="s">
        <v>1423</v>
      </c>
      <c r="K302" s="961" t="s">
        <v>1373</v>
      </c>
      <c r="L302" s="555" t="str">
        <f t="shared" ca="1" si="37"/>
        <v/>
      </c>
      <c r="M302" s="494" t="s">
        <v>1374</v>
      </c>
      <c r="N302" s="555" t="str">
        <f t="shared" ca="1" si="38"/>
        <v/>
      </c>
      <c r="O302" s="494" t="s">
        <v>1375</v>
      </c>
      <c r="P302" s="555" t="str">
        <f t="shared" ca="1" si="39"/>
        <v/>
      </c>
      <c r="Q302" s="494" t="s">
        <v>1424</v>
      </c>
      <c r="R302" s="494" t="str">
        <f t="shared" si="45"/>
        <v>H302</v>
      </c>
      <c r="S302" s="494" t="s">
        <v>1425</v>
      </c>
      <c r="T302" s="494">
        <v>6</v>
      </c>
      <c r="U302" s="556" t="str">
        <f t="shared" ca="1" si="40"/>
        <v/>
      </c>
      <c r="V302" s="494">
        <v>7</v>
      </c>
      <c r="W302" s="556" t="str">
        <f t="shared" ca="1" si="41"/>
        <v/>
      </c>
      <c r="X302" s="494" t="s">
        <v>1426</v>
      </c>
      <c r="Y302" s="547" t="str">
        <f t="shared" ca="1" si="42"/>
        <v/>
      </c>
      <c r="Z302" s="494" t="s">
        <v>1427</v>
      </c>
      <c r="AA302" s="547" t="str">
        <f t="shared" ca="1" si="43"/>
        <v/>
      </c>
      <c r="AB302" s="494" t="s">
        <v>1428</v>
      </c>
      <c r="AC302" s="547" t="str">
        <f t="shared" ca="1" si="44"/>
        <v/>
      </c>
      <c r="AD302" s="557"/>
      <c r="AE302" s="958"/>
    </row>
    <row r="303" spans="1:31" ht="15" customHeight="1">
      <c r="A303" s="957">
        <v>61</v>
      </c>
      <c r="B303" s="566" t="s">
        <v>653</v>
      </c>
      <c r="C303" s="567" t="s">
        <v>1369</v>
      </c>
      <c r="D303" s="958">
        <v>1</v>
      </c>
      <c r="E303" s="959" t="s">
        <v>755</v>
      </c>
      <c r="F303" s="558" t="s">
        <v>1399</v>
      </c>
      <c r="G303" s="558">
        <v>792</v>
      </c>
      <c r="H303" s="558" t="s">
        <v>770</v>
      </c>
      <c r="I303" s="559" t="s">
        <v>771</v>
      </c>
      <c r="J303" s="567" t="s">
        <v>1423</v>
      </c>
      <c r="K303" s="961" t="s">
        <v>1373</v>
      </c>
      <c r="L303" s="555" t="str">
        <f t="shared" ca="1" si="37"/>
        <v/>
      </c>
      <c r="M303" s="494" t="s">
        <v>1374</v>
      </c>
      <c r="N303" s="555" t="str">
        <f t="shared" ca="1" si="38"/>
        <v/>
      </c>
      <c r="O303" s="494" t="s">
        <v>1375</v>
      </c>
      <c r="P303" s="555" t="str">
        <f t="shared" ca="1" si="39"/>
        <v/>
      </c>
      <c r="Q303" s="494" t="s">
        <v>1424</v>
      </c>
      <c r="R303" s="494" t="str">
        <f t="shared" si="45"/>
        <v>H303</v>
      </c>
      <c r="S303" s="494" t="s">
        <v>1425</v>
      </c>
      <c r="T303" s="494">
        <v>6</v>
      </c>
      <c r="U303" s="556" t="str">
        <f t="shared" ca="1" si="40"/>
        <v/>
      </c>
      <c r="V303" s="494">
        <v>7</v>
      </c>
      <c r="W303" s="556" t="str">
        <f t="shared" ca="1" si="41"/>
        <v/>
      </c>
      <c r="X303" s="494" t="s">
        <v>1426</v>
      </c>
      <c r="Y303" s="547" t="str">
        <f t="shared" ca="1" si="42"/>
        <v/>
      </c>
      <c r="Z303" s="494" t="s">
        <v>1427</v>
      </c>
      <c r="AA303" s="547" t="str">
        <f t="shared" ca="1" si="43"/>
        <v/>
      </c>
      <c r="AB303" s="494" t="s">
        <v>1428</v>
      </c>
      <c r="AC303" s="547" t="str">
        <f t="shared" ca="1" si="44"/>
        <v/>
      </c>
      <c r="AD303" s="557"/>
      <c r="AE303" s="958"/>
    </row>
    <row r="304" spans="1:31" ht="15" customHeight="1">
      <c r="A304" s="957">
        <v>61</v>
      </c>
      <c r="B304" s="566" t="s">
        <v>653</v>
      </c>
      <c r="C304" s="567" t="s">
        <v>1369</v>
      </c>
      <c r="D304" s="958">
        <v>1</v>
      </c>
      <c r="E304" s="959" t="s">
        <v>755</v>
      </c>
      <c r="F304" s="558" t="s">
        <v>1399</v>
      </c>
      <c r="G304" s="558">
        <v>793</v>
      </c>
      <c r="H304" s="558" t="s">
        <v>773</v>
      </c>
      <c r="I304" s="559" t="s">
        <v>772</v>
      </c>
      <c r="J304" s="567" t="s">
        <v>1423</v>
      </c>
      <c r="K304" s="961" t="s">
        <v>1373</v>
      </c>
      <c r="L304" s="555" t="str">
        <f t="shared" ca="1" si="37"/>
        <v/>
      </c>
      <c r="M304" s="494" t="s">
        <v>1374</v>
      </c>
      <c r="N304" s="555" t="str">
        <f t="shared" ca="1" si="38"/>
        <v/>
      </c>
      <c r="O304" s="494" t="s">
        <v>1375</v>
      </c>
      <c r="P304" s="555" t="str">
        <f t="shared" ca="1" si="39"/>
        <v/>
      </c>
      <c r="Q304" s="494" t="s">
        <v>1424</v>
      </c>
      <c r="R304" s="494" t="str">
        <f t="shared" si="45"/>
        <v>H304</v>
      </c>
      <c r="S304" s="494" t="s">
        <v>1425</v>
      </c>
      <c r="T304" s="494">
        <v>6</v>
      </c>
      <c r="U304" s="556" t="str">
        <f t="shared" ca="1" si="40"/>
        <v/>
      </c>
      <c r="V304" s="494">
        <v>7</v>
      </c>
      <c r="W304" s="556" t="str">
        <f t="shared" ca="1" si="41"/>
        <v/>
      </c>
      <c r="X304" s="494" t="s">
        <v>1426</v>
      </c>
      <c r="Y304" s="547" t="str">
        <f t="shared" ca="1" si="42"/>
        <v/>
      </c>
      <c r="Z304" s="494" t="s">
        <v>1427</v>
      </c>
      <c r="AA304" s="547" t="str">
        <f t="shared" ca="1" si="43"/>
        <v/>
      </c>
      <c r="AB304" s="494" t="s">
        <v>1428</v>
      </c>
      <c r="AC304" s="547" t="str">
        <f t="shared" ca="1" si="44"/>
        <v/>
      </c>
      <c r="AD304" s="557"/>
      <c r="AE304" s="958"/>
    </row>
    <row r="305" spans="1:31" ht="15" customHeight="1">
      <c r="A305" s="957">
        <v>61</v>
      </c>
      <c r="B305" s="566" t="s">
        <v>653</v>
      </c>
      <c r="C305" s="567" t="s">
        <v>1369</v>
      </c>
      <c r="D305" s="958">
        <v>1</v>
      </c>
      <c r="E305" s="959" t="s">
        <v>755</v>
      </c>
      <c r="F305" s="558" t="s">
        <v>1399</v>
      </c>
      <c r="G305" s="558">
        <v>793</v>
      </c>
      <c r="H305" s="558" t="s">
        <v>774</v>
      </c>
      <c r="I305" s="559" t="s">
        <v>775</v>
      </c>
      <c r="J305" s="567" t="s">
        <v>1423</v>
      </c>
      <c r="K305" s="961" t="s">
        <v>1373</v>
      </c>
      <c r="L305" s="555" t="str">
        <f t="shared" ca="1" si="37"/>
        <v/>
      </c>
      <c r="M305" s="494" t="s">
        <v>1374</v>
      </c>
      <c r="N305" s="555" t="str">
        <f t="shared" ca="1" si="38"/>
        <v/>
      </c>
      <c r="O305" s="494" t="s">
        <v>1375</v>
      </c>
      <c r="P305" s="555" t="str">
        <f t="shared" ca="1" si="39"/>
        <v/>
      </c>
      <c r="Q305" s="494" t="s">
        <v>1424</v>
      </c>
      <c r="R305" s="494" t="str">
        <f t="shared" si="45"/>
        <v>H305</v>
      </c>
      <c r="S305" s="494" t="s">
        <v>1425</v>
      </c>
      <c r="T305" s="494">
        <v>6</v>
      </c>
      <c r="U305" s="556" t="str">
        <f t="shared" ca="1" si="40"/>
        <v/>
      </c>
      <c r="V305" s="494">
        <v>7</v>
      </c>
      <c r="W305" s="556" t="str">
        <f t="shared" ca="1" si="41"/>
        <v/>
      </c>
      <c r="X305" s="494" t="s">
        <v>1426</v>
      </c>
      <c r="Y305" s="547" t="str">
        <f t="shared" ca="1" si="42"/>
        <v/>
      </c>
      <c r="Z305" s="494" t="s">
        <v>1427</v>
      </c>
      <c r="AA305" s="547" t="str">
        <f t="shared" ca="1" si="43"/>
        <v/>
      </c>
      <c r="AB305" s="494" t="s">
        <v>1428</v>
      </c>
      <c r="AC305" s="547" t="str">
        <f t="shared" ca="1" si="44"/>
        <v/>
      </c>
      <c r="AD305" s="557"/>
      <c r="AE305" s="958"/>
    </row>
    <row r="306" spans="1:31" ht="15" customHeight="1">
      <c r="A306" s="957">
        <v>61</v>
      </c>
      <c r="B306" s="566" t="s">
        <v>653</v>
      </c>
      <c r="C306" s="567" t="s">
        <v>1369</v>
      </c>
      <c r="D306" s="958">
        <v>1</v>
      </c>
      <c r="E306" s="959" t="s">
        <v>755</v>
      </c>
      <c r="F306" s="558" t="s">
        <v>1399</v>
      </c>
      <c r="G306" s="558">
        <v>794</v>
      </c>
      <c r="H306" s="558" t="s">
        <v>647</v>
      </c>
      <c r="I306" s="559" t="s">
        <v>777</v>
      </c>
      <c r="J306" s="567" t="s">
        <v>1423</v>
      </c>
      <c r="K306" s="961" t="s">
        <v>1373</v>
      </c>
      <c r="L306" s="555" t="str">
        <f t="shared" ca="1" si="37"/>
        <v/>
      </c>
      <c r="M306" s="494" t="s">
        <v>1374</v>
      </c>
      <c r="N306" s="555" t="str">
        <f t="shared" ca="1" si="38"/>
        <v/>
      </c>
      <c r="O306" s="494" t="s">
        <v>1375</v>
      </c>
      <c r="P306" s="555" t="str">
        <f t="shared" ca="1" si="39"/>
        <v/>
      </c>
      <c r="Q306" s="494" t="s">
        <v>1424</v>
      </c>
      <c r="R306" s="494" t="str">
        <f t="shared" si="45"/>
        <v>H306</v>
      </c>
      <c r="S306" s="494" t="s">
        <v>1425</v>
      </c>
      <c r="T306" s="494">
        <v>6</v>
      </c>
      <c r="U306" s="556" t="str">
        <f t="shared" ca="1" si="40"/>
        <v/>
      </c>
      <c r="V306" s="494">
        <v>7</v>
      </c>
      <c r="W306" s="556" t="str">
        <f t="shared" ca="1" si="41"/>
        <v/>
      </c>
      <c r="X306" s="494" t="s">
        <v>1426</v>
      </c>
      <c r="Y306" s="547" t="str">
        <f t="shared" ca="1" si="42"/>
        <v/>
      </c>
      <c r="Z306" s="494" t="s">
        <v>1427</v>
      </c>
      <c r="AA306" s="547" t="str">
        <f t="shared" ca="1" si="43"/>
        <v/>
      </c>
      <c r="AB306" s="494" t="s">
        <v>1428</v>
      </c>
      <c r="AC306" s="547" t="str">
        <f t="shared" ca="1" si="44"/>
        <v/>
      </c>
      <c r="AD306" s="557"/>
      <c r="AE306" s="958"/>
    </row>
    <row r="307" spans="1:31" ht="15" customHeight="1">
      <c r="A307" s="957">
        <v>61</v>
      </c>
      <c r="B307" s="566" t="s">
        <v>653</v>
      </c>
      <c r="C307" s="567" t="s">
        <v>1369</v>
      </c>
      <c r="D307" s="958">
        <v>1</v>
      </c>
      <c r="E307" s="959" t="s">
        <v>755</v>
      </c>
      <c r="F307" s="558" t="s">
        <v>1399</v>
      </c>
      <c r="G307" s="558">
        <v>794</v>
      </c>
      <c r="H307" s="558" t="s">
        <v>648</v>
      </c>
      <c r="I307" s="559" t="s">
        <v>778</v>
      </c>
      <c r="J307" s="567" t="s">
        <v>1423</v>
      </c>
      <c r="K307" s="961" t="s">
        <v>1373</v>
      </c>
      <c r="L307" s="555" t="str">
        <f t="shared" ca="1" si="37"/>
        <v/>
      </c>
      <c r="M307" s="494" t="s">
        <v>1374</v>
      </c>
      <c r="N307" s="555" t="str">
        <f t="shared" ca="1" si="38"/>
        <v/>
      </c>
      <c r="O307" s="494" t="s">
        <v>1375</v>
      </c>
      <c r="P307" s="555" t="str">
        <f t="shared" ca="1" si="39"/>
        <v/>
      </c>
      <c r="Q307" s="494" t="s">
        <v>1424</v>
      </c>
      <c r="R307" s="494" t="str">
        <f t="shared" si="45"/>
        <v>H307</v>
      </c>
      <c r="S307" s="494" t="s">
        <v>1425</v>
      </c>
      <c r="T307" s="494">
        <v>6</v>
      </c>
      <c r="U307" s="556" t="str">
        <f t="shared" ca="1" si="40"/>
        <v/>
      </c>
      <c r="V307" s="494">
        <v>7</v>
      </c>
      <c r="W307" s="556" t="str">
        <f t="shared" ca="1" si="41"/>
        <v/>
      </c>
      <c r="X307" s="494" t="s">
        <v>1426</v>
      </c>
      <c r="Y307" s="547" t="str">
        <f t="shared" ca="1" si="42"/>
        <v/>
      </c>
      <c r="Z307" s="494" t="s">
        <v>1427</v>
      </c>
      <c r="AA307" s="547" t="str">
        <f t="shared" ca="1" si="43"/>
        <v/>
      </c>
      <c r="AB307" s="494" t="s">
        <v>1428</v>
      </c>
      <c r="AC307" s="547" t="str">
        <f t="shared" ca="1" si="44"/>
        <v/>
      </c>
      <c r="AD307" s="557"/>
      <c r="AE307" s="958"/>
    </row>
    <row r="308" spans="1:31" ht="15" customHeight="1">
      <c r="A308" s="957">
        <v>97</v>
      </c>
      <c r="B308" s="566" t="s">
        <v>654</v>
      </c>
      <c r="C308" s="567" t="s">
        <v>1369</v>
      </c>
      <c r="D308" s="958">
        <v>1.1000000000000001</v>
      </c>
      <c r="E308" s="959" t="s">
        <v>659</v>
      </c>
      <c r="F308" s="558" t="s">
        <v>1371</v>
      </c>
      <c r="G308" s="558">
        <v>746</v>
      </c>
      <c r="H308" s="558">
        <v>1</v>
      </c>
      <c r="I308" s="559" t="s">
        <v>257</v>
      </c>
      <c r="J308" s="567" t="s">
        <v>1423</v>
      </c>
      <c r="K308" s="961" t="s">
        <v>1373</v>
      </c>
      <c r="L308" s="555" t="str">
        <f t="shared" ca="1" si="37"/>
        <v/>
      </c>
      <c r="M308" s="494" t="s">
        <v>1374</v>
      </c>
      <c r="N308" s="555" t="str">
        <f t="shared" ca="1" si="38"/>
        <v/>
      </c>
      <c r="O308" s="494" t="s">
        <v>1375</v>
      </c>
      <c r="P308" s="555" t="str">
        <f t="shared" ca="1" si="39"/>
        <v/>
      </c>
      <c r="Q308" s="494" t="s">
        <v>1424</v>
      </c>
      <c r="R308" s="494" t="str">
        <f t="shared" si="45"/>
        <v>H308</v>
      </c>
      <c r="S308" s="494" t="s">
        <v>1425</v>
      </c>
      <c r="T308" s="494">
        <v>6</v>
      </c>
      <c r="U308" s="556" t="str">
        <f t="shared" ca="1" si="40"/>
        <v/>
      </c>
      <c r="V308" s="494">
        <v>7</v>
      </c>
      <c r="W308" s="556" t="str">
        <f t="shared" ca="1" si="41"/>
        <v/>
      </c>
      <c r="X308" s="494" t="s">
        <v>1426</v>
      </c>
      <c r="Y308" s="547" t="str">
        <f t="shared" ca="1" si="42"/>
        <v/>
      </c>
      <c r="Z308" s="494" t="s">
        <v>1427</v>
      </c>
      <c r="AA308" s="547" t="str">
        <f t="shared" ca="1" si="43"/>
        <v/>
      </c>
      <c r="AB308" s="494" t="s">
        <v>1428</v>
      </c>
      <c r="AC308" s="547" t="str">
        <f t="shared" ca="1" si="44"/>
        <v/>
      </c>
      <c r="AD308" s="557"/>
      <c r="AE308" s="958"/>
    </row>
    <row r="309" spans="1:31" ht="15" customHeight="1">
      <c r="A309" s="957">
        <v>97</v>
      </c>
      <c r="B309" s="566" t="s">
        <v>654</v>
      </c>
      <c r="C309" s="567" t="s">
        <v>1369</v>
      </c>
      <c r="D309" s="958">
        <v>1.1000000000000001</v>
      </c>
      <c r="E309" s="959" t="s">
        <v>659</v>
      </c>
      <c r="F309" s="558" t="s">
        <v>1371</v>
      </c>
      <c r="G309" s="558">
        <v>747</v>
      </c>
      <c r="H309" s="558">
        <v>2.1</v>
      </c>
      <c r="I309" s="559" t="s">
        <v>661</v>
      </c>
      <c r="J309" s="567" t="s">
        <v>1423</v>
      </c>
      <c r="K309" s="961" t="s">
        <v>1373</v>
      </c>
      <c r="L309" s="555" t="str">
        <f t="shared" ca="1" si="37"/>
        <v/>
      </c>
      <c r="M309" s="494" t="s">
        <v>1374</v>
      </c>
      <c r="N309" s="555" t="str">
        <f t="shared" ca="1" si="38"/>
        <v/>
      </c>
      <c r="O309" s="494" t="s">
        <v>1375</v>
      </c>
      <c r="P309" s="555" t="str">
        <f t="shared" ca="1" si="39"/>
        <v/>
      </c>
      <c r="Q309" s="494" t="s">
        <v>1424</v>
      </c>
      <c r="R309" s="494" t="str">
        <f t="shared" si="45"/>
        <v>H309</v>
      </c>
      <c r="S309" s="494" t="s">
        <v>1425</v>
      </c>
      <c r="T309" s="494">
        <v>6</v>
      </c>
      <c r="U309" s="556" t="str">
        <f t="shared" ca="1" si="40"/>
        <v/>
      </c>
      <c r="V309" s="494">
        <v>7</v>
      </c>
      <c r="W309" s="556" t="str">
        <f t="shared" ca="1" si="41"/>
        <v/>
      </c>
      <c r="X309" s="494" t="s">
        <v>1426</v>
      </c>
      <c r="Y309" s="547" t="str">
        <f t="shared" ca="1" si="42"/>
        <v/>
      </c>
      <c r="Z309" s="494" t="s">
        <v>1427</v>
      </c>
      <c r="AA309" s="547" t="str">
        <f t="shared" ca="1" si="43"/>
        <v/>
      </c>
      <c r="AB309" s="494" t="s">
        <v>1428</v>
      </c>
      <c r="AC309" s="547" t="str">
        <f t="shared" ca="1" si="44"/>
        <v/>
      </c>
      <c r="AD309" s="557"/>
      <c r="AE309" s="958"/>
    </row>
    <row r="310" spans="1:31" ht="15" customHeight="1">
      <c r="A310" s="957">
        <v>97</v>
      </c>
      <c r="B310" s="566" t="s">
        <v>654</v>
      </c>
      <c r="C310" s="567" t="s">
        <v>1369</v>
      </c>
      <c r="D310" s="958">
        <v>1.1000000000000001</v>
      </c>
      <c r="E310" s="959" t="s">
        <v>659</v>
      </c>
      <c r="F310" s="558" t="s">
        <v>1371</v>
      </c>
      <c r="G310" s="558">
        <v>748</v>
      </c>
      <c r="H310" s="558">
        <v>2.2000000000000002</v>
      </c>
      <c r="I310" s="559" t="s">
        <v>662</v>
      </c>
      <c r="J310" s="567" t="s">
        <v>1423</v>
      </c>
      <c r="K310" s="961" t="s">
        <v>1373</v>
      </c>
      <c r="L310" s="555" t="str">
        <f t="shared" ca="1" si="37"/>
        <v/>
      </c>
      <c r="M310" s="494" t="s">
        <v>1374</v>
      </c>
      <c r="N310" s="555" t="str">
        <f t="shared" ca="1" si="38"/>
        <v/>
      </c>
      <c r="O310" s="494" t="s">
        <v>1375</v>
      </c>
      <c r="P310" s="555" t="str">
        <f t="shared" ca="1" si="39"/>
        <v/>
      </c>
      <c r="Q310" s="494" t="s">
        <v>1424</v>
      </c>
      <c r="R310" s="494" t="str">
        <f t="shared" si="45"/>
        <v>H310</v>
      </c>
      <c r="S310" s="494" t="s">
        <v>1425</v>
      </c>
      <c r="T310" s="494">
        <v>6</v>
      </c>
      <c r="U310" s="556" t="str">
        <f t="shared" ca="1" si="40"/>
        <v/>
      </c>
      <c r="V310" s="494">
        <v>7</v>
      </c>
      <c r="W310" s="556" t="str">
        <f t="shared" ca="1" si="41"/>
        <v/>
      </c>
      <c r="X310" s="494" t="s">
        <v>1426</v>
      </c>
      <c r="Y310" s="547" t="str">
        <f t="shared" ca="1" si="42"/>
        <v/>
      </c>
      <c r="Z310" s="494" t="s">
        <v>1427</v>
      </c>
      <c r="AA310" s="547" t="str">
        <f t="shared" ca="1" si="43"/>
        <v/>
      </c>
      <c r="AB310" s="494" t="s">
        <v>1428</v>
      </c>
      <c r="AC310" s="547" t="str">
        <f t="shared" ca="1" si="44"/>
        <v/>
      </c>
      <c r="AD310" s="557"/>
      <c r="AE310" s="958"/>
    </row>
    <row r="311" spans="1:31" ht="15" customHeight="1">
      <c r="A311" s="957">
        <v>97</v>
      </c>
      <c r="B311" s="566" t="s">
        <v>654</v>
      </c>
      <c r="C311" s="567" t="s">
        <v>1369</v>
      </c>
      <c r="D311" s="958">
        <v>1.1000000000000001</v>
      </c>
      <c r="E311" s="959" t="s">
        <v>659</v>
      </c>
      <c r="F311" s="558" t="s">
        <v>1371</v>
      </c>
      <c r="G311" s="558">
        <v>749</v>
      </c>
      <c r="H311" s="558">
        <v>3.1</v>
      </c>
      <c r="I311" s="559" t="s">
        <v>665</v>
      </c>
      <c r="J311" s="567" t="s">
        <v>1423</v>
      </c>
      <c r="K311" s="961" t="s">
        <v>1373</v>
      </c>
      <c r="L311" s="555" t="str">
        <f t="shared" ca="1" si="37"/>
        <v/>
      </c>
      <c r="M311" s="494" t="s">
        <v>1374</v>
      </c>
      <c r="N311" s="555" t="str">
        <f t="shared" ca="1" si="38"/>
        <v/>
      </c>
      <c r="O311" s="494" t="s">
        <v>1375</v>
      </c>
      <c r="P311" s="555" t="str">
        <f t="shared" ca="1" si="39"/>
        <v/>
      </c>
      <c r="Q311" s="494" t="s">
        <v>1424</v>
      </c>
      <c r="R311" s="494" t="str">
        <f t="shared" si="45"/>
        <v>H311</v>
      </c>
      <c r="S311" s="494" t="s">
        <v>1425</v>
      </c>
      <c r="T311" s="494">
        <v>6</v>
      </c>
      <c r="U311" s="556" t="str">
        <f t="shared" ca="1" si="40"/>
        <v/>
      </c>
      <c r="V311" s="494">
        <v>7</v>
      </c>
      <c r="W311" s="556" t="str">
        <f t="shared" ca="1" si="41"/>
        <v/>
      </c>
      <c r="X311" s="494" t="s">
        <v>1426</v>
      </c>
      <c r="Y311" s="547" t="str">
        <f t="shared" ca="1" si="42"/>
        <v/>
      </c>
      <c r="Z311" s="494" t="s">
        <v>1427</v>
      </c>
      <c r="AA311" s="547" t="str">
        <f t="shared" ca="1" si="43"/>
        <v/>
      </c>
      <c r="AB311" s="494" t="s">
        <v>1428</v>
      </c>
      <c r="AC311" s="547" t="str">
        <f t="shared" ca="1" si="44"/>
        <v/>
      </c>
      <c r="AD311" s="557"/>
      <c r="AE311" s="958"/>
    </row>
    <row r="312" spans="1:31" ht="15" customHeight="1">
      <c r="A312" s="957">
        <v>97</v>
      </c>
      <c r="B312" s="566" t="s">
        <v>654</v>
      </c>
      <c r="C312" s="567" t="s">
        <v>1369</v>
      </c>
      <c r="D312" s="958">
        <v>1.1000000000000001</v>
      </c>
      <c r="E312" s="959" t="s">
        <v>659</v>
      </c>
      <c r="F312" s="558" t="s">
        <v>1371</v>
      </c>
      <c r="G312" s="558">
        <v>750</v>
      </c>
      <c r="H312" s="558">
        <v>3.2</v>
      </c>
      <c r="I312" s="559" t="s">
        <v>666</v>
      </c>
      <c r="J312" s="567" t="s">
        <v>1423</v>
      </c>
      <c r="K312" s="961" t="s">
        <v>1373</v>
      </c>
      <c r="L312" s="555" t="str">
        <f t="shared" ca="1" si="37"/>
        <v/>
      </c>
      <c r="M312" s="494" t="s">
        <v>1374</v>
      </c>
      <c r="N312" s="555" t="str">
        <f t="shared" ca="1" si="38"/>
        <v/>
      </c>
      <c r="O312" s="494" t="s">
        <v>1375</v>
      </c>
      <c r="P312" s="555" t="str">
        <f t="shared" ca="1" si="39"/>
        <v/>
      </c>
      <c r="Q312" s="494" t="s">
        <v>1424</v>
      </c>
      <c r="R312" s="494" t="str">
        <f t="shared" si="45"/>
        <v>H312</v>
      </c>
      <c r="S312" s="494" t="s">
        <v>1425</v>
      </c>
      <c r="T312" s="494">
        <v>6</v>
      </c>
      <c r="U312" s="556" t="str">
        <f t="shared" ca="1" si="40"/>
        <v/>
      </c>
      <c r="V312" s="494">
        <v>7</v>
      </c>
      <c r="W312" s="556" t="str">
        <f t="shared" ca="1" si="41"/>
        <v/>
      </c>
      <c r="X312" s="494" t="s">
        <v>1426</v>
      </c>
      <c r="Y312" s="547" t="str">
        <f t="shared" ca="1" si="42"/>
        <v/>
      </c>
      <c r="Z312" s="494" t="s">
        <v>1427</v>
      </c>
      <c r="AA312" s="547" t="str">
        <f t="shared" ca="1" si="43"/>
        <v/>
      </c>
      <c r="AB312" s="494" t="s">
        <v>1428</v>
      </c>
      <c r="AC312" s="547" t="str">
        <f t="shared" ca="1" si="44"/>
        <v/>
      </c>
      <c r="AD312" s="557"/>
      <c r="AE312" s="958"/>
    </row>
    <row r="313" spans="1:31" ht="15" customHeight="1">
      <c r="A313" s="957">
        <v>97</v>
      </c>
      <c r="B313" s="566" t="s">
        <v>654</v>
      </c>
      <c r="C313" s="567" t="s">
        <v>1369</v>
      </c>
      <c r="D313" s="958">
        <v>1.1000000000000001</v>
      </c>
      <c r="E313" s="959" t="s">
        <v>659</v>
      </c>
      <c r="F313" s="558" t="s">
        <v>1371</v>
      </c>
      <c r="G313" s="558">
        <v>751</v>
      </c>
      <c r="H313" s="558">
        <v>4.0999999999999996</v>
      </c>
      <c r="I313" s="559" t="s">
        <v>667</v>
      </c>
      <c r="J313" s="567" t="s">
        <v>1423</v>
      </c>
      <c r="K313" s="961" t="s">
        <v>1373</v>
      </c>
      <c r="L313" s="555" t="str">
        <f t="shared" ca="1" si="37"/>
        <v/>
      </c>
      <c r="M313" s="494" t="s">
        <v>1374</v>
      </c>
      <c r="N313" s="555" t="str">
        <f t="shared" ca="1" si="38"/>
        <v/>
      </c>
      <c r="O313" s="494" t="s">
        <v>1375</v>
      </c>
      <c r="P313" s="555" t="str">
        <f t="shared" ca="1" si="39"/>
        <v/>
      </c>
      <c r="Q313" s="494" t="s">
        <v>1424</v>
      </c>
      <c r="R313" s="494" t="str">
        <f t="shared" si="45"/>
        <v>H313</v>
      </c>
      <c r="S313" s="494" t="s">
        <v>1425</v>
      </c>
      <c r="T313" s="494">
        <v>6</v>
      </c>
      <c r="U313" s="556" t="str">
        <f t="shared" ca="1" si="40"/>
        <v/>
      </c>
      <c r="V313" s="494">
        <v>7</v>
      </c>
      <c r="W313" s="556" t="str">
        <f t="shared" ca="1" si="41"/>
        <v/>
      </c>
      <c r="X313" s="494" t="s">
        <v>1426</v>
      </c>
      <c r="Y313" s="547" t="str">
        <f t="shared" ca="1" si="42"/>
        <v/>
      </c>
      <c r="Z313" s="494" t="s">
        <v>1427</v>
      </c>
      <c r="AA313" s="547" t="str">
        <f t="shared" ca="1" si="43"/>
        <v/>
      </c>
      <c r="AB313" s="494" t="s">
        <v>1428</v>
      </c>
      <c r="AC313" s="547" t="str">
        <f t="shared" ca="1" si="44"/>
        <v/>
      </c>
      <c r="AD313" s="557"/>
      <c r="AE313" s="958"/>
    </row>
    <row r="314" spans="1:31" ht="15" customHeight="1">
      <c r="A314" s="957">
        <v>97</v>
      </c>
      <c r="B314" s="566" t="s">
        <v>654</v>
      </c>
      <c r="C314" s="567" t="s">
        <v>1369</v>
      </c>
      <c r="D314" s="958">
        <v>1.1000000000000001</v>
      </c>
      <c r="E314" s="959" t="s">
        <v>659</v>
      </c>
      <c r="F314" s="558" t="s">
        <v>1371</v>
      </c>
      <c r="G314" s="558">
        <v>752</v>
      </c>
      <c r="H314" s="558">
        <v>4.2</v>
      </c>
      <c r="I314" s="559" t="s">
        <v>668</v>
      </c>
      <c r="J314" s="567" t="s">
        <v>1423</v>
      </c>
      <c r="K314" s="961" t="s">
        <v>1373</v>
      </c>
      <c r="L314" s="555" t="str">
        <f t="shared" ca="1" si="37"/>
        <v/>
      </c>
      <c r="M314" s="494" t="s">
        <v>1374</v>
      </c>
      <c r="N314" s="555" t="str">
        <f t="shared" ca="1" si="38"/>
        <v/>
      </c>
      <c r="O314" s="494" t="s">
        <v>1375</v>
      </c>
      <c r="P314" s="555" t="str">
        <f t="shared" ca="1" si="39"/>
        <v/>
      </c>
      <c r="Q314" s="494" t="s">
        <v>1424</v>
      </c>
      <c r="R314" s="494" t="str">
        <f t="shared" si="45"/>
        <v>H314</v>
      </c>
      <c r="S314" s="494" t="s">
        <v>1425</v>
      </c>
      <c r="T314" s="494">
        <v>6</v>
      </c>
      <c r="U314" s="556" t="str">
        <f t="shared" ca="1" si="40"/>
        <v/>
      </c>
      <c r="V314" s="494">
        <v>7</v>
      </c>
      <c r="W314" s="556" t="str">
        <f t="shared" ca="1" si="41"/>
        <v/>
      </c>
      <c r="X314" s="494" t="s">
        <v>1426</v>
      </c>
      <c r="Y314" s="547" t="str">
        <f t="shared" ca="1" si="42"/>
        <v/>
      </c>
      <c r="Z314" s="494" t="s">
        <v>1427</v>
      </c>
      <c r="AA314" s="547" t="str">
        <f t="shared" ca="1" si="43"/>
        <v/>
      </c>
      <c r="AB314" s="494" t="s">
        <v>1428</v>
      </c>
      <c r="AC314" s="547" t="str">
        <f t="shared" ca="1" si="44"/>
        <v/>
      </c>
      <c r="AD314" s="557"/>
      <c r="AE314" s="958"/>
    </row>
    <row r="315" spans="1:31" ht="15" customHeight="1">
      <c r="A315" s="957">
        <v>97</v>
      </c>
      <c r="B315" s="566" t="s">
        <v>654</v>
      </c>
      <c r="C315" s="567" t="s">
        <v>1369</v>
      </c>
      <c r="D315" s="958">
        <v>1.1000000000000001</v>
      </c>
      <c r="E315" s="959" t="s">
        <v>659</v>
      </c>
      <c r="F315" s="558" t="s">
        <v>1371</v>
      </c>
      <c r="G315" s="558">
        <v>753</v>
      </c>
      <c r="H315" s="558">
        <v>5.0999999999999996</v>
      </c>
      <c r="I315" s="559" t="s">
        <v>669</v>
      </c>
      <c r="J315" s="567" t="s">
        <v>1423</v>
      </c>
      <c r="K315" s="961" t="s">
        <v>1373</v>
      </c>
      <c r="L315" s="555" t="str">
        <f t="shared" ca="1" si="37"/>
        <v/>
      </c>
      <c r="M315" s="494" t="s">
        <v>1374</v>
      </c>
      <c r="N315" s="555" t="str">
        <f t="shared" ca="1" si="38"/>
        <v/>
      </c>
      <c r="O315" s="494" t="s">
        <v>1375</v>
      </c>
      <c r="P315" s="555" t="str">
        <f t="shared" ca="1" si="39"/>
        <v/>
      </c>
      <c r="Q315" s="494" t="s">
        <v>1424</v>
      </c>
      <c r="R315" s="494" t="str">
        <f t="shared" si="45"/>
        <v>H315</v>
      </c>
      <c r="S315" s="494" t="s">
        <v>1425</v>
      </c>
      <c r="T315" s="494">
        <v>6</v>
      </c>
      <c r="U315" s="556" t="str">
        <f t="shared" ca="1" si="40"/>
        <v/>
      </c>
      <c r="V315" s="494">
        <v>7</v>
      </c>
      <c r="W315" s="556" t="str">
        <f t="shared" ca="1" si="41"/>
        <v/>
      </c>
      <c r="X315" s="494" t="s">
        <v>1426</v>
      </c>
      <c r="Y315" s="547" t="str">
        <f t="shared" ca="1" si="42"/>
        <v/>
      </c>
      <c r="Z315" s="494" t="s">
        <v>1427</v>
      </c>
      <c r="AA315" s="547" t="str">
        <f t="shared" ca="1" si="43"/>
        <v/>
      </c>
      <c r="AB315" s="494" t="s">
        <v>1428</v>
      </c>
      <c r="AC315" s="547" t="str">
        <f t="shared" ca="1" si="44"/>
        <v/>
      </c>
      <c r="AD315" s="557"/>
      <c r="AE315" s="958"/>
    </row>
    <row r="316" spans="1:31" ht="15" customHeight="1">
      <c r="A316" s="957">
        <v>97</v>
      </c>
      <c r="B316" s="566" t="s">
        <v>654</v>
      </c>
      <c r="C316" s="567" t="s">
        <v>1369</v>
      </c>
      <c r="D316" s="958">
        <v>1.1000000000000001</v>
      </c>
      <c r="E316" s="959" t="s">
        <v>659</v>
      </c>
      <c r="F316" s="558" t="s">
        <v>1371</v>
      </c>
      <c r="G316" s="558">
        <v>754</v>
      </c>
      <c r="H316" s="558">
        <v>5.2</v>
      </c>
      <c r="I316" s="559" t="s">
        <v>671</v>
      </c>
      <c r="J316" s="567" t="s">
        <v>1423</v>
      </c>
      <c r="K316" s="961" t="s">
        <v>1373</v>
      </c>
      <c r="L316" s="555" t="str">
        <f t="shared" ca="1" si="37"/>
        <v/>
      </c>
      <c r="M316" s="494" t="s">
        <v>1374</v>
      </c>
      <c r="N316" s="555" t="str">
        <f t="shared" ca="1" si="38"/>
        <v/>
      </c>
      <c r="O316" s="494" t="s">
        <v>1375</v>
      </c>
      <c r="P316" s="555" t="str">
        <f t="shared" ca="1" si="39"/>
        <v/>
      </c>
      <c r="Q316" s="494" t="s">
        <v>1424</v>
      </c>
      <c r="R316" s="494" t="str">
        <f t="shared" si="45"/>
        <v>H316</v>
      </c>
      <c r="S316" s="494" t="s">
        <v>1425</v>
      </c>
      <c r="T316" s="494">
        <v>6</v>
      </c>
      <c r="U316" s="556" t="str">
        <f t="shared" ca="1" si="40"/>
        <v/>
      </c>
      <c r="V316" s="494">
        <v>7</v>
      </c>
      <c r="W316" s="556" t="str">
        <f t="shared" ca="1" si="41"/>
        <v/>
      </c>
      <c r="X316" s="494" t="s">
        <v>1426</v>
      </c>
      <c r="Y316" s="547" t="str">
        <f t="shared" ca="1" si="42"/>
        <v/>
      </c>
      <c r="Z316" s="494" t="s">
        <v>1427</v>
      </c>
      <c r="AA316" s="547" t="str">
        <f t="shared" ca="1" si="43"/>
        <v/>
      </c>
      <c r="AB316" s="494" t="s">
        <v>1428</v>
      </c>
      <c r="AC316" s="547" t="str">
        <f t="shared" ca="1" si="44"/>
        <v/>
      </c>
      <c r="AD316" s="557"/>
      <c r="AE316" s="958"/>
    </row>
    <row r="317" spans="1:31" ht="15" customHeight="1">
      <c r="A317" s="957">
        <v>97</v>
      </c>
      <c r="B317" s="566" t="s">
        <v>654</v>
      </c>
      <c r="C317" s="567" t="s">
        <v>1369</v>
      </c>
      <c r="D317" s="958">
        <v>1.1000000000000001</v>
      </c>
      <c r="E317" s="959" t="s">
        <v>659</v>
      </c>
      <c r="F317" s="558" t="s">
        <v>1371</v>
      </c>
      <c r="G317" s="558">
        <v>755</v>
      </c>
      <c r="H317" s="558">
        <v>6.1</v>
      </c>
      <c r="I317" s="559" t="s">
        <v>674</v>
      </c>
      <c r="J317" s="567" t="s">
        <v>1423</v>
      </c>
      <c r="K317" s="961" t="s">
        <v>1373</v>
      </c>
      <c r="L317" s="555" t="str">
        <f t="shared" ca="1" si="37"/>
        <v/>
      </c>
      <c r="M317" s="494" t="s">
        <v>1374</v>
      </c>
      <c r="N317" s="555" t="str">
        <f t="shared" ca="1" si="38"/>
        <v/>
      </c>
      <c r="O317" s="494" t="s">
        <v>1375</v>
      </c>
      <c r="P317" s="555" t="str">
        <f t="shared" ca="1" si="39"/>
        <v/>
      </c>
      <c r="Q317" s="494" t="s">
        <v>1424</v>
      </c>
      <c r="R317" s="494" t="str">
        <f t="shared" si="45"/>
        <v>H317</v>
      </c>
      <c r="S317" s="494" t="s">
        <v>1425</v>
      </c>
      <c r="T317" s="494">
        <v>6</v>
      </c>
      <c r="U317" s="556" t="str">
        <f t="shared" ca="1" si="40"/>
        <v/>
      </c>
      <c r="V317" s="494">
        <v>7</v>
      </c>
      <c r="W317" s="556" t="str">
        <f t="shared" ca="1" si="41"/>
        <v/>
      </c>
      <c r="X317" s="494" t="s">
        <v>1426</v>
      </c>
      <c r="Y317" s="547" t="str">
        <f t="shared" ca="1" si="42"/>
        <v/>
      </c>
      <c r="Z317" s="494" t="s">
        <v>1427</v>
      </c>
      <c r="AA317" s="547" t="str">
        <f t="shared" ca="1" si="43"/>
        <v/>
      </c>
      <c r="AB317" s="494" t="s">
        <v>1428</v>
      </c>
      <c r="AC317" s="547" t="str">
        <f t="shared" ca="1" si="44"/>
        <v/>
      </c>
      <c r="AD317" s="557"/>
      <c r="AE317" s="958"/>
    </row>
    <row r="318" spans="1:31" ht="15" customHeight="1">
      <c r="A318" s="957">
        <v>97</v>
      </c>
      <c r="B318" s="566" t="s">
        <v>654</v>
      </c>
      <c r="C318" s="567" t="s">
        <v>1369</v>
      </c>
      <c r="D318" s="958">
        <v>1.1000000000000001</v>
      </c>
      <c r="E318" s="959" t="s">
        <v>659</v>
      </c>
      <c r="F318" s="558" t="s">
        <v>1371</v>
      </c>
      <c r="G318" s="558">
        <v>756</v>
      </c>
      <c r="H318" s="558">
        <v>6.2</v>
      </c>
      <c r="I318" s="559" t="s">
        <v>675</v>
      </c>
      <c r="J318" s="567" t="s">
        <v>1423</v>
      </c>
      <c r="K318" s="961" t="s">
        <v>1373</v>
      </c>
      <c r="L318" s="555" t="str">
        <f t="shared" ca="1" si="37"/>
        <v/>
      </c>
      <c r="M318" s="494" t="s">
        <v>1374</v>
      </c>
      <c r="N318" s="555" t="str">
        <f t="shared" ca="1" si="38"/>
        <v/>
      </c>
      <c r="O318" s="494" t="s">
        <v>1375</v>
      </c>
      <c r="P318" s="555" t="str">
        <f t="shared" ca="1" si="39"/>
        <v/>
      </c>
      <c r="Q318" s="494" t="s">
        <v>1424</v>
      </c>
      <c r="R318" s="494" t="str">
        <f t="shared" si="45"/>
        <v>H318</v>
      </c>
      <c r="S318" s="494" t="s">
        <v>1425</v>
      </c>
      <c r="T318" s="494">
        <v>6</v>
      </c>
      <c r="U318" s="556" t="str">
        <f t="shared" ca="1" si="40"/>
        <v/>
      </c>
      <c r="V318" s="494">
        <v>7</v>
      </c>
      <c r="W318" s="556" t="str">
        <f t="shared" ca="1" si="41"/>
        <v/>
      </c>
      <c r="X318" s="494" t="s">
        <v>1426</v>
      </c>
      <c r="Y318" s="547" t="str">
        <f t="shared" ca="1" si="42"/>
        <v/>
      </c>
      <c r="Z318" s="494" t="s">
        <v>1427</v>
      </c>
      <c r="AA318" s="547" t="str">
        <f t="shared" ca="1" si="43"/>
        <v/>
      </c>
      <c r="AB318" s="494" t="s">
        <v>1428</v>
      </c>
      <c r="AC318" s="547" t="str">
        <f t="shared" ca="1" si="44"/>
        <v/>
      </c>
      <c r="AD318" s="557"/>
      <c r="AE318" s="958"/>
    </row>
    <row r="319" spans="1:31" ht="15" customHeight="1">
      <c r="A319" s="957">
        <v>97</v>
      </c>
      <c r="B319" s="566" t="s">
        <v>654</v>
      </c>
      <c r="C319" s="567" t="s">
        <v>1369</v>
      </c>
      <c r="D319" s="958">
        <v>1.1000000000000001</v>
      </c>
      <c r="E319" s="959" t="s">
        <v>659</v>
      </c>
      <c r="F319" s="558" t="s">
        <v>1371</v>
      </c>
      <c r="G319" s="558">
        <v>757</v>
      </c>
      <c r="H319" s="558">
        <v>7.1</v>
      </c>
      <c r="I319" s="559" t="s">
        <v>678</v>
      </c>
      <c r="J319" s="567" t="s">
        <v>1423</v>
      </c>
      <c r="K319" s="961" t="s">
        <v>1373</v>
      </c>
      <c r="L319" s="555" t="str">
        <f t="shared" ca="1" si="37"/>
        <v/>
      </c>
      <c r="M319" s="494" t="s">
        <v>1374</v>
      </c>
      <c r="N319" s="555" t="str">
        <f t="shared" ca="1" si="38"/>
        <v/>
      </c>
      <c r="O319" s="494" t="s">
        <v>1375</v>
      </c>
      <c r="P319" s="555" t="str">
        <f t="shared" ca="1" si="39"/>
        <v/>
      </c>
      <c r="Q319" s="494" t="s">
        <v>1424</v>
      </c>
      <c r="R319" s="494" t="str">
        <f t="shared" si="45"/>
        <v>H319</v>
      </c>
      <c r="S319" s="494" t="s">
        <v>1425</v>
      </c>
      <c r="T319" s="494">
        <v>6</v>
      </c>
      <c r="U319" s="556" t="str">
        <f t="shared" ca="1" si="40"/>
        <v/>
      </c>
      <c r="V319" s="494">
        <v>7</v>
      </c>
      <c r="W319" s="556" t="str">
        <f t="shared" ca="1" si="41"/>
        <v/>
      </c>
      <c r="X319" s="494" t="s">
        <v>1426</v>
      </c>
      <c r="Y319" s="547" t="str">
        <f t="shared" ca="1" si="42"/>
        <v/>
      </c>
      <c r="Z319" s="494" t="s">
        <v>1427</v>
      </c>
      <c r="AA319" s="547" t="str">
        <f t="shared" ca="1" si="43"/>
        <v/>
      </c>
      <c r="AB319" s="494" t="s">
        <v>1428</v>
      </c>
      <c r="AC319" s="547" t="str">
        <f t="shared" ca="1" si="44"/>
        <v/>
      </c>
      <c r="AD319" s="557"/>
      <c r="AE319" s="958"/>
    </row>
    <row r="320" spans="1:31" ht="15" customHeight="1">
      <c r="A320" s="957">
        <v>97</v>
      </c>
      <c r="B320" s="566" t="s">
        <v>654</v>
      </c>
      <c r="C320" s="567" t="s">
        <v>1369</v>
      </c>
      <c r="D320" s="958">
        <v>1.1000000000000001</v>
      </c>
      <c r="E320" s="959" t="s">
        <v>659</v>
      </c>
      <c r="F320" s="558" t="s">
        <v>1371</v>
      </c>
      <c r="G320" s="558">
        <v>758</v>
      </c>
      <c r="H320" s="558">
        <v>7.2</v>
      </c>
      <c r="I320" s="559" t="s">
        <v>679</v>
      </c>
      <c r="J320" s="567" t="s">
        <v>1423</v>
      </c>
      <c r="K320" s="961" t="s">
        <v>1373</v>
      </c>
      <c r="L320" s="555" t="str">
        <f t="shared" ca="1" si="37"/>
        <v/>
      </c>
      <c r="M320" s="494" t="s">
        <v>1374</v>
      </c>
      <c r="N320" s="555" t="str">
        <f t="shared" ca="1" si="38"/>
        <v/>
      </c>
      <c r="O320" s="494" t="s">
        <v>1375</v>
      </c>
      <c r="P320" s="555" t="str">
        <f t="shared" ca="1" si="39"/>
        <v/>
      </c>
      <c r="Q320" s="494" t="s">
        <v>1424</v>
      </c>
      <c r="R320" s="494" t="str">
        <f t="shared" si="45"/>
        <v>H320</v>
      </c>
      <c r="S320" s="494" t="s">
        <v>1425</v>
      </c>
      <c r="T320" s="494">
        <v>6</v>
      </c>
      <c r="U320" s="556" t="str">
        <f t="shared" ca="1" si="40"/>
        <v/>
      </c>
      <c r="V320" s="494">
        <v>7</v>
      </c>
      <c r="W320" s="556" t="str">
        <f t="shared" ca="1" si="41"/>
        <v/>
      </c>
      <c r="X320" s="494" t="s">
        <v>1426</v>
      </c>
      <c r="Y320" s="547" t="str">
        <f t="shared" ca="1" si="42"/>
        <v/>
      </c>
      <c r="Z320" s="494" t="s">
        <v>1427</v>
      </c>
      <c r="AA320" s="547" t="str">
        <f t="shared" ca="1" si="43"/>
        <v/>
      </c>
      <c r="AB320" s="494" t="s">
        <v>1428</v>
      </c>
      <c r="AC320" s="547" t="str">
        <f t="shared" ca="1" si="44"/>
        <v/>
      </c>
      <c r="AD320" s="557"/>
      <c r="AE320" s="958"/>
    </row>
    <row r="321" spans="1:31" ht="15" customHeight="1">
      <c r="A321" s="957">
        <v>97</v>
      </c>
      <c r="B321" s="566" t="s">
        <v>654</v>
      </c>
      <c r="C321" s="567" t="s">
        <v>1369</v>
      </c>
      <c r="D321" s="958">
        <v>1.1000000000000001</v>
      </c>
      <c r="E321" s="959" t="s">
        <v>659</v>
      </c>
      <c r="F321" s="558" t="s">
        <v>1371</v>
      </c>
      <c r="G321" s="558">
        <v>759</v>
      </c>
      <c r="H321" s="558">
        <v>8.1</v>
      </c>
      <c r="I321" s="559" t="s">
        <v>682</v>
      </c>
      <c r="J321" s="567" t="s">
        <v>1423</v>
      </c>
      <c r="K321" s="961" t="s">
        <v>1373</v>
      </c>
      <c r="L321" s="555" t="str">
        <f t="shared" ca="1" si="37"/>
        <v/>
      </c>
      <c r="M321" s="494" t="s">
        <v>1374</v>
      </c>
      <c r="N321" s="555" t="str">
        <f t="shared" ca="1" si="38"/>
        <v/>
      </c>
      <c r="O321" s="494" t="s">
        <v>1375</v>
      </c>
      <c r="P321" s="555" t="str">
        <f t="shared" ca="1" si="39"/>
        <v/>
      </c>
      <c r="Q321" s="494" t="s">
        <v>1424</v>
      </c>
      <c r="R321" s="494" t="str">
        <f t="shared" si="45"/>
        <v>H321</v>
      </c>
      <c r="S321" s="494" t="s">
        <v>1425</v>
      </c>
      <c r="T321" s="494">
        <v>6</v>
      </c>
      <c r="U321" s="556" t="str">
        <f t="shared" ca="1" si="40"/>
        <v/>
      </c>
      <c r="V321" s="494">
        <v>7</v>
      </c>
      <c r="W321" s="556" t="str">
        <f t="shared" ca="1" si="41"/>
        <v/>
      </c>
      <c r="X321" s="494" t="s">
        <v>1426</v>
      </c>
      <c r="Y321" s="547" t="str">
        <f t="shared" ca="1" si="42"/>
        <v/>
      </c>
      <c r="Z321" s="494" t="s">
        <v>1427</v>
      </c>
      <c r="AA321" s="547" t="str">
        <f t="shared" ca="1" si="43"/>
        <v/>
      </c>
      <c r="AB321" s="494" t="s">
        <v>1428</v>
      </c>
      <c r="AC321" s="547" t="str">
        <f t="shared" ca="1" si="44"/>
        <v/>
      </c>
      <c r="AD321" s="557"/>
      <c r="AE321" s="958"/>
    </row>
    <row r="322" spans="1:31" ht="15" customHeight="1">
      <c r="A322" s="957">
        <v>97</v>
      </c>
      <c r="B322" s="566" t="s">
        <v>654</v>
      </c>
      <c r="C322" s="567" t="s">
        <v>1369</v>
      </c>
      <c r="D322" s="958">
        <v>1.1000000000000001</v>
      </c>
      <c r="E322" s="959" t="s">
        <v>659</v>
      </c>
      <c r="F322" s="558" t="s">
        <v>1371</v>
      </c>
      <c r="G322" s="558">
        <v>760</v>
      </c>
      <c r="H322" s="558">
        <v>8.1999999999999993</v>
      </c>
      <c r="I322" s="559" t="s">
        <v>298</v>
      </c>
      <c r="J322" s="567" t="s">
        <v>1423</v>
      </c>
      <c r="K322" s="961" t="s">
        <v>1373</v>
      </c>
      <c r="L322" s="555" t="str">
        <f t="shared" ref="L322:L385" ca="1" si="46">IF(AND(INDIRECT(CONCATENATE($J322,$K322,5))=$B322,ISNUMBER(SEARCH("Please",INDIRECT(CONCATENATE($J322,$K322,2)),1))=FALSE),SUMPRODUCT(MID(0&amp;INDIRECT(CONCATENATE($J322,$K322,2)), LARGE(INDEX(ISNUMBER(--MID(INDIRECT(CONCATENATE($J322,$K322,2)), ROW(INDIRECT("1:"&amp;LEN(INDIRECT(CONCATENATE($J322,$K322,2))))),1))*ROW(INDIRECT("1:"&amp;LEN(INDIRECT(CONCATENATE($J322,$K322,2))))),0), ROW(INDIRECT("1:"&amp;LEN(INDIRECT(CONCATENATE($J322,$K322,2))))))+1,1)*10^ROW(INDIRECT("1:"&amp;LEN(INDIRECT(CONCATENATE($J322,$K322,2)))))/10),"")</f>
        <v/>
      </c>
      <c r="M322" s="494" t="s">
        <v>1374</v>
      </c>
      <c r="N322" s="555" t="str">
        <f t="shared" ref="N322:N385" ca="1" si="47">IF(AND(INDIRECT(CONCATENATE($J322,$K322,5))=$B322,ISNUMBER(SEARCH("Select",INDIRECT(CONCATENATE($J322,$M322,6)),1))=FALSE),INDIRECT(CONCATENATE($J322,$M322,6)),"")</f>
        <v/>
      </c>
      <c r="O322" s="494" t="s">
        <v>1375</v>
      </c>
      <c r="P322" s="555" t="str">
        <f t="shared" ref="P322:P385" ca="1" si="48">IF(AND(INDIRECT(CONCATENATE($J322,$K322,5))=$B322,ISNUMBER(SEARCH("Select",INDIRECT(CONCATENATE($J322,$O322,6)),1))=FALSE),INDIRECT(CONCATENATE($J322,$O322,6)),"")</f>
        <v/>
      </c>
      <c r="Q322" s="494" t="s">
        <v>1424</v>
      </c>
      <c r="R322" s="494" t="str">
        <f t="shared" si="45"/>
        <v>H322</v>
      </c>
      <c r="S322" s="494" t="s">
        <v>1425</v>
      </c>
      <c r="T322" s="494">
        <v>6</v>
      </c>
      <c r="U322" s="556" t="str">
        <f t="shared" ref="U322:U385" ca="1" si="49">IF(AND($B322=INDIRECT(CONCATENATE($J322,$K322,5)),ISBLANK(INDEX(INDIRECT(CONCATENATE($J322,$Q322)),MATCH(INDIRECT($R322),INDIRECT(CONCATENATE($J322,$S322)),0),T322))=FALSE),INDEX(INDIRECT(CONCATENATE($J322,$Q322)),MATCH(INDIRECT($R322),INDIRECT(CONCATENATE($J322,$S322)),0),T322),"")</f>
        <v/>
      </c>
      <c r="V322" s="494">
        <v>7</v>
      </c>
      <c r="W322" s="556" t="str">
        <f t="shared" ref="W322:W385" ca="1" si="50">IF(AND($B322=INDIRECT(CONCATENATE($J322,$K322,5)),ISBLANK(INDEX(INDIRECT(CONCATENATE($J322,$Q322)),MATCH(INDIRECT($R322),INDIRECT(CONCATENATE($J322,$S322)),0),V322))=FALSE),INDEX(INDIRECT(CONCATENATE($J322,$Q322)),MATCH(INDIRECT($R322),INDIRECT(CONCATENATE($J322,$S322)),0),V322),"")</f>
        <v/>
      </c>
      <c r="X322" s="494" t="s">
        <v>1426</v>
      </c>
      <c r="Y322" s="547" t="str">
        <f t="shared" ref="Y322:Y385" ca="1" si="51">IF(AND(INDIRECT(CONCATENATE($J322,$K322,5))=$B322,ISBLANK(INDIRECT(CONCATENATE($J322,X322)))=FALSE),INDIRECT(CONCATENATE($J322,X322)),"")</f>
        <v/>
      </c>
      <c r="Z322" s="494" t="s">
        <v>1427</v>
      </c>
      <c r="AA322" s="547" t="str">
        <f t="shared" ref="AA322:AA385" ca="1" si="52">IF(AND(INDIRECT(CONCATENATE($J322,$K322,"5"))=$B322,ISBLANK(INDIRECT(CONCATENATE($J322,Z322)))=FALSE),INDIRECT(CONCATENATE($J322,Z322)),"")</f>
        <v/>
      </c>
      <c r="AB322" s="494" t="s">
        <v>1428</v>
      </c>
      <c r="AC322" s="547" t="str">
        <f t="shared" ref="AC322:AC385" ca="1" si="53">IF(AND(INDIRECT(CONCATENATE($J322,$K322,"5"))=$B322,ISBLANK(INDIRECT(CONCATENATE($J322,AB322)))=FALSE),INDIRECT(CONCATENATE($J322,AB322)),"")</f>
        <v/>
      </c>
      <c r="AD322" s="557"/>
      <c r="AE322" s="958"/>
    </row>
    <row r="323" spans="1:31" ht="15" customHeight="1">
      <c r="A323" s="957">
        <v>97</v>
      </c>
      <c r="B323" s="566" t="s">
        <v>654</v>
      </c>
      <c r="C323" s="567" t="s">
        <v>1369</v>
      </c>
      <c r="D323" s="958">
        <v>1.1000000000000001</v>
      </c>
      <c r="E323" s="959" t="s">
        <v>683</v>
      </c>
      <c r="F323" s="558" t="s">
        <v>1386</v>
      </c>
      <c r="G323" s="558">
        <v>761</v>
      </c>
      <c r="H323" s="558">
        <v>9</v>
      </c>
      <c r="I323" s="559" t="s">
        <v>686</v>
      </c>
      <c r="J323" s="567" t="s">
        <v>1423</v>
      </c>
      <c r="K323" s="961" t="s">
        <v>1373</v>
      </c>
      <c r="L323" s="555" t="str">
        <f t="shared" ca="1" si="46"/>
        <v/>
      </c>
      <c r="M323" s="494" t="s">
        <v>1374</v>
      </c>
      <c r="N323" s="555" t="str">
        <f t="shared" ca="1" si="47"/>
        <v/>
      </c>
      <c r="O323" s="494" t="s">
        <v>1375</v>
      </c>
      <c r="P323" s="555" t="str">
        <f t="shared" ca="1" si="48"/>
        <v/>
      </c>
      <c r="Q323" s="494" t="s">
        <v>1424</v>
      </c>
      <c r="R323" s="494" t="str">
        <f t="shared" si="45"/>
        <v>H323</v>
      </c>
      <c r="S323" s="494" t="s">
        <v>1425</v>
      </c>
      <c r="T323" s="494">
        <v>6</v>
      </c>
      <c r="U323" s="556" t="str">
        <f t="shared" ca="1" si="49"/>
        <v/>
      </c>
      <c r="V323" s="494">
        <v>7</v>
      </c>
      <c r="W323" s="556" t="str">
        <f t="shared" ca="1" si="50"/>
        <v/>
      </c>
      <c r="X323" s="494" t="s">
        <v>1426</v>
      </c>
      <c r="Y323" s="547" t="str">
        <f t="shared" ca="1" si="51"/>
        <v/>
      </c>
      <c r="Z323" s="494" t="s">
        <v>1427</v>
      </c>
      <c r="AA323" s="547" t="str">
        <f t="shared" ca="1" si="52"/>
        <v/>
      </c>
      <c r="AB323" s="494" t="s">
        <v>1428</v>
      </c>
      <c r="AC323" s="547" t="str">
        <f t="shared" ca="1" si="53"/>
        <v/>
      </c>
      <c r="AD323" s="557"/>
      <c r="AE323" s="958"/>
    </row>
    <row r="324" spans="1:31" ht="15" customHeight="1">
      <c r="A324" s="957">
        <v>97</v>
      </c>
      <c r="B324" s="566" t="s">
        <v>654</v>
      </c>
      <c r="C324" s="567" t="s">
        <v>1369</v>
      </c>
      <c r="D324" s="958">
        <v>1.1000000000000001</v>
      </c>
      <c r="E324" s="959" t="s">
        <v>683</v>
      </c>
      <c r="F324" s="558" t="s">
        <v>1386</v>
      </c>
      <c r="G324" s="558">
        <v>762</v>
      </c>
      <c r="H324" s="558">
        <v>9.1</v>
      </c>
      <c r="I324" s="559" t="s">
        <v>687</v>
      </c>
      <c r="J324" s="567" t="s">
        <v>1423</v>
      </c>
      <c r="K324" s="961" t="s">
        <v>1373</v>
      </c>
      <c r="L324" s="555" t="str">
        <f t="shared" ca="1" si="46"/>
        <v/>
      </c>
      <c r="M324" s="494" t="s">
        <v>1374</v>
      </c>
      <c r="N324" s="555" t="str">
        <f t="shared" ca="1" si="47"/>
        <v/>
      </c>
      <c r="O324" s="494" t="s">
        <v>1375</v>
      </c>
      <c r="P324" s="555" t="str">
        <f t="shared" ca="1" si="48"/>
        <v/>
      </c>
      <c r="Q324" s="494" t="s">
        <v>1424</v>
      </c>
      <c r="R324" s="494" t="str">
        <f t="shared" si="45"/>
        <v>H324</v>
      </c>
      <c r="S324" s="494" t="s">
        <v>1425</v>
      </c>
      <c r="T324" s="494">
        <v>6</v>
      </c>
      <c r="U324" s="556" t="str">
        <f t="shared" ca="1" si="49"/>
        <v/>
      </c>
      <c r="V324" s="494">
        <v>7</v>
      </c>
      <c r="W324" s="556" t="str">
        <f t="shared" ca="1" si="50"/>
        <v/>
      </c>
      <c r="X324" s="494" t="s">
        <v>1426</v>
      </c>
      <c r="Y324" s="547" t="str">
        <f t="shared" ca="1" si="51"/>
        <v/>
      </c>
      <c r="Z324" s="494" t="s">
        <v>1427</v>
      </c>
      <c r="AA324" s="547" t="str">
        <f t="shared" ca="1" si="52"/>
        <v/>
      </c>
      <c r="AB324" s="494" t="s">
        <v>1428</v>
      </c>
      <c r="AC324" s="547" t="str">
        <f t="shared" ca="1" si="53"/>
        <v/>
      </c>
      <c r="AD324" s="557"/>
      <c r="AE324" s="958"/>
    </row>
    <row r="325" spans="1:31" ht="15" customHeight="1">
      <c r="A325" s="957">
        <v>97</v>
      </c>
      <c r="B325" s="566" t="s">
        <v>654</v>
      </c>
      <c r="C325" s="567" t="s">
        <v>1369</v>
      </c>
      <c r="D325" s="958">
        <v>1.1000000000000001</v>
      </c>
      <c r="E325" s="959" t="s">
        <v>683</v>
      </c>
      <c r="F325" s="558" t="s">
        <v>1386</v>
      </c>
      <c r="G325" s="558">
        <v>763</v>
      </c>
      <c r="H325" s="558">
        <v>9.1999999999999993</v>
      </c>
      <c r="I325" s="559" t="s">
        <v>688</v>
      </c>
      <c r="J325" s="567" t="s">
        <v>1423</v>
      </c>
      <c r="K325" s="961" t="s">
        <v>1373</v>
      </c>
      <c r="L325" s="555" t="str">
        <f t="shared" ca="1" si="46"/>
        <v/>
      </c>
      <c r="M325" s="494" t="s">
        <v>1374</v>
      </c>
      <c r="N325" s="555" t="str">
        <f t="shared" ca="1" si="47"/>
        <v/>
      </c>
      <c r="O325" s="494" t="s">
        <v>1375</v>
      </c>
      <c r="P325" s="555" t="str">
        <f t="shared" ca="1" si="48"/>
        <v/>
      </c>
      <c r="Q325" s="494" t="s">
        <v>1424</v>
      </c>
      <c r="R325" s="494" t="str">
        <f t="shared" si="45"/>
        <v>H325</v>
      </c>
      <c r="S325" s="494" t="s">
        <v>1425</v>
      </c>
      <c r="T325" s="494">
        <v>6</v>
      </c>
      <c r="U325" s="556" t="str">
        <f t="shared" ca="1" si="49"/>
        <v/>
      </c>
      <c r="V325" s="494">
        <v>7</v>
      </c>
      <c r="W325" s="556" t="str">
        <f t="shared" ca="1" si="50"/>
        <v/>
      </c>
      <c r="X325" s="494" t="s">
        <v>1426</v>
      </c>
      <c r="Y325" s="547" t="str">
        <f t="shared" ca="1" si="51"/>
        <v/>
      </c>
      <c r="Z325" s="494" t="s">
        <v>1427</v>
      </c>
      <c r="AA325" s="547" t="str">
        <f t="shared" ca="1" si="52"/>
        <v/>
      </c>
      <c r="AB325" s="494" t="s">
        <v>1428</v>
      </c>
      <c r="AC325" s="547" t="str">
        <f t="shared" ca="1" si="53"/>
        <v/>
      </c>
      <c r="AD325" s="557"/>
      <c r="AE325" s="958"/>
    </row>
    <row r="326" spans="1:31" ht="15" customHeight="1">
      <c r="A326" s="957">
        <v>97</v>
      </c>
      <c r="B326" s="566" t="s">
        <v>654</v>
      </c>
      <c r="C326" s="567" t="s">
        <v>1369</v>
      </c>
      <c r="D326" s="958">
        <v>1.1000000000000001</v>
      </c>
      <c r="E326" s="959" t="s">
        <v>683</v>
      </c>
      <c r="F326" s="558" t="s">
        <v>1386</v>
      </c>
      <c r="G326" s="558">
        <v>764</v>
      </c>
      <c r="H326" s="558">
        <v>9.3000000000000007</v>
      </c>
      <c r="I326" s="559" t="s">
        <v>689</v>
      </c>
      <c r="J326" s="567" t="s">
        <v>1423</v>
      </c>
      <c r="K326" s="961" t="s">
        <v>1373</v>
      </c>
      <c r="L326" s="555" t="str">
        <f t="shared" ca="1" si="46"/>
        <v/>
      </c>
      <c r="M326" s="494" t="s">
        <v>1374</v>
      </c>
      <c r="N326" s="555" t="str">
        <f t="shared" ca="1" si="47"/>
        <v/>
      </c>
      <c r="O326" s="494" t="s">
        <v>1375</v>
      </c>
      <c r="P326" s="555" t="str">
        <f t="shared" ca="1" si="48"/>
        <v/>
      </c>
      <c r="Q326" s="494" t="s">
        <v>1424</v>
      </c>
      <c r="R326" s="494" t="str">
        <f t="shared" si="45"/>
        <v>H326</v>
      </c>
      <c r="S326" s="494" t="s">
        <v>1425</v>
      </c>
      <c r="T326" s="494">
        <v>6</v>
      </c>
      <c r="U326" s="556" t="str">
        <f t="shared" ca="1" si="49"/>
        <v/>
      </c>
      <c r="V326" s="494">
        <v>7</v>
      </c>
      <c r="W326" s="556" t="str">
        <f t="shared" ca="1" si="50"/>
        <v/>
      </c>
      <c r="X326" s="494" t="s">
        <v>1426</v>
      </c>
      <c r="Y326" s="547" t="str">
        <f t="shared" ca="1" si="51"/>
        <v/>
      </c>
      <c r="Z326" s="494" t="s">
        <v>1427</v>
      </c>
      <c r="AA326" s="547" t="str">
        <f t="shared" ca="1" si="52"/>
        <v/>
      </c>
      <c r="AB326" s="494" t="s">
        <v>1428</v>
      </c>
      <c r="AC326" s="547" t="str">
        <f t="shared" ca="1" si="53"/>
        <v/>
      </c>
      <c r="AD326" s="557"/>
      <c r="AE326" s="958"/>
    </row>
    <row r="327" spans="1:31" ht="15" customHeight="1">
      <c r="A327" s="957">
        <v>97</v>
      </c>
      <c r="B327" s="566" t="s">
        <v>654</v>
      </c>
      <c r="C327" s="567" t="s">
        <v>1369</v>
      </c>
      <c r="D327" s="958">
        <v>1.1000000000000001</v>
      </c>
      <c r="E327" s="959" t="s">
        <v>683</v>
      </c>
      <c r="F327" s="558" t="s">
        <v>1386</v>
      </c>
      <c r="G327" s="558">
        <v>765</v>
      </c>
      <c r="H327" s="558">
        <v>10</v>
      </c>
      <c r="I327" s="559" t="s">
        <v>692</v>
      </c>
      <c r="J327" s="567" t="s">
        <v>1423</v>
      </c>
      <c r="K327" s="961" t="s">
        <v>1373</v>
      </c>
      <c r="L327" s="555" t="str">
        <f t="shared" ca="1" si="46"/>
        <v/>
      </c>
      <c r="M327" s="494" t="s">
        <v>1374</v>
      </c>
      <c r="N327" s="555" t="str">
        <f t="shared" ca="1" si="47"/>
        <v/>
      </c>
      <c r="O327" s="494" t="s">
        <v>1375</v>
      </c>
      <c r="P327" s="555" t="str">
        <f t="shared" ca="1" si="48"/>
        <v/>
      </c>
      <c r="Q327" s="494" t="s">
        <v>1424</v>
      </c>
      <c r="R327" s="494" t="str">
        <f t="shared" si="45"/>
        <v>H327</v>
      </c>
      <c r="S327" s="494" t="s">
        <v>1425</v>
      </c>
      <c r="T327" s="494">
        <v>6</v>
      </c>
      <c r="U327" s="556" t="str">
        <f t="shared" ca="1" si="49"/>
        <v/>
      </c>
      <c r="V327" s="494">
        <v>7</v>
      </c>
      <c r="W327" s="556" t="str">
        <f t="shared" ca="1" si="50"/>
        <v/>
      </c>
      <c r="X327" s="494" t="s">
        <v>1426</v>
      </c>
      <c r="Y327" s="547" t="str">
        <f t="shared" ca="1" si="51"/>
        <v/>
      </c>
      <c r="Z327" s="494" t="s">
        <v>1427</v>
      </c>
      <c r="AA327" s="547" t="str">
        <f t="shared" ca="1" si="52"/>
        <v/>
      </c>
      <c r="AB327" s="494" t="s">
        <v>1428</v>
      </c>
      <c r="AC327" s="547" t="str">
        <f t="shared" ca="1" si="53"/>
        <v/>
      </c>
      <c r="AD327" s="557"/>
      <c r="AE327" s="958"/>
    </row>
    <row r="328" spans="1:31" ht="15" customHeight="1">
      <c r="A328" s="957">
        <v>97</v>
      </c>
      <c r="B328" s="566" t="s">
        <v>654</v>
      </c>
      <c r="C328" s="567" t="s">
        <v>1369</v>
      </c>
      <c r="D328" s="958">
        <v>1.1000000000000001</v>
      </c>
      <c r="E328" s="959" t="s">
        <v>683</v>
      </c>
      <c r="F328" s="558" t="s">
        <v>1386</v>
      </c>
      <c r="G328" s="558">
        <v>766</v>
      </c>
      <c r="H328" s="558">
        <v>10.1</v>
      </c>
      <c r="I328" s="559" t="s">
        <v>693</v>
      </c>
      <c r="J328" s="567" t="s">
        <v>1423</v>
      </c>
      <c r="K328" s="961" t="s">
        <v>1373</v>
      </c>
      <c r="L328" s="555" t="str">
        <f t="shared" ca="1" si="46"/>
        <v/>
      </c>
      <c r="M328" s="494" t="s">
        <v>1374</v>
      </c>
      <c r="N328" s="555" t="str">
        <f t="shared" ca="1" si="47"/>
        <v/>
      </c>
      <c r="O328" s="494" t="s">
        <v>1375</v>
      </c>
      <c r="P328" s="555" t="str">
        <f t="shared" ca="1" si="48"/>
        <v/>
      </c>
      <c r="Q328" s="494" t="s">
        <v>1424</v>
      </c>
      <c r="R328" s="494" t="str">
        <f t="shared" si="45"/>
        <v>H328</v>
      </c>
      <c r="S328" s="494" t="s">
        <v>1425</v>
      </c>
      <c r="T328" s="494">
        <v>6</v>
      </c>
      <c r="U328" s="556" t="str">
        <f t="shared" ca="1" si="49"/>
        <v/>
      </c>
      <c r="V328" s="494">
        <v>7</v>
      </c>
      <c r="W328" s="556" t="str">
        <f t="shared" ca="1" si="50"/>
        <v/>
      </c>
      <c r="X328" s="494" t="s">
        <v>1426</v>
      </c>
      <c r="Y328" s="547" t="str">
        <f t="shared" ca="1" si="51"/>
        <v/>
      </c>
      <c r="Z328" s="494" t="s">
        <v>1427</v>
      </c>
      <c r="AA328" s="547" t="str">
        <f t="shared" ca="1" si="52"/>
        <v/>
      </c>
      <c r="AB328" s="494" t="s">
        <v>1428</v>
      </c>
      <c r="AC328" s="547" t="str">
        <f t="shared" ca="1" si="53"/>
        <v/>
      </c>
      <c r="AD328" s="557"/>
      <c r="AE328" s="958"/>
    </row>
    <row r="329" spans="1:31" ht="15" customHeight="1">
      <c r="A329" s="957">
        <v>97</v>
      </c>
      <c r="B329" s="566" t="s">
        <v>654</v>
      </c>
      <c r="C329" s="567" t="s">
        <v>1369</v>
      </c>
      <c r="D329" s="958">
        <v>1.1000000000000001</v>
      </c>
      <c r="E329" s="959" t="s">
        <v>683</v>
      </c>
      <c r="F329" s="558" t="s">
        <v>1386</v>
      </c>
      <c r="G329" s="558">
        <v>767</v>
      </c>
      <c r="H329" s="558">
        <v>10.199999999999999</v>
      </c>
      <c r="I329" s="559" t="s">
        <v>694</v>
      </c>
      <c r="J329" s="567" t="s">
        <v>1423</v>
      </c>
      <c r="K329" s="961" t="s">
        <v>1373</v>
      </c>
      <c r="L329" s="555" t="str">
        <f t="shared" ca="1" si="46"/>
        <v/>
      </c>
      <c r="M329" s="494" t="s">
        <v>1374</v>
      </c>
      <c r="N329" s="555" t="str">
        <f t="shared" ca="1" si="47"/>
        <v/>
      </c>
      <c r="O329" s="494" t="s">
        <v>1375</v>
      </c>
      <c r="P329" s="555" t="str">
        <f t="shared" ca="1" si="48"/>
        <v/>
      </c>
      <c r="Q329" s="494" t="s">
        <v>1424</v>
      </c>
      <c r="R329" s="494" t="str">
        <f t="shared" si="45"/>
        <v>H329</v>
      </c>
      <c r="S329" s="494" t="s">
        <v>1425</v>
      </c>
      <c r="T329" s="494">
        <v>6</v>
      </c>
      <c r="U329" s="556" t="str">
        <f t="shared" ca="1" si="49"/>
        <v/>
      </c>
      <c r="V329" s="494">
        <v>7</v>
      </c>
      <c r="W329" s="556" t="str">
        <f t="shared" ca="1" si="50"/>
        <v/>
      </c>
      <c r="X329" s="494" t="s">
        <v>1426</v>
      </c>
      <c r="Y329" s="547" t="str">
        <f t="shared" ca="1" si="51"/>
        <v/>
      </c>
      <c r="Z329" s="494" t="s">
        <v>1427</v>
      </c>
      <c r="AA329" s="547" t="str">
        <f t="shared" ca="1" si="52"/>
        <v/>
      </c>
      <c r="AB329" s="494" t="s">
        <v>1428</v>
      </c>
      <c r="AC329" s="547" t="str">
        <f t="shared" ca="1" si="53"/>
        <v/>
      </c>
      <c r="AD329" s="557"/>
      <c r="AE329" s="958"/>
    </row>
    <row r="330" spans="1:31" ht="15" customHeight="1">
      <c r="A330" s="957">
        <v>97</v>
      </c>
      <c r="B330" s="566" t="s">
        <v>654</v>
      </c>
      <c r="C330" s="567" t="s">
        <v>1369</v>
      </c>
      <c r="D330" s="958">
        <v>1.1000000000000001</v>
      </c>
      <c r="E330" s="959" t="s">
        <v>683</v>
      </c>
      <c r="F330" s="558" t="s">
        <v>1386</v>
      </c>
      <c r="G330" s="558">
        <v>768</v>
      </c>
      <c r="H330" s="558">
        <v>10.3</v>
      </c>
      <c r="I330" s="559" t="s">
        <v>695</v>
      </c>
      <c r="J330" s="567" t="s">
        <v>1423</v>
      </c>
      <c r="K330" s="961" t="s">
        <v>1373</v>
      </c>
      <c r="L330" s="555" t="str">
        <f t="shared" ca="1" si="46"/>
        <v/>
      </c>
      <c r="M330" s="494" t="s">
        <v>1374</v>
      </c>
      <c r="N330" s="555" t="str">
        <f t="shared" ca="1" si="47"/>
        <v/>
      </c>
      <c r="O330" s="494" t="s">
        <v>1375</v>
      </c>
      <c r="P330" s="555" t="str">
        <f t="shared" ca="1" si="48"/>
        <v/>
      </c>
      <c r="Q330" s="494" t="s">
        <v>1424</v>
      </c>
      <c r="R330" s="494" t="str">
        <f t="shared" si="45"/>
        <v>H330</v>
      </c>
      <c r="S330" s="494" t="s">
        <v>1425</v>
      </c>
      <c r="T330" s="494">
        <v>6</v>
      </c>
      <c r="U330" s="556" t="str">
        <f t="shared" ca="1" si="49"/>
        <v/>
      </c>
      <c r="V330" s="494">
        <v>7</v>
      </c>
      <c r="W330" s="556" t="str">
        <f t="shared" ca="1" si="50"/>
        <v/>
      </c>
      <c r="X330" s="494" t="s">
        <v>1426</v>
      </c>
      <c r="Y330" s="547" t="str">
        <f t="shared" ca="1" si="51"/>
        <v/>
      </c>
      <c r="Z330" s="494" t="s">
        <v>1427</v>
      </c>
      <c r="AA330" s="547" t="str">
        <f t="shared" ca="1" si="52"/>
        <v/>
      </c>
      <c r="AB330" s="494" t="s">
        <v>1428</v>
      </c>
      <c r="AC330" s="547" t="str">
        <f t="shared" ca="1" si="53"/>
        <v/>
      </c>
      <c r="AD330" s="557"/>
      <c r="AE330" s="958"/>
    </row>
    <row r="331" spans="1:31" ht="15" customHeight="1">
      <c r="A331" s="957">
        <v>97</v>
      </c>
      <c r="B331" s="566" t="s">
        <v>654</v>
      </c>
      <c r="C331" s="567" t="s">
        <v>1369</v>
      </c>
      <c r="D331" s="958">
        <v>1.1000000000000001</v>
      </c>
      <c r="E331" s="959" t="s">
        <v>683</v>
      </c>
      <c r="F331" s="558" t="s">
        <v>1386</v>
      </c>
      <c r="G331" s="558">
        <v>769</v>
      </c>
      <c r="H331" s="558">
        <v>10.4</v>
      </c>
      <c r="I331" s="559" t="s">
        <v>696</v>
      </c>
      <c r="J331" s="567" t="s">
        <v>1423</v>
      </c>
      <c r="K331" s="961" t="s">
        <v>1373</v>
      </c>
      <c r="L331" s="555" t="str">
        <f t="shared" ca="1" si="46"/>
        <v/>
      </c>
      <c r="M331" s="494" t="s">
        <v>1374</v>
      </c>
      <c r="N331" s="555" t="str">
        <f t="shared" ca="1" si="47"/>
        <v/>
      </c>
      <c r="O331" s="494" t="s">
        <v>1375</v>
      </c>
      <c r="P331" s="555" t="str">
        <f t="shared" ca="1" si="48"/>
        <v/>
      </c>
      <c r="Q331" s="494" t="s">
        <v>1424</v>
      </c>
      <c r="R331" s="494" t="str">
        <f t="shared" si="45"/>
        <v>H331</v>
      </c>
      <c r="S331" s="494" t="s">
        <v>1425</v>
      </c>
      <c r="T331" s="494">
        <v>6</v>
      </c>
      <c r="U331" s="556" t="str">
        <f t="shared" ca="1" si="49"/>
        <v/>
      </c>
      <c r="V331" s="494">
        <v>7</v>
      </c>
      <c r="W331" s="556" t="str">
        <f t="shared" ca="1" si="50"/>
        <v/>
      </c>
      <c r="X331" s="494" t="s">
        <v>1426</v>
      </c>
      <c r="Y331" s="547" t="str">
        <f t="shared" ca="1" si="51"/>
        <v/>
      </c>
      <c r="Z331" s="494" t="s">
        <v>1427</v>
      </c>
      <c r="AA331" s="547" t="str">
        <f t="shared" ca="1" si="52"/>
        <v/>
      </c>
      <c r="AB331" s="494" t="s">
        <v>1428</v>
      </c>
      <c r="AC331" s="547" t="str">
        <f t="shared" ca="1" si="53"/>
        <v/>
      </c>
      <c r="AD331" s="557"/>
      <c r="AE331" s="958"/>
    </row>
    <row r="332" spans="1:31" ht="15" customHeight="1">
      <c r="A332" s="957">
        <v>97</v>
      </c>
      <c r="B332" s="566" t="s">
        <v>654</v>
      </c>
      <c r="C332" s="567" t="s">
        <v>1369</v>
      </c>
      <c r="D332" s="958">
        <v>1.1000000000000001</v>
      </c>
      <c r="E332" s="959" t="s">
        <v>683</v>
      </c>
      <c r="F332" s="558" t="s">
        <v>1386</v>
      </c>
      <c r="G332" s="558">
        <v>777</v>
      </c>
      <c r="H332" s="558">
        <v>11.1</v>
      </c>
      <c r="I332" s="559" t="s">
        <v>698</v>
      </c>
      <c r="J332" s="567" t="s">
        <v>1423</v>
      </c>
      <c r="K332" s="961" t="s">
        <v>1373</v>
      </c>
      <c r="L332" s="555" t="str">
        <f t="shared" ca="1" si="46"/>
        <v/>
      </c>
      <c r="M332" s="494" t="s">
        <v>1374</v>
      </c>
      <c r="N332" s="555" t="str">
        <f t="shared" ca="1" si="47"/>
        <v/>
      </c>
      <c r="O332" s="494" t="s">
        <v>1375</v>
      </c>
      <c r="P332" s="555" t="str">
        <f t="shared" ca="1" si="48"/>
        <v/>
      </c>
      <c r="Q332" s="494" t="s">
        <v>1424</v>
      </c>
      <c r="R332" s="494" t="str">
        <f t="shared" si="45"/>
        <v>H332</v>
      </c>
      <c r="S332" s="494" t="s">
        <v>1425</v>
      </c>
      <c r="T332" s="494">
        <v>6</v>
      </c>
      <c r="U332" s="556" t="str">
        <f t="shared" ca="1" si="49"/>
        <v/>
      </c>
      <c r="V332" s="494">
        <v>7</v>
      </c>
      <c r="W332" s="556" t="str">
        <f t="shared" ca="1" si="50"/>
        <v/>
      </c>
      <c r="X332" s="494" t="s">
        <v>1426</v>
      </c>
      <c r="Y332" s="547" t="str">
        <f t="shared" ca="1" si="51"/>
        <v/>
      </c>
      <c r="Z332" s="494" t="s">
        <v>1427</v>
      </c>
      <c r="AA332" s="547" t="str">
        <f t="shared" ca="1" si="52"/>
        <v/>
      </c>
      <c r="AB332" s="494" t="s">
        <v>1428</v>
      </c>
      <c r="AC332" s="547" t="str">
        <f t="shared" ca="1" si="53"/>
        <v/>
      </c>
      <c r="AD332" s="557"/>
      <c r="AE332" s="958"/>
    </row>
    <row r="333" spans="1:31" ht="15" customHeight="1">
      <c r="A333" s="957">
        <v>97</v>
      </c>
      <c r="B333" s="566" t="s">
        <v>654</v>
      </c>
      <c r="C333" s="567" t="s">
        <v>1369</v>
      </c>
      <c r="D333" s="958">
        <v>1.1000000000000001</v>
      </c>
      <c r="E333" s="959" t="s">
        <v>683</v>
      </c>
      <c r="F333" s="558" t="s">
        <v>1386</v>
      </c>
      <c r="G333" s="558">
        <v>777</v>
      </c>
      <c r="H333" s="558">
        <v>11.2</v>
      </c>
      <c r="I333" s="559" t="s">
        <v>699</v>
      </c>
      <c r="J333" s="567" t="s">
        <v>1423</v>
      </c>
      <c r="K333" s="961" t="s">
        <v>1373</v>
      </c>
      <c r="L333" s="555" t="str">
        <f t="shared" ca="1" si="46"/>
        <v/>
      </c>
      <c r="M333" s="494" t="s">
        <v>1374</v>
      </c>
      <c r="N333" s="555" t="str">
        <f t="shared" ca="1" si="47"/>
        <v/>
      </c>
      <c r="O333" s="494" t="s">
        <v>1375</v>
      </c>
      <c r="P333" s="555" t="str">
        <f t="shared" ca="1" si="48"/>
        <v/>
      </c>
      <c r="Q333" s="494" t="s">
        <v>1424</v>
      </c>
      <c r="R333" s="494" t="str">
        <f t="shared" si="45"/>
        <v>H333</v>
      </c>
      <c r="S333" s="494" t="s">
        <v>1425</v>
      </c>
      <c r="T333" s="494">
        <v>6</v>
      </c>
      <c r="U333" s="556" t="str">
        <f t="shared" ca="1" si="49"/>
        <v/>
      </c>
      <c r="V333" s="494">
        <v>7</v>
      </c>
      <c r="W333" s="556" t="str">
        <f t="shared" ca="1" si="50"/>
        <v/>
      </c>
      <c r="X333" s="494" t="s">
        <v>1426</v>
      </c>
      <c r="Y333" s="547" t="str">
        <f t="shared" ca="1" si="51"/>
        <v/>
      </c>
      <c r="Z333" s="494" t="s">
        <v>1427</v>
      </c>
      <c r="AA333" s="547" t="str">
        <f t="shared" ca="1" si="52"/>
        <v/>
      </c>
      <c r="AB333" s="494" t="s">
        <v>1428</v>
      </c>
      <c r="AC333" s="547" t="str">
        <f t="shared" ca="1" si="53"/>
        <v/>
      </c>
      <c r="AD333" s="557"/>
      <c r="AE333" s="958"/>
    </row>
    <row r="334" spans="1:31" ht="15" customHeight="1">
      <c r="A334" s="957">
        <v>97</v>
      </c>
      <c r="B334" s="566" t="s">
        <v>654</v>
      </c>
      <c r="C334" s="567" t="s">
        <v>1369</v>
      </c>
      <c r="D334" s="958">
        <v>1.1000000000000001</v>
      </c>
      <c r="E334" s="959" t="s">
        <v>683</v>
      </c>
      <c r="F334" s="558" t="s">
        <v>1386</v>
      </c>
      <c r="G334" s="558">
        <v>770</v>
      </c>
      <c r="H334" s="558">
        <v>12.1</v>
      </c>
      <c r="I334" s="559" t="s">
        <v>702</v>
      </c>
      <c r="J334" s="567" t="s">
        <v>1423</v>
      </c>
      <c r="K334" s="961" t="s">
        <v>1373</v>
      </c>
      <c r="L334" s="555" t="str">
        <f t="shared" ca="1" si="46"/>
        <v/>
      </c>
      <c r="M334" s="494" t="s">
        <v>1374</v>
      </c>
      <c r="N334" s="555" t="str">
        <f t="shared" ca="1" si="47"/>
        <v/>
      </c>
      <c r="O334" s="494" t="s">
        <v>1375</v>
      </c>
      <c r="P334" s="555" t="str">
        <f t="shared" ca="1" si="48"/>
        <v/>
      </c>
      <c r="Q334" s="494" t="s">
        <v>1424</v>
      </c>
      <c r="R334" s="494" t="str">
        <f t="shared" si="45"/>
        <v>H334</v>
      </c>
      <c r="S334" s="494" t="s">
        <v>1425</v>
      </c>
      <c r="T334" s="494">
        <v>6</v>
      </c>
      <c r="U334" s="556" t="str">
        <f t="shared" ca="1" si="49"/>
        <v/>
      </c>
      <c r="V334" s="494">
        <v>7</v>
      </c>
      <c r="W334" s="556" t="str">
        <f t="shared" ca="1" si="50"/>
        <v/>
      </c>
      <c r="X334" s="494" t="s">
        <v>1426</v>
      </c>
      <c r="Y334" s="547" t="str">
        <f t="shared" ca="1" si="51"/>
        <v/>
      </c>
      <c r="Z334" s="494" t="s">
        <v>1427</v>
      </c>
      <c r="AA334" s="547" t="str">
        <f t="shared" ca="1" si="52"/>
        <v/>
      </c>
      <c r="AB334" s="494" t="s">
        <v>1428</v>
      </c>
      <c r="AC334" s="547" t="str">
        <f t="shared" ca="1" si="53"/>
        <v/>
      </c>
      <c r="AD334" s="557"/>
      <c r="AE334" s="958"/>
    </row>
    <row r="335" spans="1:31" ht="15" customHeight="1">
      <c r="A335" s="957">
        <v>97</v>
      </c>
      <c r="B335" s="566" t="s">
        <v>654</v>
      </c>
      <c r="C335" s="567" t="s">
        <v>1369</v>
      </c>
      <c r="D335" s="958">
        <v>1.1000000000000001</v>
      </c>
      <c r="E335" s="959" t="s">
        <v>683</v>
      </c>
      <c r="F335" s="558" t="s">
        <v>1386</v>
      </c>
      <c r="G335" s="558">
        <v>771</v>
      </c>
      <c r="H335" s="558">
        <v>12.2</v>
      </c>
      <c r="I335" s="559" t="s">
        <v>703</v>
      </c>
      <c r="J335" s="567" t="s">
        <v>1423</v>
      </c>
      <c r="K335" s="961" t="s">
        <v>1373</v>
      </c>
      <c r="L335" s="555" t="str">
        <f t="shared" ca="1" si="46"/>
        <v/>
      </c>
      <c r="M335" s="494" t="s">
        <v>1374</v>
      </c>
      <c r="N335" s="555" t="str">
        <f t="shared" ca="1" si="47"/>
        <v/>
      </c>
      <c r="O335" s="494" t="s">
        <v>1375</v>
      </c>
      <c r="P335" s="555" t="str">
        <f t="shared" ca="1" si="48"/>
        <v/>
      </c>
      <c r="Q335" s="494" t="s">
        <v>1424</v>
      </c>
      <c r="R335" s="494" t="str">
        <f t="shared" si="45"/>
        <v>H335</v>
      </c>
      <c r="S335" s="494" t="s">
        <v>1425</v>
      </c>
      <c r="T335" s="494">
        <v>6</v>
      </c>
      <c r="U335" s="556" t="str">
        <f t="shared" ca="1" si="49"/>
        <v/>
      </c>
      <c r="V335" s="494">
        <v>7</v>
      </c>
      <c r="W335" s="556" t="str">
        <f t="shared" ca="1" si="50"/>
        <v/>
      </c>
      <c r="X335" s="494" t="s">
        <v>1426</v>
      </c>
      <c r="Y335" s="547" t="str">
        <f t="shared" ca="1" si="51"/>
        <v/>
      </c>
      <c r="Z335" s="494" t="s">
        <v>1427</v>
      </c>
      <c r="AA335" s="547" t="str">
        <f t="shared" ca="1" si="52"/>
        <v/>
      </c>
      <c r="AB335" s="494" t="s">
        <v>1428</v>
      </c>
      <c r="AC335" s="547" t="str">
        <f t="shared" ca="1" si="53"/>
        <v/>
      </c>
      <c r="AD335" s="557"/>
      <c r="AE335" s="958"/>
    </row>
    <row r="336" spans="1:31" ht="15" customHeight="1">
      <c r="A336" s="957">
        <v>97</v>
      </c>
      <c r="B336" s="566" t="s">
        <v>654</v>
      </c>
      <c r="C336" s="567" t="s">
        <v>1369</v>
      </c>
      <c r="D336" s="958">
        <v>1.1000000000000001</v>
      </c>
      <c r="E336" s="959" t="s">
        <v>683</v>
      </c>
      <c r="F336" s="558" t="s">
        <v>1386</v>
      </c>
      <c r="G336" s="558">
        <v>772</v>
      </c>
      <c r="H336" s="558">
        <v>13.1</v>
      </c>
      <c r="I336" s="559" t="s">
        <v>704</v>
      </c>
      <c r="J336" s="567" t="s">
        <v>1423</v>
      </c>
      <c r="K336" s="961" t="s">
        <v>1373</v>
      </c>
      <c r="L336" s="555" t="str">
        <f t="shared" ca="1" si="46"/>
        <v/>
      </c>
      <c r="M336" s="494" t="s">
        <v>1374</v>
      </c>
      <c r="N336" s="555" t="str">
        <f t="shared" ca="1" si="47"/>
        <v/>
      </c>
      <c r="O336" s="494" t="s">
        <v>1375</v>
      </c>
      <c r="P336" s="555" t="str">
        <f t="shared" ca="1" si="48"/>
        <v/>
      </c>
      <c r="Q336" s="494" t="s">
        <v>1424</v>
      </c>
      <c r="R336" s="494" t="str">
        <f t="shared" si="45"/>
        <v>H336</v>
      </c>
      <c r="S336" s="494" t="s">
        <v>1425</v>
      </c>
      <c r="T336" s="494">
        <v>6</v>
      </c>
      <c r="U336" s="556" t="str">
        <f t="shared" ca="1" si="49"/>
        <v/>
      </c>
      <c r="V336" s="494">
        <v>7</v>
      </c>
      <c r="W336" s="556" t="str">
        <f t="shared" ca="1" si="50"/>
        <v/>
      </c>
      <c r="X336" s="494" t="s">
        <v>1426</v>
      </c>
      <c r="Y336" s="547" t="str">
        <f t="shared" ca="1" si="51"/>
        <v/>
      </c>
      <c r="Z336" s="494" t="s">
        <v>1427</v>
      </c>
      <c r="AA336" s="547" t="str">
        <f t="shared" ca="1" si="52"/>
        <v/>
      </c>
      <c r="AB336" s="494" t="s">
        <v>1428</v>
      </c>
      <c r="AC336" s="547" t="str">
        <f t="shared" ca="1" si="53"/>
        <v/>
      </c>
      <c r="AD336" s="557"/>
      <c r="AE336" s="958"/>
    </row>
    <row r="337" spans="1:31" ht="15" customHeight="1">
      <c r="A337" s="957">
        <v>97</v>
      </c>
      <c r="B337" s="566" t="s">
        <v>654</v>
      </c>
      <c r="C337" s="567" t="s">
        <v>1369</v>
      </c>
      <c r="D337" s="958">
        <v>1.1000000000000001</v>
      </c>
      <c r="E337" s="959" t="s">
        <v>683</v>
      </c>
      <c r="F337" s="558" t="s">
        <v>1386</v>
      </c>
      <c r="G337" s="558">
        <v>773</v>
      </c>
      <c r="H337" s="558">
        <v>14.1</v>
      </c>
      <c r="I337" s="559" t="s">
        <v>706</v>
      </c>
      <c r="J337" s="567" t="s">
        <v>1423</v>
      </c>
      <c r="K337" s="961" t="s">
        <v>1373</v>
      </c>
      <c r="L337" s="555" t="str">
        <f t="shared" ca="1" si="46"/>
        <v/>
      </c>
      <c r="M337" s="494" t="s">
        <v>1374</v>
      </c>
      <c r="N337" s="555" t="str">
        <f t="shared" ca="1" si="47"/>
        <v/>
      </c>
      <c r="O337" s="494" t="s">
        <v>1375</v>
      </c>
      <c r="P337" s="555" t="str">
        <f t="shared" ca="1" si="48"/>
        <v/>
      </c>
      <c r="Q337" s="494" t="s">
        <v>1424</v>
      </c>
      <c r="R337" s="494" t="str">
        <f t="shared" si="45"/>
        <v>H337</v>
      </c>
      <c r="S337" s="494" t="s">
        <v>1425</v>
      </c>
      <c r="T337" s="494">
        <v>6</v>
      </c>
      <c r="U337" s="556" t="str">
        <f t="shared" ca="1" si="49"/>
        <v/>
      </c>
      <c r="V337" s="494">
        <v>7</v>
      </c>
      <c r="W337" s="556" t="str">
        <f t="shared" ca="1" si="50"/>
        <v/>
      </c>
      <c r="X337" s="494" t="s">
        <v>1426</v>
      </c>
      <c r="Y337" s="547" t="str">
        <f t="shared" ca="1" si="51"/>
        <v/>
      </c>
      <c r="Z337" s="494" t="s">
        <v>1427</v>
      </c>
      <c r="AA337" s="547" t="str">
        <f t="shared" ca="1" si="52"/>
        <v/>
      </c>
      <c r="AB337" s="494" t="s">
        <v>1428</v>
      </c>
      <c r="AC337" s="547" t="str">
        <f t="shared" ca="1" si="53"/>
        <v/>
      </c>
      <c r="AD337" s="557"/>
      <c r="AE337" s="958"/>
    </row>
    <row r="338" spans="1:31" ht="15" customHeight="1">
      <c r="A338" s="957">
        <v>97</v>
      </c>
      <c r="B338" s="566" t="s">
        <v>654</v>
      </c>
      <c r="C338" s="567" t="s">
        <v>1369</v>
      </c>
      <c r="D338" s="958">
        <v>1.1000000000000001</v>
      </c>
      <c r="E338" s="959" t="s">
        <v>683</v>
      </c>
      <c r="F338" s="558" t="s">
        <v>1386</v>
      </c>
      <c r="G338" s="558">
        <v>774</v>
      </c>
      <c r="H338" s="558">
        <v>14.2</v>
      </c>
      <c r="I338" s="559" t="s">
        <v>708</v>
      </c>
      <c r="J338" s="567" t="s">
        <v>1423</v>
      </c>
      <c r="K338" s="961" t="s">
        <v>1373</v>
      </c>
      <c r="L338" s="555" t="str">
        <f t="shared" ca="1" si="46"/>
        <v/>
      </c>
      <c r="M338" s="494" t="s">
        <v>1374</v>
      </c>
      <c r="N338" s="555" t="str">
        <f t="shared" ca="1" si="47"/>
        <v/>
      </c>
      <c r="O338" s="494" t="s">
        <v>1375</v>
      </c>
      <c r="P338" s="555" t="str">
        <f t="shared" ca="1" si="48"/>
        <v/>
      </c>
      <c r="Q338" s="494" t="s">
        <v>1424</v>
      </c>
      <c r="R338" s="494" t="str">
        <f t="shared" si="45"/>
        <v>H338</v>
      </c>
      <c r="S338" s="494" t="s">
        <v>1425</v>
      </c>
      <c r="T338" s="494">
        <v>6</v>
      </c>
      <c r="U338" s="556" t="str">
        <f t="shared" ca="1" si="49"/>
        <v/>
      </c>
      <c r="V338" s="494">
        <v>7</v>
      </c>
      <c r="W338" s="556" t="str">
        <f t="shared" ca="1" si="50"/>
        <v/>
      </c>
      <c r="X338" s="494" t="s">
        <v>1426</v>
      </c>
      <c r="Y338" s="547" t="str">
        <f t="shared" ca="1" si="51"/>
        <v/>
      </c>
      <c r="Z338" s="494" t="s">
        <v>1427</v>
      </c>
      <c r="AA338" s="547" t="str">
        <f t="shared" ca="1" si="52"/>
        <v/>
      </c>
      <c r="AB338" s="494" t="s">
        <v>1428</v>
      </c>
      <c r="AC338" s="547" t="str">
        <f t="shared" ca="1" si="53"/>
        <v/>
      </c>
      <c r="AD338" s="557"/>
      <c r="AE338" s="958"/>
    </row>
    <row r="339" spans="1:31" ht="15" customHeight="1">
      <c r="A339" s="957">
        <v>97</v>
      </c>
      <c r="B339" s="566" t="s">
        <v>654</v>
      </c>
      <c r="C339" s="567" t="s">
        <v>1369</v>
      </c>
      <c r="D339" s="958">
        <v>1.1000000000000001</v>
      </c>
      <c r="E339" s="959" t="s">
        <v>683</v>
      </c>
      <c r="F339" s="558" t="s">
        <v>1386</v>
      </c>
      <c r="G339" s="558">
        <v>775</v>
      </c>
      <c r="H339" s="558">
        <v>15</v>
      </c>
      <c r="I339" s="559" t="s">
        <v>711</v>
      </c>
      <c r="J339" s="567" t="s">
        <v>1423</v>
      </c>
      <c r="K339" s="961" t="s">
        <v>1373</v>
      </c>
      <c r="L339" s="555" t="str">
        <f t="shared" ca="1" si="46"/>
        <v/>
      </c>
      <c r="M339" s="494" t="s">
        <v>1374</v>
      </c>
      <c r="N339" s="555" t="str">
        <f t="shared" ca="1" si="47"/>
        <v/>
      </c>
      <c r="O339" s="494" t="s">
        <v>1375</v>
      </c>
      <c r="P339" s="555" t="str">
        <f t="shared" ca="1" si="48"/>
        <v/>
      </c>
      <c r="Q339" s="494" t="s">
        <v>1424</v>
      </c>
      <c r="R339" s="494" t="str">
        <f t="shared" si="45"/>
        <v>H339</v>
      </c>
      <c r="S339" s="494" t="s">
        <v>1425</v>
      </c>
      <c r="T339" s="494">
        <v>6</v>
      </c>
      <c r="U339" s="556" t="str">
        <f t="shared" ca="1" si="49"/>
        <v/>
      </c>
      <c r="V339" s="494">
        <v>7</v>
      </c>
      <c r="W339" s="556" t="str">
        <f t="shared" ca="1" si="50"/>
        <v/>
      </c>
      <c r="X339" s="494" t="s">
        <v>1426</v>
      </c>
      <c r="Y339" s="547" t="str">
        <f t="shared" ca="1" si="51"/>
        <v/>
      </c>
      <c r="Z339" s="494" t="s">
        <v>1427</v>
      </c>
      <c r="AA339" s="547" t="str">
        <f t="shared" ca="1" si="52"/>
        <v/>
      </c>
      <c r="AB339" s="494" t="s">
        <v>1428</v>
      </c>
      <c r="AC339" s="547" t="str">
        <f t="shared" ca="1" si="53"/>
        <v/>
      </c>
      <c r="AD339" s="557"/>
      <c r="AE339" s="958"/>
    </row>
    <row r="340" spans="1:31" ht="15" customHeight="1">
      <c r="A340" s="957">
        <v>97</v>
      </c>
      <c r="B340" s="566" t="s">
        <v>654</v>
      </c>
      <c r="C340" s="567" t="s">
        <v>1369</v>
      </c>
      <c r="D340" s="958">
        <v>1.1000000000000001</v>
      </c>
      <c r="E340" s="959" t="s">
        <v>683</v>
      </c>
      <c r="F340" s="558" t="s">
        <v>1386</v>
      </c>
      <c r="G340" s="558">
        <v>776</v>
      </c>
      <c r="H340" s="558">
        <v>15.1</v>
      </c>
      <c r="I340" s="559" t="s">
        <v>712</v>
      </c>
      <c r="J340" s="567" t="s">
        <v>1423</v>
      </c>
      <c r="K340" s="961" t="s">
        <v>1373</v>
      </c>
      <c r="L340" s="555" t="str">
        <f t="shared" ca="1" si="46"/>
        <v/>
      </c>
      <c r="M340" s="494" t="s">
        <v>1374</v>
      </c>
      <c r="N340" s="555" t="str">
        <f t="shared" ca="1" si="47"/>
        <v/>
      </c>
      <c r="O340" s="494" t="s">
        <v>1375</v>
      </c>
      <c r="P340" s="555" t="str">
        <f t="shared" ca="1" si="48"/>
        <v/>
      </c>
      <c r="Q340" s="494" t="s">
        <v>1424</v>
      </c>
      <c r="R340" s="494" t="str">
        <f t="shared" si="45"/>
        <v>H340</v>
      </c>
      <c r="S340" s="494" t="s">
        <v>1425</v>
      </c>
      <c r="T340" s="494">
        <v>6</v>
      </c>
      <c r="U340" s="556" t="str">
        <f t="shared" ca="1" si="49"/>
        <v/>
      </c>
      <c r="V340" s="494">
        <v>7</v>
      </c>
      <c r="W340" s="556" t="str">
        <f t="shared" ca="1" si="50"/>
        <v/>
      </c>
      <c r="X340" s="494" t="s">
        <v>1426</v>
      </c>
      <c r="Y340" s="547" t="str">
        <f t="shared" ca="1" si="51"/>
        <v/>
      </c>
      <c r="Z340" s="494" t="s">
        <v>1427</v>
      </c>
      <c r="AA340" s="547" t="str">
        <f t="shared" ca="1" si="52"/>
        <v/>
      </c>
      <c r="AB340" s="494" t="s">
        <v>1428</v>
      </c>
      <c r="AC340" s="547" t="str">
        <f t="shared" ca="1" si="53"/>
        <v/>
      </c>
      <c r="AD340" s="557"/>
      <c r="AE340" s="958"/>
    </row>
    <row r="341" spans="1:31" ht="15" customHeight="1">
      <c r="A341" s="957">
        <v>97</v>
      </c>
      <c r="B341" s="566" t="s">
        <v>654</v>
      </c>
      <c r="C341" s="567" t="s">
        <v>1369</v>
      </c>
      <c r="D341" s="958">
        <v>1.1000000000000001</v>
      </c>
      <c r="E341" s="959" t="s">
        <v>713</v>
      </c>
      <c r="F341" s="558" t="s">
        <v>1392</v>
      </c>
      <c r="G341" s="558">
        <v>778</v>
      </c>
      <c r="H341" s="558">
        <v>16.100000000000001</v>
      </c>
      <c r="I341" s="559" t="s">
        <v>716</v>
      </c>
      <c r="J341" s="567" t="s">
        <v>1423</v>
      </c>
      <c r="K341" s="961" t="s">
        <v>1373</v>
      </c>
      <c r="L341" s="555" t="str">
        <f t="shared" ca="1" si="46"/>
        <v/>
      </c>
      <c r="M341" s="494" t="s">
        <v>1374</v>
      </c>
      <c r="N341" s="555" t="str">
        <f t="shared" ca="1" si="47"/>
        <v/>
      </c>
      <c r="O341" s="494" t="s">
        <v>1375</v>
      </c>
      <c r="P341" s="555" t="str">
        <f t="shared" ca="1" si="48"/>
        <v/>
      </c>
      <c r="Q341" s="494" t="s">
        <v>1424</v>
      </c>
      <c r="R341" s="494" t="str">
        <f t="shared" si="45"/>
        <v>H341</v>
      </c>
      <c r="S341" s="494" t="s">
        <v>1425</v>
      </c>
      <c r="T341" s="494">
        <v>6</v>
      </c>
      <c r="U341" s="556" t="str">
        <f t="shared" ca="1" si="49"/>
        <v/>
      </c>
      <c r="V341" s="494">
        <v>7</v>
      </c>
      <c r="W341" s="556" t="str">
        <f t="shared" ca="1" si="50"/>
        <v/>
      </c>
      <c r="X341" s="494" t="s">
        <v>1426</v>
      </c>
      <c r="Y341" s="547" t="str">
        <f t="shared" ca="1" si="51"/>
        <v/>
      </c>
      <c r="Z341" s="494" t="s">
        <v>1427</v>
      </c>
      <c r="AA341" s="547" t="str">
        <f t="shared" ca="1" si="52"/>
        <v/>
      </c>
      <c r="AB341" s="494" t="s">
        <v>1428</v>
      </c>
      <c r="AC341" s="547" t="str">
        <f t="shared" ca="1" si="53"/>
        <v/>
      </c>
      <c r="AD341" s="557"/>
      <c r="AE341" s="958"/>
    </row>
    <row r="342" spans="1:31" ht="15" customHeight="1">
      <c r="A342" s="957">
        <v>97</v>
      </c>
      <c r="B342" s="566" t="s">
        <v>654</v>
      </c>
      <c r="C342" s="567" t="s">
        <v>1369</v>
      </c>
      <c r="D342" s="958">
        <v>1.1000000000000001</v>
      </c>
      <c r="E342" s="959" t="s">
        <v>713</v>
      </c>
      <c r="F342" s="558" t="s">
        <v>1392</v>
      </c>
      <c r="G342" s="558">
        <v>779</v>
      </c>
      <c r="H342" s="558">
        <v>17.100000000000001</v>
      </c>
      <c r="I342" s="559" t="s">
        <v>718</v>
      </c>
      <c r="J342" s="567" t="s">
        <v>1423</v>
      </c>
      <c r="K342" s="961" t="s">
        <v>1373</v>
      </c>
      <c r="L342" s="555" t="str">
        <f t="shared" ca="1" si="46"/>
        <v/>
      </c>
      <c r="M342" s="494" t="s">
        <v>1374</v>
      </c>
      <c r="N342" s="555" t="str">
        <f t="shared" ca="1" si="47"/>
        <v/>
      </c>
      <c r="O342" s="494" t="s">
        <v>1375</v>
      </c>
      <c r="P342" s="555" t="str">
        <f t="shared" ca="1" si="48"/>
        <v/>
      </c>
      <c r="Q342" s="494" t="s">
        <v>1424</v>
      </c>
      <c r="R342" s="494" t="str">
        <f t="shared" si="45"/>
        <v>H342</v>
      </c>
      <c r="S342" s="494" t="s">
        <v>1425</v>
      </c>
      <c r="T342" s="494">
        <v>6</v>
      </c>
      <c r="U342" s="556" t="str">
        <f t="shared" ca="1" si="49"/>
        <v/>
      </c>
      <c r="V342" s="494">
        <v>7</v>
      </c>
      <c r="W342" s="556" t="str">
        <f t="shared" ca="1" si="50"/>
        <v/>
      </c>
      <c r="X342" s="494" t="s">
        <v>1426</v>
      </c>
      <c r="Y342" s="547" t="str">
        <f t="shared" ca="1" si="51"/>
        <v/>
      </c>
      <c r="Z342" s="494" t="s">
        <v>1427</v>
      </c>
      <c r="AA342" s="547" t="str">
        <f t="shared" ca="1" si="52"/>
        <v/>
      </c>
      <c r="AB342" s="494" t="s">
        <v>1428</v>
      </c>
      <c r="AC342" s="547" t="str">
        <f t="shared" ca="1" si="53"/>
        <v/>
      </c>
      <c r="AD342" s="557"/>
      <c r="AE342" s="958"/>
    </row>
    <row r="343" spans="1:31" ht="15" customHeight="1">
      <c r="A343" s="957">
        <v>97</v>
      </c>
      <c r="B343" s="566" t="s">
        <v>654</v>
      </c>
      <c r="C343" s="567" t="s">
        <v>1369</v>
      </c>
      <c r="D343" s="958">
        <v>1.1000000000000001</v>
      </c>
      <c r="E343" s="959" t="s">
        <v>713</v>
      </c>
      <c r="F343" s="558" t="s">
        <v>1392</v>
      </c>
      <c r="G343" s="558">
        <v>779</v>
      </c>
      <c r="H343" s="558">
        <v>17.2</v>
      </c>
      <c r="I343" s="559" t="s">
        <v>719</v>
      </c>
      <c r="J343" s="567" t="s">
        <v>1423</v>
      </c>
      <c r="K343" s="961" t="s">
        <v>1373</v>
      </c>
      <c r="L343" s="555" t="str">
        <f t="shared" ca="1" si="46"/>
        <v/>
      </c>
      <c r="M343" s="494" t="s">
        <v>1374</v>
      </c>
      <c r="N343" s="555" t="str">
        <f t="shared" ca="1" si="47"/>
        <v/>
      </c>
      <c r="O343" s="494" t="s">
        <v>1375</v>
      </c>
      <c r="P343" s="555" t="str">
        <f t="shared" ca="1" si="48"/>
        <v/>
      </c>
      <c r="Q343" s="494" t="s">
        <v>1424</v>
      </c>
      <c r="R343" s="494" t="str">
        <f t="shared" si="45"/>
        <v>H343</v>
      </c>
      <c r="S343" s="494" t="s">
        <v>1425</v>
      </c>
      <c r="T343" s="494">
        <v>6</v>
      </c>
      <c r="U343" s="556" t="str">
        <f t="shared" ca="1" si="49"/>
        <v/>
      </c>
      <c r="V343" s="494">
        <v>7</v>
      </c>
      <c r="W343" s="556" t="str">
        <f t="shared" ca="1" si="50"/>
        <v/>
      </c>
      <c r="X343" s="494" t="s">
        <v>1426</v>
      </c>
      <c r="Y343" s="547" t="str">
        <f t="shared" ca="1" si="51"/>
        <v/>
      </c>
      <c r="Z343" s="494" t="s">
        <v>1427</v>
      </c>
      <c r="AA343" s="547" t="str">
        <f t="shared" ca="1" si="52"/>
        <v/>
      </c>
      <c r="AB343" s="494" t="s">
        <v>1428</v>
      </c>
      <c r="AC343" s="547" t="str">
        <f t="shared" ca="1" si="53"/>
        <v/>
      </c>
      <c r="AD343" s="557"/>
      <c r="AE343" s="958"/>
    </row>
    <row r="344" spans="1:31" ht="15" customHeight="1">
      <c r="A344" s="957">
        <v>97</v>
      </c>
      <c r="B344" s="566" t="s">
        <v>654</v>
      </c>
      <c r="C344" s="567" t="s">
        <v>1369</v>
      </c>
      <c r="D344" s="958">
        <v>1.1000000000000001</v>
      </c>
      <c r="E344" s="959" t="s">
        <v>713</v>
      </c>
      <c r="F344" s="558" t="s">
        <v>1392</v>
      </c>
      <c r="G344" s="558">
        <v>780</v>
      </c>
      <c r="H344" s="558">
        <v>18.100000000000001</v>
      </c>
      <c r="I344" s="559" t="s">
        <v>722</v>
      </c>
      <c r="J344" s="567" t="s">
        <v>1423</v>
      </c>
      <c r="K344" s="961" t="s">
        <v>1373</v>
      </c>
      <c r="L344" s="555" t="str">
        <f t="shared" ca="1" si="46"/>
        <v/>
      </c>
      <c r="M344" s="494" t="s">
        <v>1374</v>
      </c>
      <c r="N344" s="555" t="str">
        <f t="shared" ca="1" si="47"/>
        <v/>
      </c>
      <c r="O344" s="494" t="s">
        <v>1375</v>
      </c>
      <c r="P344" s="555" t="str">
        <f t="shared" ca="1" si="48"/>
        <v/>
      </c>
      <c r="Q344" s="494" t="s">
        <v>1424</v>
      </c>
      <c r="R344" s="494" t="str">
        <f t="shared" si="45"/>
        <v>H344</v>
      </c>
      <c r="S344" s="494" t="s">
        <v>1425</v>
      </c>
      <c r="T344" s="494">
        <v>6</v>
      </c>
      <c r="U344" s="556" t="str">
        <f t="shared" ca="1" si="49"/>
        <v/>
      </c>
      <c r="V344" s="494">
        <v>7</v>
      </c>
      <c r="W344" s="556" t="str">
        <f t="shared" ca="1" si="50"/>
        <v/>
      </c>
      <c r="X344" s="494" t="s">
        <v>1426</v>
      </c>
      <c r="Y344" s="547" t="str">
        <f t="shared" ca="1" si="51"/>
        <v/>
      </c>
      <c r="Z344" s="494" t="s">
        <v>1427</v>
      </c>
      <c r="AA344" s="547" t="str">
        <f t="shared" ca="1" si="52"/>
        <v/>
      </c>
      <c r="AB344" s="494" t="s">
        <v>1428</v>
      </c>
      <c r="AC344" s="547" t="str">
        <f t="shared" ca="1" si="53"/>
        <v/>
      </c>
      <c r="AD344" s="557"/>
      <c r="AE344" s="958"/>
    </row>
    <row r="345" spans="1:31" ht="15" customHeight="1">
      <c r="A345" s="957">
        <v>97</v>
      </c>
      <c r="B345" s="566" t="s">
        <v>654</v>
      </c>
      <c r="C345" s="567" t="s">
        <v>1369</v>
      </c>
      <c r="D345" s="958">
        <v>1.1000000000000001</v>
      </c>
      <c r="E345" s="959" t="s">
        <v>713</v>
      </c>
      <c r="F345" s="558" t="s">
        <v>1392</v>
      </c>
      <c r="G345" s="558">
        <v>782</v>
      </c>
      <c r="H345" s="558">
        <v>19.100000000000001</v>
      </c>
      <c r="I345" s="559" t="s">
        <v>734</v>
      </c>
      <c r="J345" s="567" t="s">
        <v>1423</v>
      </c>
      <c r="K345" s="961" t="s">
        <v>1373</v>
      </c>
      <c r="L345" s="555" t="str">
        <f t="shared" ca="1" si="46"/>
        <v/>
      </c>
      <c r="M345" s="494" t="s">
        <v>1374</v>
      </c>
      <c r="N345" s="555" t="str">
        <f t="shared" ca="1" si="47"/>
        <v/>
      </c>
      <c r="O345" s="494" t="s">
        <v>1375</v>
      </c>
      <c r="P345" s="555" t="str">
        <f t="shared" ca="1" si="48"/>
        <v/>
      </c>
      <c r="Q345" s="494" t="s">
        <v>1424</v>
      </c>
      <c r="R345" s="494" t="str">
        <f t="shared" si="45"/>
        <v>H345</v>
      </c>
      <c r="S345" s="494" t="s">
        <v>1425</v>
      </c>
      <c r="T345" s="494">
        <v>6</v>
      </c>
      <c r="U345" s="556" t="str">
        <f t="shared" ca="1" si="49"/>
        <v/>
      </c>
      <c r="V345" s="494">
        <v>7</v>
      </c>
      <c r="W345" s="556" t="str">
        <f t="shared" ca="1" si="50"/>
        <v/>
      </c>
      <c r="X345" s="494" t="s">
        <v>1426</v>
      </c>
      <c r="Y345" s="547" t="str">
        <f t="shared" ca="1" si="51"/>
        <v/>
      </c>
      <c r="Z345" s="494" t="s">
        <v>1427</v>
      </c>
      <c r="AA345" s="547" t="str">
        <f t="shared" ca="1" si="52"/>
        <v/>
      </c>
      <c r="AB345" s="494" t="s">
        <v>1428</v>
      </c>
      <c r="AC345" s="547" t="str">
        <f t="shared" ca="1" si="53"/>
        <v/>
      </c>
      <c r="AD345" s="557"/>
      <c r="AE345" s="958"/>
    </row>
    <row r="346" spans="1:31" ht="15" customHeight="1">
      <c r="A346" s="957">
        <v>97</v>
      </c>
      <c r="B346" s="566" t="s">
        <v>654</v>
      </c>
      <c r="C346" s="567" t="s">
        <v>1369</v>
      </c>
      <c r="D346" s="958">
        <v>1.1000000000000001</v>
      </c>
      <c r="E346" s="959" t="s">
        <v>713</v>
      </c>
      <c r="F346" s="558" t="s">
        <v>1392</v>
      </c>
      <c r="G346" s="558">
        <v>783</v>
      </c>
      <c r="H346" s="558">
        <v>19.2</v>
      </c>
      <c r="I346" s="559" t="s">
        <v>735</v>
      </c>
      <c r="J346" s="567" t="s">
        <v>1423</v>
      </c>
      <c r="K346" s="961" t="s">
        <v>1373</v>
      </c>
      <c r="L346" s="555" t="str">
        <f t="shared" ca="1" si="46"/>
        <v/>
      </c>
      <c r="M346" s="494" t="s">
        <v>1374</v>
      </c>
      <c r="N346" s="555" t="str">
        <f t="shared" ca="1" si="47"/>
        <v/>
      </c>
      <c r="O346" s="494" t="s">
        <v>1375</v>
      </c>
      <c r="P346" s="555" t="str">
        <f t="shared" ca="1" si="48"/>
        <v/>
      </c>
      <c r="Q346" s="494" t="s">
        <v>1424</v>
      </c>
      <c r="R346" s="494" t="str">
        <f t="shared" si="45"/>
        <v>H346</v>
      </c>
      <c r="S346" s="494" t="s">
        <v>1425</v>
      </c>
      <c r="T346" s="494">
        <v>6</v>
      </c>
      <c r="U346" s="556" t="str">
        <f t="shared" ca="1" si="49"/>
        <v/>
      </c>
      <c r="V346" s="494">
        <v>7</v>
      </c>
      <c r="W346" s="556" t="str">
        <f t="shared" ca="1" si="50"/>
        <v/>
      </c>
      <c r="X346" s="494" t="s">
        <v>1426</v>
      </c>
      <c r="Y346" s="547" t="str">
        <f t="shared" ca="1" si="51"/>
        <v/>
      </c>
      <c r="Z346" s="494" t="s">
        <v>1427</v>
      </c>
      <c r="AA346" s="547" t="str">
        <f t="shared" ca="1" si="52"/>
        <v/>
      </c>
      <c r="AB346" s="494" t="s">
        <v>1428</v>
      </c>
      <c r="AC346" s="547" t="str">
        <f t="shared" ca="1" si="53"/>
        <v/>
      </c>
      <c r="AD346" s="557"/>
      <c r="AE346" s="958"/>
    </row>
    <row r="347" spans="1:31" ht="15" customHeight="1">
      <c r="A347" s="957">
        <v>97</v>
      </c>
      <c r="B347" s="566" t="s">
        <v>654</v>
      </c>
      <c r="C347" s="567" t="s">
        <v>1369</v>
      </c>
      <c r="D347" s="958">
        <v>1.1000000000000001</v>
      </c>
      <c r="E347" s="959" t="s">
        <v>713</v>
      </c>
      <c r="F347" s="558" t="s">
        <v>1392</v>
      </c>
      <c r="G347" s="558">
        <v>784</v>
      </c>
      <c r="H347" s="558">
        <v>19.3</v>
      </c>
      <c r="I347" s="559" t="s">
        <v>736</v>
      </c>
      <c r="J347" s="567" t="s">
        <v>1423</v>
      </c>
      <c r="K347" s="961" t="s">
        <v>1373</v>
      </c>
      <c r="L347" s="555" t="str">
        <f t="shared" ca="1" si="46"/>
        <v/>
      </c>
      <c r="M347" s="494" t="s">
        <v>1374</v>
      </c>
      <c r="N347" s="555" t="str">
        <f t="shared" ca="1" si="47"/>
        <v/>
      </c>
      <c r="O347" s="494" t="s">
        <v>1375</v>
      </c>
      <c r="P347" s="555" t="str">
        <f t="shared" ca="1" si="48"/>
        <v/>
      </c>
      <c r="Q347" s="494" t="s">
        <v>1424</v>
      </c>
      <c r="R347" s="494" t="str">
        <f t="shared" si="45"/>
        <v>H347</v>
      </c>
      <c r="S347" s="494" t="s">
        <v>1425</v>
      </c>
      <c r="T347" s="494">
        <v>6</v>
      </c>
      <c r="U347" s="556" t="str">
        <f t="shared" ca="1" si="49"/>
        <v/>
      </c>
      <c r="V347" s="494">
        <v>7</v>
      </c>
      <c r="W347" s="556" t="str">
        <f t="shared" ca="1" si="50"/>
        <v/>
      </c>
      <c r="X347" s="494" t="s">
        <v>1426</v>
      </c>
      <c r="Y347" s="547" t="str">
        <f t="shared" ca="1" si="51"/>
        <v/>
      </c>
      <c r="Z347" s="494" t="s">
        <v>1427</v>
      </c>
      <c r="AA347" s="547" t="str">
        <f t="shared" ca="1" si="52"/>
        <v/>
      </c>
      <c r="AB347" s="494" t="s">
        <v>1428</v>
      </c>
      <c r="AC347" s="547" t="str">
        <f t="shared" ca="1" si="53"/>
        <v/>
      </c>
      <c r="AD347" s="557"/>
      <c r="AE347" s="958"/>
    </row>
    <row r="348" spans="1:31" ht="15" customHeight="1">
      <c r="A348" s="957">
        <v>97</v>
      </c>
      <c r="B348" s="566" t="s">
        <v>654</v>
      </c>
      <c r="C348" s="567" t="s">
        <v>1369</v>
      </c>
      <c r="D348" s="958">
        <v>1.1000000000000001</v>
      </c>
      <c r="E348" s="959" t="s">
        <v>713</v>
      </c>
      <c r="F348" s="558" t="s">
        <v>1392</v>
      </c>
      <c r="G348" s="558">
        <v>785</v>
      </c>
      <c r="H348" s="558">
        <v>20.100000000000001</v>
      </c>
      <c r="I348" s="559" t="s">
        <v>739</v>
      </c>
      <c r="J348" s="567" t="s">
        <v>1423</v>
      </c>
      <c r="K348" s="961" t="s">
        <v>1373</v>
      </c>
      <c r="L348" s="555" t="str">
        <f t="shared" ca="1" si="46"/>
        <v/>
      </c>
      <c r="M348" s="494" t="s">
        <v>1374</v>
      </c>
      <c r="N348" s="555" t="str">
        <f t="shared" ca="1" si="47"/>
        <v/>
      </c>
      <c r="O348" s="494" t="s">
        <v>1375</v>
      </c>
      <c r="P348" s="555" t="str">
        <f t="shared" ca="1" si="48"/>
        <v/>
      </c>
      <c r="Q348" s="494" t="s">
        <v>1424</v>
      </c>
      <c r="R348" s="494" t="str">
        <f t="shared" si="45"/>
        <v>H348</v>
      </c>
      <c r="S348" s="494" t="s">
        <v>1425</v>
      </c>
      <c r="T348" s="494">
        <v>6</v>
      </c>
      <c r="U348" s="556" t="str">
        <f t="shared" ca="1" si="49"/>
        <v/>
      </c>
      <c r="V348" s="494">
        <v>7</v>
      </c>
      <c r="W348" s="556" t="str">
        <f t="shared" ca="1" si="50"/>
        <v/>
      </c>
      <c r="X348" s="494" t="s">
        <v>1426</v>
      </c>
      <c r="Y348" s="547" t="str">
        <f t="shared" ca="1" si="51"/>
        <v/>
      </c>
      <c r="Z348" s="494" t="s">
        <v>1427</v>
      </c>
      <c r="AA348" s="547" t="str">
        <f t="shared" ca="1" si="52"/>
        <v/>
      </c>
      <c r="AB348" s="494" t="s">
        <v>1428</v>
      </c>
      <c r="AC348" s="547" t="str">
        <f t="shared" ca="1" si="53"/>
        <v/>
      </c>
      <c r="AD348" s="557"/>
      <c r="AE348" s="958"/>
    </row>
    <row r="349" spans="1:31" ht="15" customHeight="1">
      <c r="A349" s="957">
        <v>97</v>
      </c>
      <c r="B349" s="566" t="s">
        <v>654</v>
      </c>
      <c r="C349" s="567" t="s">
        <v>1369</v>
      </c>
      <c r="D349" s="958">
        <v>1.1000000000000001</v>
      </c>
      <c r="E349" s="959" t="s">
        <v>713</v>
      </c>
      <c r="F349" s="558" t="s">
        <v>1392</v>
      </c>
      <c r="G349" s="558">
        <v>786</v>
      </c>
      <c r="H349" s="558">
        <v>20.2</v>
      </c>
      <c r="I349" s="559" t="s">
        <v>740</v>
      </c>
      <c r="J349" s="567" t="s">
        <v>1423</v>
      </c>
      <c r="K349" s="961" t="s">
        <v>1373</v>
      </c>
      <c r="L349" s="555" t="str">
        <f t="shared" ca="1" si="46"/>
        <v/>
      </c>
      <c r="M349" s="494" t="s">
        <v>1374</v>
      </c>
      <c r="N349" s="555" t="str">
        <f t="shared" ca="1" si="47"/>
        <v/>
      </c>
      <c r="O349" s="494" t="s">
        <v>1375</v>
      </c>
      <c r="P349" s="555" t="str">
        <f t="shared" ca="1" si="48"/>
        <v/>
      </c>
      <c r="Q349" s="494" t="s">
        <v>1424</v>
      </c>
      <c r="R349" s="494" t="str">
        <f t="shared" si="45"/>
        <v>H349</v>
      </c>
      <c r="S349" s="494" t="s">
        <v>1425</v>
      </c>
      <c r="T349" s="494">
        <v>6</v>
      </c>
      <c r="U349" s="556" t="str">
        <f t="shared" ca="1" si="49"/>
        <v/>
      </c>
      <c r="V349" s="494">
        <v>7</v>
      </c>
      <c r="W349" s="556" t="str">
        <f t="shared" ca="1" si="50"/>
        <v/>
      </c>
      <c r="X349" s="494" t="s">
        <v>1426</v>
      </c>
      <c r="Y349" s="547" t="str">
        <f t="shared" ca="1" si="51"/>
        <v/>
      </c>
      <c r="Z349" s="494" t="s">
        <v>1427</v>
      </c>
      <c r="AA349" s="547" t="str">
        <f t="shared" ca="1" si="52"/>
        <v/>
      </c>
      <c r="AB349" s="494" t="s">
        <v>1428</v>
      </c>
      <c r="AC349" s="547" t="str">
        <f t="shared" ca="1" si="53"/>
        <v/>
      </c>
      <c r="AD349" s="557"/>
      <c r="AE349" s="958"/>
    </row>
    <row r="350" spans="1:31" ht="15" customHeight="1">
      <c r="A350" s="957">
        <v>97</v>
      </c>
      <c r="B350" s="566" t="s">
        <v>654</v>
      </c>
      <c r="C350" s="567" t="s">
        <v>1369</v>
      </c>
      <c r="D350" s="958">
        <v>1.1000000000000001</v>
      </c>
      <c r="E350" s="959" t="s">
        <v>713</v>
      </c>
      <c r="F350" s="558" t="s">
        <v>1392</v>
      </c>
      <c r="G350" s="558">
        <v>787</v>
      </c>
      <c r="H350" s="558">
        <v>21.1</v>
      </c>
      <c r="I350" s="559" t="s">
        <v>742</v>
      </c>
      <c r="J350" s="567" t="s">
        <v>1423</v>
      </c>
      <c r="K350" s="961" t="s">
        <v>1373</v>
      </c>
      <c r="L350" s="555" t="str">
        <f t="shared" ca="1" si="46"/>
        <v/>
      </c>
      <c r="M350" s="494" t="s">
        <v>1374</v>
      </c>
      <c r="N350" s="555" t="str">
        <f t="shared" ca="1" si="47"/>
        <v/>
      </c>
      <c r="O350" s="494" t="s">
        <v>1375</v>
      </c>
      <c r="P350" s="555" t="str">
        <f t="shared" ca="1" si="48"/>
        <v/>
      </c>
      <c r="Q350" s="494" t="s">
        <v>1424</v>
      </c>
      <c r="R350" s="494" t="str">
        <f t="shared" si="45"/>
        <v>H350</v>
      </c>
      <c r="S350" s="494" t="s">
        <v>1425</v>
      </c>
      <c r="T350" s="494">
        <v>6</v>
      </c>
      <c r="U350" s="556" t="str">
        <f t="shared" ca="1" si="49"/>
        <v/>
      </c>
      <c r="V350" s="494">
        <v>7</v>
      </c>
      <c r="W350" s="556" t="str">
        <f t="shared" ca="1" si="50"/>
        <v/>
      </c>
      <c r="X350" s="494" t="s">
        <v>1426</v>
      </c>
      <c r="Y350" s="547" t="str">
        <f t="shared" ca="1" si="51"/>
        <v/>
      </c>
      <c r="Z350" s="494" t="s">
        <v>1427</v>
      </c>
      <c r="AA350" s="547" t="str">
        <f t="shared" ca="1" si="52"/>
        <v/>
      </c>
      <c r="AB350" s="494" t="s">
        <v>1428</v>
      </c>
      <c r="AC350" s="547" t="str">
        <f t="shared" ca="1" si="53"/>
        <v/>
      </c>
      <c r="AD350" s="557"/>
      <c r="AE350" s="958"/>
    </row>
    <row r="351" spans="1:31" ht="15" customHeight="1">
      <c r="A351" s="957">
        <v>97</v>
      </c>
      <c r="B351" s="566" t="s">
        <v>654</v>
      </c>
      <c r="C351" s="567" t="s">
        <v>1369</v>
      </c>
      <c r="D351" s="958">
        <v>1.1000000000000001</v>
      </c>
      <c r="E351" s="959" t="s">
        <v>713</v>
      </c>
      <c r="F351" s="558" t="s">
        <v>1392</v>
      </c>
      <c r="G351" s="558">
        <v>787</v>
      </c>
      <c r="H351" s="558">
        <v>21.2</v>
      </c>
      <c r="I351" s="559" t="s">
        <v>743</v>
      </c>
      <c r="J351" s="567" t="s">
        <v>1423</v>
      </c>
      <c r="K351" s="961" t="s">
        <v>1373</v>
      </c>
      <c r="L351" s="555" t="str">
        <f t="shared" ca="1" si="46"/>
        <v/>
      </c>
      <c r="M351" s="494" t="s">
        <v>1374</v>
      </c>
      <c r="N351" s="555" t="str">
        <f t="shared" ca="1" si="47"/>
        <v/>
      </c>
      <c r="O351" s="494" t="s">
        <v>1375</v>
      </c>
      <c r="P351" s="555" t="str">
        <f t="shared" ca="1" si="48"/>
        <v/>
      </c>
      <c r="Q351" s="494" t="s">
        <v>1424</v>
      </c>
      <c r="R351" s="494" t="str">
        <f t="shared" si="45"/>
        <v>H351</v>
      </c>
      <c r="S351" s="494" t="s">
        <v>1425</v>
      </c>
      <c r="T351" s="494">
        <v>6</v>
      </c>
      <c r="U351" s="556" t="str">
        <f t="shared" ca="1" si="49"/>
        <v/>
      </c>
      <c r="V351" s="494">
        <v>7</v>
      </c>
      <c r="W351" s="556" t="str">
        <f t="shared" ca="1" si="50"/>
        <v/>
      </c>
      <c r="X351" s="494" t="s">
        <v>1426</v>
      </c>
      <c r="Y351" s="547" t="str">
        <f t="shared" ca="1" si="51"/>
        <v/>
      </c>
      <c r="Z351" s="494" t="s">
        <v>1427</v>
      </c>
      <c r="AA351" s="547" t="str">
        <f t="shared" ca="1" si="52"/>
        <v/>
      </c>
      <c r="AB351" s="494" t="s">
        <v>1428</v>
      </c>
      <c r="AC351" s="547" t="str">
        <f t="shared" ca="1" si="53"/>
        <v/>
      </c>
      <c r="AD351" s="557"/>
      <c r="AE351" s="958"/>
    </row>
    <row r="352" spans="1:31" ht="15" customHeight="1">
      <c r="A352" s="957">
        <v>97</v>
      </c>
      <c r="B352" s="566" t="s">
        <v>654</v>
      </c>
      <c r="C352" s="567" t="s">
        <v>1369</v>
      </c>
      <c r="D352" s="958">
        <v>1.1000000000000001</v>
      </c>
      <c r="E352" s="959" t="s">
        <v>713</v>
      </c>
      <c r="F352" s="558" t="s">
        <v>1392</v>
      </c>
      <c r="G352" s="558">
        <v>788</v>
      </c>
      <c r="H352" s="558">
        <v>22.1</v>
      </c>
      <c r="I352" s="559" t="s">
        <v>746</v>
      </c>
      <c r="J352" s="567" t="s">
        <v>1423</v>
      </c>
      <c r="K352" s="961" t="s">
        <v>1373</v>
      </c>
      <c r="L352" s="555" t="str">
        <f t="shared" ca="1" si="46"/>
        <v/>
      </c>
      <c r="M352" s="494" t="s">
        <v>1374</v>
      </c>
      <c r="N352" s="555" t="str">
        <f t="shared" ca="1" si="47"/>
        <v/>
      </c>
      <c r="O352" s="494" t="s">
        <v>1375</v>
      </c>
      <c r="P352" s="555" t="str">
        <f t="shared" ca="1" si="48"/>
        <v/>
      </c>
      <c r="Q352" s="494" t="s">
        <v>1424</v>
      </c>
      <c r="R352" s="494" t="str">
        <f t="shared" si="45"/>
        <v>H352</v>
      </c>
      <c r="S352" s="494" t="s">
        <v>1425</v>
      </c>
      <c r="T352" s="494">
        <v>6</v>
      </c>
      <c r="U352" s="556" t="str">
        <f t="shared" ca="1" si="49"/>
        <v/>
      </c>
      <c r="V352" s="494">
        <v>7</v>
      </c>
      <c r="W352" s="556" t="str">
        <f t="shared" ca="1" si="50"/>
        <v/>
      </c>
      <c r="X352" s="494" t="s">
        <v>1426</v>
      </c>
      <c r="Y352" s="547" t="str">
        <f t="shared" ca="1" si="51"/>
        <v/>
      </c>
      <c r="Z352" s="494" t="s">
        <v>1427</v>
      </c>
      <c r="AA352" s="547" t="str">
        <f t="shared" ca="1" si="52"/>
        <v/>
      </c>
      <c r="AB352" s="494" t="s">
        <v>1428</v>
      </c>
      <c r="AC352" s="547" t="str">
        <f t="shared" ca="1" si="53"/>
        <v/>
      </c>
      <c r="AD352" s="557"/>
      <c r="AE352" s="958"/>
    </row>
    <row r="353" spans="1:31" ht="15" customHeight="1">
      <c r="A353" s="957">
        <v>97</v>
      </c>
      <c r="B353" s="566" t="s">
        <v>654</v>
      </c>
      <c r="C353" s="567" t="s">
        <v>1369</v>
      </c>
      <c r="D353" s="958">
        <v>1.1000000000000001</v>
      </c>
      <c r="E353" s="959" t="s">
        <v>713</v>
      </c>
      <c r="F353" s="558" t="s">
        <v>1392</v>
      </c>
      <c r="G353" s="558">
        <v>789</v>
      </c>
      <c r="H353" s="558">
        <v>22.2</v>
      </c>
      <c r="I353" s="559" t="s">
        <v>747</v>
      </c>
      <c r="J353" s="567" t="s">
        <v>1423</v>
      </c>
      <c r="K353" s="961" t="s">
        <v>1373</v>
      </c>
      <c r="L353" s="555" t="str">
        <f t="shared" ca="1" si="46"/>
        <v/>
      </c>
      <c r="M353" s="494" t="s">
        <v>1374</v>
      </c>
      <c r="N353" s="555" t="str">
        <f t="shared" ca="1" si="47"/>
        <v/>
      </c>
      <c r="O353" s="494" t="s">
        <v>1375</v>
      </c>
      <c r="P353" s="555" t="str">
        <f t="shared" ca="1" si="48"/>
        <v/>
      </c>
      <c r="Q353" s="494" t="s">
        <v>1424</v>
      </c>
      <c r="R353" s="494" t="str">
        <f t="shared" si="45"/>
        <v>H353</v>
      </c>
      <c r="S353" s="494" t="s">
        <v>1425</v>
      </c>
      <c r="T353" s="494">
        <v>6</v>
      </c>
      <c r="U353" s="556" t="str">
        <f t="shared" ca="1" si="49"/>
        <v/>
      </c>
      <c r="V353" s="494">
        <v>7</v>
      </c>
      <c r="W353" s="556" t="str">
        <f t="shared" ca="1" si="50"/>
        <v/>
      </c>
      <c r="X353" s="494" t="s">
        <v>1426</v>
      </c>
      <c r="Y353" s="547" t="str">
        <f t="shared" ca="1" si="51"/>
        <v/>
      </c>
      <c r="Z353" s="494" t="s">
        <v>1427</v>
      </c>
      <c r="AA353" s="547" t="str">
        <f t="shared" ca="1" si="52"/>
        <v/>
      </c>
      <c r="AB353" s="494" t="s">
        <v>1428</v>
      </c>
      <c r="AC353" s="547" t="str">
        <f t="shared" ca="1" si="53"/>
        <v/>
      </c>
      <c r="AD353" s="557"/>
      <c r="AE353" s="958"/>
    </row>
    <row r="354" spans="1:31" ht="15" customHeight="1">
      <c r="A354" s="957">
        <v>97</v>
      </c>
      <c r="B354" s="566" t="s">
        <v>654</v>
      </c>
      <c r="C354" s="567" t="s">
        <v>1369</v>
      </c>
      <c r="D354" s="958">
        <v>1.1000000000000001</v>
      </c>
      <c r="E354" s="959" t="s">
        <v>713</v>
      </c>
      <c r="F354" s="558" t="s">
        <v>1392</v>
      </c>
      <c r="G354" s="558">
        <v>781</v>
      </c>
      <c r="H354" s="558" t="s">
        <v>724</v>
      </c>
      <c r="I354" s="559" t="s">
        <v>725</v>
      </c>
      <c r="J354" s="567" t="s">
        <v>1423</v>
      </c>
      <c r="K354" s="961" t="s">
        <v>1373</v>
      </c>
      <c r="L354" s="555" t="str">
        <f t="shared" ca="1" si="46"/>
        <v/>
      </c>
      <c r="M354" s="494" t="s">
        <v>1374</v>
      </c>
      <c r="N354" s="555" t="str">
        <f t="shared" ca="1" si="47"/>
        <v/>
      </c>
      <c r="O354" s="494" t="s">
        <v>1375</v>
      </c>
      <c r="P354" s="555" t="str">
        <f t="shared" ca="1" si="48"/>
        <v/>
      </c>
      <c r="Q354" s="494" t="s">
        <v>1424</v>
      </c>
      <c r="R354" s="494" t="str">
        <f t="shared" si="45"/>
        <v>H354</v>
      </c>
      <c r="S354" s="494" t="s">
        <v>1425</v>
      </c>
      <c r="T354" s="494">
        <v>6</v>
      </c>
      <c r="U354" s="556" t="str">
        <f t="shared" ca="1" si="49"/>
        <v/>
      </c>
      <c r="V354" s="494">
        <v>7</v>
      </c>
      <c r="W354" s="556" t="str">
        <f t="shared" ca="1" si="50"/>
        <v/>
      </c>
      <c r="X354" s="494" t="s">
        <v>1426</v>
      </c>
      <c r="Y354" s="547" t="str">
        <f t="shared" ca="1" si="51"/>
        <v/>
      </c>
      <c r="Z354" s="494" t="s">
        <v>1427</v>
      </c>
      <c r="AA354" s="547" t="str">
        <f t="shared" ca="1" si="52"/>
        <v/>
      </c>
      <c r="AB354" s="494" t="s">
        <v>1428</v>
      </c>
      <c r="AC354" s="547" t="str">
        <f t="shared" ca="1" si="53"/>
        <v/>
      </c>
      <c r="AD354" s="557"/>
      <c r="AE354" s="958"/>
    </row>
    <row r="355" spans="1:31" ht="15" customHeight="1">
      <c r="A355" s="957">
        <v>97</v>
      </c>
      <c r="B355" s="566" t="s">
        <v>654</v>
      </c>
      <c r="C355" s="567" t="s">
        <v>1369</v>
      </c>
      <c r="D355" s="958">
        <v>1.1000000000000001</v>
      </c>
      <c r="E355" s="959" t="s">
        <v>713</v>
      </c>
      <c r="F355" s="558" t="s">
        <v>1392</v>
      </c>
      <c r="G355" s="558">
        <v>781</v>
      </c>
      <c r="H355" s="558" t="s">
        <v>726</v>
      </c>
      <c r="I355" s="559" t="s">
        <v>727</v>
      </c>
      <c r="J355" s="567" t="s">
        <v>1423</v>
      </c>
      <c r="K355" s="961" t="s">
        <v>1373</v>
      </c>
      <c r="L355" s="555" t="str">
        <f t="shared" ca="1" si="46"/>
        <v/>
      </c>
      <c r="M355" s="494" t="s">
        <v>1374</v>
      </c>
      <c r="N355" s="555" t="str">
        <f t="shared" ca="1" si="47"/>
        <v/>
      </c>
      <c r="O355" s="494" t="s">
        <v>1375</v>
      </c>
      <c r="P355" s="555" t="str">
        <f t="shared" ca="1" si="48"/>
        <v/>
      </c>
      <c r="Q355" s="494" t="s">
        <v>1424</v>
      </c>
      <c r="R355" s="494" t="str">
        <f t="shared" si="45"/>
        <v>H355</v>
      </c>
      <c r="S355" s="494" t="s">
        <v>1425</v>
      </c>
      <c r="T355" s="494">
        <v>6</v>
      </c>
      <c r="U355" s="556" t="str">
        <f t="shared" ca="1" si="49"/>
        <v/>
      </c>
      <c r="V355" s="494">
        <v>7</v>
      </c>
      <c r="W355" s="556" t="str">
        <f t="shared" ca="1" si="50"/>
        <v/>
      </c>
      <c r="X355" s="494" t="s">
        <v>1426</v>
      </c>
      <c r="Y355" s="547" t="str">
        <f t="shared" ca="1" si="51"/>
        <v/>
      </c>
      <c r="Z355" s="494" t="s">
        <v>1427</v>
      </c>
      <c r="AA355" s="547" t="str">
        <f t="shared" ca="1" si="52"/>
        <v/>
      </c>
      <c r="AB355" s="494" t="s">
        <v>1428</v>
      </c>
      <c r="AC355" s="547" t="str">
        <f t="shared" ca="1" si="53"/>
        <v/>
      </c>
      <c r="AD355" s="557"/>
      <c r="AE355" s="958"/>
    </row>
    <row r="356" spans="1:31" ht="15" customHeight="1">
      <c r="A356" s="957">
        <v>97</v>
      </c>
      <c r="B356" s="566" t="s">
        <v>654</v>
      </c>
      <c r="C356" s="567" t="s">
        <v>1369</v>
      </c>
      <c r="D356" s="958">
        <v>1.1000000000000001</v>
      </c>
      <c r="E356" s="959" t="s">
        <v>713</v>
      </c>
      <c r="F356" s="558" t="s">
        <v>1392</v>
      </c>
      <c r="G356" s="558">
        <v>781</v>
      </c>
      <c r="H356" s="558" t="s">
        <v>729</v>
      </c>
      <c r="I356" s="559" t="s">
        <v>730</v>
      </c>
      <c r="J356" s="567" t="s">
        <v>1423</v>
      </c>
      <c r="K356" s="961" t="s">
        <v>1373</v>
      </c>
      <c r="L356" s="555" t="str">
        <f t="shared" ca="1" si="46"/>
        <v/>
      </c>
      <c r="M356" s="494" t="s">
        <v>1374</v>
      </c>
      <c r="N356" s="555" t="str">
        <f t="shared" ca="1" si="47"/>
        <v/>
      </c>
      <c r="O356" s="494" t="s">
        <v>1375</v>
      </c>
      <c r="P356" s="555" t="str">
        <f t="shared" ca="1" si="48"/>
        <v/>
      </c>
      <c r="Q356" s="494" t="s">
        <v>1424</v>
      </c>
      <c r="R356" s="494" t="str">
        <f t="shared" si="45"/>
        <v>H356</v>
      </c>
      <c r="S356" s="494" t="s">
        <v>1425</v>
      </c>
      <c r="T356" s="494">
        <v>6</v>
      </c>
      <c r="U356" s="556" t="str">
        <f t="shared" ca="1" si="49"/>
        <v/>
      </c>
      <c r="V356" s="494">
        <v>7</v>
      </c>
      <c r="W356" s="556" t="str">
        <f t="shared" ca="1" si="50"/>
        <v/>
      </c>
      <c r="X356" s="494" t="s">
        <v>1426</v>
      </c>
      <c r="Y356" s="547" t="str">
        <f t="shared" ca="1" si="51"/>
        <v/>
      </c>
      <c r="Z356" s="494" t="s">
        <v>1427</v>
      </c>
      <c r="AA356" s="547" t="str">
        <f t="shared" ca="1" si="52"/>
        <v/>
      </c>
      <c r="AB356" s="494" t="s">
        <v>1428</v>
      </c>
      <c r="AC356" s="547" t="str">
        <f t="shared" ca="1" si="53"/>
        <v/>
      </c>
      <c r="AD356" s="557"/>
      <c r="AE356" s="958"/>
    </row>
    <row r="357" spans="1:31" ht="15" customHeight="1">
      <c r="A357" s="957">
        <v>97</v>
      </c>
      <c r="B357" s="566" t="s">
        <v>654</v>
      </c>
      <c r="C357" s="567" t="s">
        <v>1369</v>
      </c>
      <c r="D357" s="958">
        <v>1.1000000000000001</v>
      </c>
      <c r="E357" s="959" t="s">
        <v>713</v>
      </c>
      <c r="F357" s="558" t="s">
        <v>1392</v>
      </c>
      <c r="G357" s="558">
        <v>790</v>
      </c>
      <c r="H357" s="558" t="s">
        <v>750</v>
      </c>
      <c r="I357" s="559" t="s">
        <v>751</v>
      </c>
      <c r="J357" s="567" t="s">
        <v>1423</v>
      </c>
      <c r="K357" s="961" t="s">
        <v>1373</v>
      </c>
      <c r="L357" s="555" t="str">
        <f t="shared" ca="1" si="46"/>
        <v/>
      </c>
      <c r="M357" s="494" t="s">
        <v>1374</v>
      </c>
      <c r="N357" s="555" t="str">
        <f t="shared" ca="1" si="47"/>
        <v/>
      </c>
      <c r="O357" s="494" t="s">
        <v>1375</v>
      </c>
      <c r="P357" s="555" t="str">
        <f t="shared" ca="1" si="48"/>
        <v/>
      </c>
      <c r="Q357" s="494" t="s">
        <v>1424</v>
      </c>
      <c r="R357" s="494" t="str">
        <f t="shared" si="45"/>
        <v>H357</v>
      </c>
      <c r="S357" s="494" t="s">
        <v>1425</v>
      </c>
      <c r="T357" s="494">
        <v>6</v>
      </c>
      <c r="U357" s="556" t="str">
        <f t="shared" ca="1" si="49"/>
        <v/>
      </c>
      <c r="V357" s="494">
        <v>7</v>
      </c>
      <c r="W357" s="556" t="str">
        <f t="shared" ca="1" si="50"/>
        <v/>
      </c>
      <c r="X357" s="494" t="s">
        <v>1426</v>
      </c>
      <c r="Y357" s="547" t="str">
        <f t="shared" ca="1" si="51"/>
        <v/>
      </c>
      <c r="Z357" s="494" t="s">
        <v>1427</v>
      </c>
      <c r="AA357" s="547" t="str">
        <f t="shared" ca="1" si="52"/>
        <v/>
      </c>
      <c r="AB357" s="494" t="s">
        <v>1428</v>
      </c>
      <c r="AC357" s="547" t="str">
        <f t="shared" ca="1" si="53"/>
        <v/>
      </c>
      <c r="AD357" s="557"/>
      <c r="AE357" s="958"/>
    </row>
    <row r="358" spans="1:31" ht="15" customHeight="1">
      <c r="A358" s="957">
        <v>97</v>
      </c>
      <c r="B358" s="566" t="s">
        <v>654</v>
      </c>
      <c r="C358" s="567" t="s">
        <v>1369</v>
      </c>
      <c r="D358" s="958">
        <v>1.1000000000000001</v>
      </c>
      <c r="E358" s="959" t="s">
        <v>713</v>
      </c>
      <c r="F358" s="558" t="s">
        <v>1392</v>
      </c>
      <c r="G358" s="558">
        <v>790</v>
      </c>
      <c r="H358" s="558" t="s">
        <v>752</v>
      </c>
      <c r="I358" s="559" t="s">
        <v>749</v>
      </c>
      <c r="J358" s="567" t="s">
        <v>1423</v>
      </c>
      <c r="K358" s="961" t="s">
        <v>1373</v>
      </c>
      <c r="L358" s="555" t="str">
        <f t="shared" ca="1" si="46"/>
        <v/>
      </c>
      <c r="M358" s="494" t="s">
        <v>1374</v>
      </c>
      <c r="N358" s="555" t="str">
        <f t="shared" ca="1" si="47"/>
        <v/>
      </c>
      <c r="O358" s="494" t="s">
        <v>1375</v>
      </c>
      <c r="P358" s="555" t="str">
        <f t="shared" ca="1" si="48"/>
        <v/>
      </c>
      <c r="Q358" s="494" t="s">
        <v>1424</v>
      </c>
      <c r="R358" s="494" t="str">
        <f t="shared" si="45"/>
        <v>H358</v>
      </c>
      <c r="S358" s="494" t="s">
        <v>1425</v>
      </c>
      <c r="T358" s="494">
        <v>6</v>
      </c>
      <c r="U358" s="556" t="str">
        <f t="shared" ca="1" si="49"/>
        <v/>
      </c>
      <c r="V358" s="494">
        <v>7</v>
      </c>
      <c r="W358" s="556" t="str">
        <f t="shared" ca="1" si="50"/>
        <v/>
      </c>
      <c r="X358" s="494" t="s">
        <v>1426</v>
      </c>
      <c r="Y358" s="547" t="str">
        <f t="shared" ca="1" si="51"/>
        <v/>
      </c>
      <c r="Z358" s="494" t="s">
        <v>1427</v>
      </c>
      <c r="AA358" s="547" t="str">
        <f t="shared" ca="1" si="52"/>
        <v/>
      </c>
      <c r="AB358" s="494" t="s">
        <v>1428</v>
      </c>
      <c r="AC358" s="547" t="str">
        <f t="shared" ca="1" si="53"/>
        <v/>
      </c>
      <c r="AD358" s="557"/>
      <c r="AE358" s="958"/>
    </row>
    <row r="359" spans="1:31" ht="15" customHeight="1">
      <c r="A359" s="957">
        <v>97</v>
      </c>
      <c r="B359" s="566" t="s">
        <v>654</v>
      </c>
      <c r="C359" s="567" t="s">
        <v>1369</v>
      </c>
      <c r="D359" s="958">
        <v>1.1000000000000001</v>
      </c>
      <c r="E359" s="959" t="s">
        <v>713</v>
      </c>
      <c r="F359" s="558" t="s">
        <v>1392</v>
      </c>
      <c r="G359" s="558">
        <v>790</v>
      </c>
      <c r="H359" s="558" t="s">
        <v>753</v>
      </c>
      <c r="I359" s="559" t="s">
        <v>754</v>
      </c>
      <c r="J359" s="567" t="s">
        <v>1423</v>
      </c>
      <c r="K359" s="961" t="s">
        <v>1373</v>
      </c>
      <c r="L359" s="555" t="str">
        <f t="shared" ca="1" si="46"/>
        <v/>
      </c>
      <c r="M359" s="494" t="s">
        <v>1374</v>
      </c>
      <c r="N359" s="555" t="str">
        <f t="shared" ca="1" si="47"/>
        <v/>
      </c>
      <c r="O359" s="494" t="s">
        <v>1375</v>
      </c>
      <c r="P359" s="555" t="str">
        <f t="shared" ca="1" si="48"/>
        <v/>
      </c>
      <c r="Q359" s="494" t="s">
        <v>1424</v>
      </c>
      <c r="R359" s="494" t="str">
        <f t="shared" si="45"/>
        <v>H359</v>
      </c>
      <c r="S359" s="494" t="s">
        <v>1425</v>
      </c>
      <c r="T359" s="494">
        <v>6</v>
      </c>
      <c r="U359" s="556" t="str">
        <f t="shared" ca="1" si="49"/>
        <v/>
      </c>
      <c r="V359" s="494">
        <v>7</v>
      </c>
      <c r="W359" s="556" t="str">
        <f t="shared" ca="1" si="50"/>
        <v/>
      </c>
      <c r="X359" s="494" t="s">
        <v>1426</v>
      </c>
      <c r="Y359" s="547" t="str">
        <f t="shared" ca="1" si="51"/>
        <v/>
      </c>
      <c r="Z359" s="494" t="s">
        <v>1427</v>
      </c>
      <c r="AA359" s="547" t="str">
        <f t="shared" ca="1" si="52"/>
        <v/>
      </c>
      <c r="AB359" s="494" t="s">
        <v>1428</v>
      </c>
      <c r="AC359" s="547" t="str">
        <f t="shared" ca="1" si="53"/>
        <v/>
      </c>
      <c r="AD359" s="557"/>
      <c r="AE359" s="958"/>
    </row>
    <row r="360" spans="1:31" ht="15" customHeight="1">
      <c r="A360" s="957">
        <v>97</v>
      </c>
      <c r="B360" s="566" t="s">
        <v>654</v>
      </c>
      <c r="C360" s="567" t="s">
        <v>1369</v>
      </c>
      <c r="D360" s="958">
        <v>1.1000000000000001</v>
      </c>
      <c r="E360" s="959" t="s">
        <v>755</v>
      </c>
      <c r="F360" s="558" t="s">
        <v>1399</v>
      </c>
      <c r="G360" s="558">
        <v>795</v>
      </c>
      <c r="H360" s="558">
        <v>28</v>
      </c>
      <c r="I360" s="559" t="s">
        <v>338</v>
      </c>
      <c r="J360" s="567" t="s">
        <v>1423</v>
      </c>
      <c r="K360" s="961" t="s">
        <v>1373</v>
      </c>
      <c r="L360" s="555" t="str">
        <f t="shared" ca="1" si="46"/>
        <v/>
      </c>
      <c r="M360" s="494" t="s">
        <v>1374</v>
      </c>
      <c r="N360" s="555" t="str">
        <f t="shared" ca="1" si="47"/>
        <v/>
      </c>
      <c r="O360" s="494" t="s">
        <v>1375</v>
      </c>
      <c r="P360" s="555" t="str">
        <f t="shared" ca="1" si="48"/>
        <v/>
      </c>
      <c r="Q360" s="494" t="s">
        <v>1424</v>
      </c>
      <c r="R360" s="494" t="str">
        <f t="shared" si="45"/>
        <v>H360</v>
      </c>
      <c r="S360" s="494" t="s">
        <v>1425</v>
      </c>
      <c r="T360" s="494">
        <v>6</v>
      </c>
      <c r="U360" s="556" t="str">
        <f t="shared" ca="1" si="49"/>
        <v/>
      </c>
      <c r="V360" s="494">
        <v>7</v>
      </c>
      <c r="W360" s="556" t="str">
        <f t="shared" ca="1" si="50"/>
        <v/>
      </c>
      <c r="X360" s="494" t="s">
        <v>1426</v>
      </c>
      <c r="Y360" s="547" t="str">
        <f t="shared" ca="1" si="51"/>
        <v/>
      </c>
      <c r="Z360" s="494" t="s">
        <v>1427</v>
      </c>
      <c r="AA360" s="547" t="str">
        <f t="shared" ca="1" si="52"/>
        <v/>
      </c>
      <c r="AB360" s="494" t="s">
        <v>1428</v>
      </c>
      <c r="AC360" s="547" t="str">
        <f t="shared" ca="1" si="53"/>
        <v/>
      </c>
      <c r="AD360" s="557"/>
      <c r="AE360" s="958"/>
    </row>
    <row r="361" spans="1:31" ht="15" customHeight="1">
      <c r="A361" s="957">
        <v>97</v>
      </c>
      <c r="B361" s="566" t="s">
        <v>654</v>
      </c>
      <c r="C361" s="567" t="s">
        <v>1369</v>
      </c>
      <c r="D361" s="958">
        <v>1.1000000000000001</v>
      </c>
      <c r="E361" s="959" t="s">
        <v>755</v>
      </c>
      <c r="F361" s="558" t="s">
        <v>1399</v>
      </c>
      <c r="G361" s="558">
        <v>796</v>
      </c>
      <c r="H361" s="558">
        <v>28.1</v>
      </c>
      <c r="I361" s="559" t="s">
        <v>780</v>
      </c>
      <c r="J361" s="567" t="s">
        <v>1423</v>
      </c>
      <c r="K361" s="961" t="s">
        <v>1373</v>
      </c>
      <c r="L361" s="555" t="str">
        <f t="shared" ca="1" si="46"/>
        <v/>
      </c>
      <c r="M361" s="494" t="s">
        <v>1374</v>
      </c>
      <c r="N361" s="555" t="str">
        <f t="shared" ca="1" si="47"/>
        <v/>
      </c>
      <c r="O361" s="494" t="s">
        <v>1375</v>
      </c>
      <c r="P361" s="555" t="str">
        <f t="shared" ca="1" si="48"/>
        <v/>
      </c>
      <c r="Q361" s="494" t="s">
        <v>1424</v>
      </c>
      <c r="R361" s="494" t="str">
        <f t="shared" ref="R361:R383" si="54">CONCATENATE("H",ROW(J361))</f>
        <v>H361</v>
      </c>
      <c r="S361" s="494" t="s">
        <v>1425</v>
      </c>
      <c r="T361" s="494">
        <v>6</v>
      </c>
      <c r="U361" s="556" t="str">
        <f t="shared" ca="1" si="49"/>
        <v/>
      </c>
      <c r="V361" s="494">
        <v>7</v>
      </c>
      <c r="W361" s="556" t="str">
        <f t="shared" ca="1" si="50"/>
        <v/>
      </c>
      <c r="X361" s="494" t="s">
        <v>1426</v>
      </c>
      <c r="Y361" s="547" t="str">
        <f t="shared" ca="1" si="51"/>
        <v/>
      </c>
      <c r="Z361" s="494" t="s">
        <v>1427</v>
      </c>
      <c r="AA361" s="547" t="str">
        <f t="shared" ca="1" si="52"/>
        <v/>
      </c>
      <c r="AB361" s="494" t="s">
        <v>1428</v>
      </c>
      <c r="AC361" s="547" t="str">
        <f t="shared" ca="1" si="53"/>
        <v/>
      </c>
      <c r="AD361" s="557"/>
      <c r="AE361" s="958"/>
    </row>
    <row r="362" spans="1:31" ht="15" customHeight="1">
      <c r="A362" s="957">
        <v>97</v>
      </c>
      <c r="B362" s="566" t="s">
        <v>654</v>
      </c>
      <c r="C362" s="567" t="s">
        <v>1369</v>
      </c>
      <c r="D362" s="958">
        <v>1.1000000000000001</v>
      </c>
      <c r="E362" s="959" t="s">
        <v>755</v>
      </c>
      <c r="F362" s="558" t="s">
        <v>1399</v>
      </c>
      <c r="G362" s="558">
        <v>797</v>
      </c>
      <c r="H362" s="558">
        <v>28.2</v>
      </c>
      <c r="I362" s="559" t="s">
        <v>781</v>
      </c>
      <c r="J362" s="567" t="s">
        <v>1423</v>
      </c>
      <c r="K362" s="961" t="s">
        <v>1373</v>
      </c>
      <c r="L362" s="555" t="str">
        <f t="shared" ca="1" si="46"/>
        <v/>
      </c>
      <c r="M362" s="494" t="s">
        <v>1374</v>
      </c>
      <c r="N362" s="555" t="str">
        <f t="shared" ca="1" si="47"/>
        <v/>
      </c>
      <c r="O362" s="494" t="s">
        <v>1375</v>
      </c>
      <c r="P362" s="555" t="str">
        <f t="shared" ca="1" si="48"/>
        <v/>
      </c>
      <c r="Q362" s="494" t="s">
        <v>1424</v>
      </c>
      <c r="R362" s="494" t="str">
        <f t="shared" si="54"/>
        <v>H362</v>
      </c>
      <c r="S362" s="494" t="s">
        <v>1425</v>
      </c>
      <c r="T362" s="494">
        <v>6</v>
      </c>
      <c r="U362" s="556" t="str">
        <f t="shared" ca="1" si="49"/>
        <v/>
      </c>
      <c r="V362" s="494">
        <v>7</v>
      </c>
      <c r="W362" s="556" t="str">
        <f t="shared" ca="1" si="50"/>
        <v/>
      </c>
      <c r="X362" s="494" t="s">
        <v>1426</v>
      </c>
      <c r="Y362" s="547" t="str">
        <f t="shared" ca="1" si="51"/>
        <v/>
      </c>
      <c r="Z362" s="494" t="s">
        <v>1427</v>
      </c>
      <c r="AA362" s="547" t="str">
        <f t="shared" ca="1" si="52"/>
        <v/>
      </c>
      <c r="AB362" s="494" t="s">
        <v>1428</v>
      </c>
      <c r="AC362" s="547" t="str">
        <f t="shared" ca="1" si="53"/>
        <v/>
      </c>
      <c r="AD362" s="557"/>
      <c r="AE362" s="958"/>
    </row>
    <row r="363" spans="1:31" ht="15" customHeight="1">
      <c r="A363" s="957">
        <v>97</v>
      </c>
      <c r="B363" s="566" t="s">
        <v>654</v>
      </c>
      <c r="C363" s="567" t="s">
        <v>1369</v>
      </c>
      <c r="D363" s="958">
        <v>1.1000000000000001</v>
      </c>
      <c r="E363" s="959" t="s">
        <v>755</v>
      </c>
      <c r="F363" s="558" t="s">
        <v>1399</v>
      </c>
      <c r="G363" s="558">
        <v>798</v>
      </c>
      <c r="H363" s="558">
        <v>29.1</v>
      </c>
      <c r="I363" s="559" t="s">
        <v>783</v>
      </c>
      <c r="J363" s="567" t="s">
        <v>1423</v>
      </c>
      <c r="K363" s="961" t="s">
        <v>1373</v>
      </c>
      <c r="L363" s="555" t="str">
        <f t="shared" ca="1" si="46"/>
        <v/>
      </c>
      <c r="M363" s="494" t="s">
        <v>1374</v>
      </c>
      <c r="N363" s="555" t="str">
        <f t="shared" ca="1" si="47"/>
        <v/>
      </c>
      <c r="O363" s="494" t="s">
        <v>1375</v>
      </c>
      <c r="P363" s="555" t="str">
        <f t="shared" ca="1" si="48"/>
        <v/>
      </c>
      <c r="Q363" s="494" t="s">
        <v>1424</v>
      </c>
      <c r="R363" s="494" t="str">
        <f t="shared" si="54"/>
        <v>H363</v>
      </c>
      <c r="S363" s="494" t="s">
        <v>1425</v>
      </c>
      <c r="T363" s="494">
        <v>6</v>
      </c>
      <c r="U363" s="556" t="str">
        <f t="shared" ca="1" si="49"/>
        <v/>
      </c>
      <c r="V363" s="494">
        <v>7</v>
      </c>
      <c r="W363" s="556" t="str">
        <f t="shared" ca="1" si="50"/>
        <v/>
      </c>
      <c r="X363" s="494" t="s">
        <v>1426</v>
      </c>
      <c r="Y363" s="547" t="str">
        <f t="shared" ca="1" si="51"/>
        <v/>
      </c>
      <c r="Z363" s="494" t="s">
        <v>1427</v>
      </c>
      <c r="AA363" s="547" t="str">
        <f t="shared" ca="1" si="52"/>
        <v/>
      </c>
      <c r="AB363" s="494" t="s">
        <v>1428</v>
      </c>
      <c r="AC363" s="547" t="str">
        <f t="shared" ca="1" si="53"/>
        <v/>
      </c>
      <c r="AD363" s="557"/>
      <c r="AE363" s="958"/>
    </row>
    <row r="364" spans="1:31" ht="15" customHeight="1">
      <c r="A364" s="957">
        <v>97</v>
      </c>
      <c r="B364" s="566" t="s">
        <v>654</v>
      </c>
      <c r="C364" s="567" t="s">
        <v>1369</v>
      </c>
      <c r="D364" s="958">
        <v>1.1000000000000001</v>
      </c>
      <c r="E364" s="959" t="s">
        <v>755</v>
      </c>
      <c r="F364" s="558" t="s">
        <v>1399</v>
      </c>
      <c r="G364" s="558">
        <v>799</v>
      </c>
      <c r="H364" s="558">
        <v>29.2</v>
      </c>
      <c r="I364" s="559" t="s">
        <v>784</v>
      </c>
      <c r="J364" s="567" t="s">
        <v>1423</v>
      </c>
      <c r="K364" s="961" t="s">
        <v>1373</v>
      </c>
      <c r="L364" s="555" t="str">
        <f t="shared" ca="1" si="46"/>
        <v/>
      </c>
      <c r="M364" s="494" t="s">
        <v>1374</v>
      </c>
      <c r="N364" s="555" t="str">
        <f t="shared" ca="1" si="47"/>
        <v/>
      </c>
      <c r="O364" s="494" t="s">
        <v>1375</v>
      </c>
      <c r="P364" s="555" t="str">
        <f t="shared" ca="1" si="48"/>
        <v/>
      </c>
      <c r="Q364" s="494" t="s">
        <v>1424</v>
      </c>
      <c r="R364" s="494" t="str">
        <f t="shared" si="54"/>
        <v>H364</v>
      </c>
      <c r="S364" s="494" t="s">
        <v>1425</v>
      </c>
      <c r="T364" s="494">
        <v>6</v>
      </c>
      <c r="U364" s="556" t="str">
        <f t="shared" ca="1" si="49"/>
        <v/>
      </c>
      <c r="V364" s="494">
        <v>7</v>
      </c>
      <c r="W364" s="556" t="str">
        <f t="shared" ca="1" si="50"/>
        <v/>
      </c>
      <c r="X364" s="494" t="s">
        <v>1426</v>
      </c>
      <c r="Y364" s="547" t="str">
        <f t="shared" ca="1" si="51"/>
        <v/>
      </c>
      <c r="Z364" s="494" t="s">
        <v>1427</v>
      </c>
      <c r="AA364" s="547" t="str">
        <f t="shared" ca="1" si="52"/>
        <v/>
      </c>
      <c r="AB364" s="494" t="s">
        <v>1428</v>
      </c>
      <c r="AC364" s="547" t="str">
        <f t="shared" ca="1" si="53"/>
        <v/>
      </c>
      <c r="AD364" s="557"/>
      <c r="AE364" s="958"/>
    </row>
    <row r="365" spans="1:31" ht="15" customHeight="1">
      <c r="A365" s="957">
        <v>97</v>
      </c>
      <c r="B365" s="566" t="s">
        <v>654</v>
      </c>
      <c r="C365" s="567" t="s">
        <v>1369</v>
      </c>
      <c r="D365" s="958">
        <v>1.1000000000000001</v>
      </c>
      <c r="E365" s="959" t="s">
        <v>755</v>
      </c>
      <c r="F365" s="558" t="s">
        <v>1399</v>
      </c>
      <c r="G365" s="558">
        <v>800</v>
      </c>
      <c r="H365" s="558">
        <v>30.1</v>
      </c>
      <c r="I365" s="559" t="s">
        <v>787</v>
      </c>
      <c r="J365" s="567" t="s">
        <v>1423</v>
      </c>
      <c r="K365" s="961" t="s">
        <v>1373</v>
      </c>
      <c r="L365" s="555" t="str">
        <f t="shared" ca="1" si="46"/>
        <v/>
      </c>
      <c r="M365" s="494" t="s">
        <v>1374</v>
      </c>
      <c r="N365" s="555" t="str">
        <f t="shared" ca="1" si="47"/>
        <v/>
      </c>
      <c r="O365" s="494" t="s">
        <v>1375</v>
      </c>
      <c r="P365" s="555" t="str">
        <f t="shared" ca="1" si="48"/>
        <v/>
      </c>
      <c r="Q365" s="494" t="s">
        <v>1424</v>
      </c>
      <c r="R365" s="494" t="str">
        <f t="shared" si="54"/>
        <v>H365</v>
      </c>
      <c r="S365" s="494" t="s">
        <v>1425</v>
      </c>
      <c r="T365" s="494">
        <v>6</v>
      </c>
      <c r="U365" s="556" t="str">
        <f t="shared" ca="1" si="49"/>
        <v/>
      </c>
      <c r="V365" s="494">
        <v>7</v>
      </c>
      <c r="W365" s="556" t="str">
        <f t="shared" ca="1" si="50"/>
        <v/>
      </c>
      <c r="X365" s="494" t="s">
        <v>1426</v>
      </c>
      <c r="Y365" s="547" t="str">
        <f t="shared" ca="1" si="51"/>
        <v/>
      </c>
      <c r="Z365" s="494" t="s">
        <v>1427</v>
      </c>
      <c r="AA365" s="547" t="str">
        <f t="shared" ca="1" si="52"/>
        <v/>
      </c>
      <c r="AB365" s="494" t="s">
        <v>1428</v>
      </c>
      <c r="AC365" s="547" t="str">
        <f t="shared" ca="1" si="53"/>
        <v/>
      </c>
      <c r="AD365" s="557"/>
      <c r="AE365" s="958"/>
    </row>
    <row r="366" spans="1:31" ht="15" customHeight="1">
      <c r="A366" s="957">
        <v>97</v>
      </c>
      <c r="B366" s="566" t="s">
        <v>654</v>
      </c>
      <c r="C366" s="567" t="s">
        <v>1369</v>
      </c>
      <c r="D366" s="958">
        <v>1.1000000000000001</v>
      </c>
      <c r="E366" s="959" t="s">
        <v>755</v>
      </c>
      <c r="F366" s="558" t="s">
        <v>1399</v>
      </c>
      <c r="G366" s="558">
        <v>801</v>
      </c>
      <c r="H366" s="558">
        <v>30.2</v>
      </c>
      <c r="I366" s="559" t="s">
        <v>300</v>
      </c>
      <c r="J366" s="567" t="s">
        <v>1423</v>
      </c>
      <c r="K366" s="961" t="s">
        <v>1373</v>
      </c>
      <c r="L366" s="555" t="str">
        <f t="shared" ca="1" si="46"/>
        <v/>
      </c>
      <c r="M366" s="494" t="s">
        <v>1374</v>
      </c>
      <c r="N366" s="555" t="str">
        <f t="shared" ca="1" si="47"/>
        <v/>
      </c>
      <c r="O366" s="494" t="s">
        <v>1375</v>
      </c>
      <c r="P366" s="555" t="str">
        <f t="shared" ca="1" si="48"/>
        <v/>
      </c>
      <c r="Q366" s="494" t="s">
        <v>1424</v>
      </c>
      <c r="R366" s="494" t="str">
        <f t="shared" si="54"/>
        <v>H366</v>
      </c>
      <c r="S366" s="494" t="s">
        <v>1425</v>
      </c>
      <c r="T366" s="494">
        <v>6</v>
      </c>
      <c r="U366" s="556" t="str">
        <f t="shared" ca="1" si="49"/>
        <v/>
      </c>
      <c r="V366" s="494">
        <v>7</v>
      </c>
      <c r="W366" s="556" t="str">
        <f t="shared" ca="1" si="50"/>
        <v/>
      </c>
      <c r="X366" s="494" t="s">
        <v>1426</v>
      </c>
      <c r="Y366" s="547" t="str">
        <f t="shared" ca="1" si="51"/>
        <v/>
      </c>
      <c r="Z366" s="494" t="s">
        <v>1427</v>
      </c>
      <c r="AA366" s="547" t="str">
        <f t="shared" ca="1" si="52"/>
        <v/>
      </c>
      <c r="AB366" s="494" t="s">
        <v>1428</v>
      </c>
      <c r="AC366" s="547" t="str">
        <f t="shared" ca="1" si="53"/>
        <v/>
      </c>
      <c r="AD366" s="557"/>
      <c r="AE366" s="958"/>
    </row>
    <row r="367" spans="1:31" ht="15" customHeight="1">
      <c r="A367" s="957">
        <v>97</v>
      </c>
      <c r="B367" s="566" t="s">
        <v>654</v>
      </c>
      <c r="C367" s="567" t="s">
        <v>1369</v>
      </c>
      <c r="D367" s="958">
        <v>1.1000000000000001</v>
      </c>
      <c r="E367" s="959" t="s">
        <v>755</v>
      </c>
      <c r="F367" s="558" t="s">
        <v>1399</v>
      </c>
      <c r="G367" s="558">
        <v>802</v>
      </c>
      <c r="H367" s="558">
        <v>31.1</v>
      </c>
      <c r="I367" s="559" t="s">
        <v>515</v>
      </c>
      <c r="J367" s="567" t="s">
        <v>1423</v>
      </c>
      <c r="K367" s="961" t="s">
        <v>1373</v>
      </c>
      <c r="L367" s="555" t="str">
        <f t="shared" ca="1" si="46"/>
        <v/>
      </c>
      <c r="M367" s="494" t="s">
        <v>1374</v>
      </c>
      <c r="N367" s="555" t="str">
        <f t="shared" ca="1" si="47"/>
        <v/>
      </c>
      <c r="O367" s="494" t="s">
        <v>1375</v>
      </c>
      <c r="P367" s="555" t="str">
        <f t="shared" ca="1" si="48"/>
        <v/>
      </c>
      <c r="Q367" s="494" t="s">
        <v>1424</v>
      </c>
      <c r="R367" s="494" t="str">
        <f t="shared" si="54"/>
        <v>H367</v>
      </c>
      <c r="S367" s="494" t="s">
        <v>1425</v>
      </c>
      <c r="T367" s="494">
        <v>6</v>
      </c>
      <c r="U367" s="556" t="str">
        <f t="shared" ca="1" si="49"/>
        <v/>
      </c>
      <c r="V367" s="494">
        <v>7</v>
      </c>
      <c r="W367" s="556" t="str">
        <f t="shared" ca="1" si="50"/>
        <v/>
      </c>
      <c r="X367" s="494" t="s">
        <v>1426</v>
      </c>
      <c r="Y367" s="547" t="str">
        <f t="shared" ca="1" si="51"/>
        <v/>
      </c>
      <c r="Z367" s="494" t="s">
        <v>1427</v>
      </c>
      <c r="AA367" s="547" t="str">
        <f t="shared" ca="1" si="52"/>
        <v/>
      </c>
      <c r="AB367" s="494" t="s">
        <v>1428</v>
      </c>
      <c r="AC367" s="547" t="str">
        <f t="shared" ca="1" si="53"/>
        <v/>
      </c>
      <c r="AD367" s="557"/>
      <c r="AE367" s="958"/>
    </row>
    <row r="368" spans="1:31" ht="15" customHeight="1">
      <c r="A368" s="957">
        <v>97</v>
      </c>
      <c r="B368" s="566" t="s">
        <v>654</v>
      </c>
      <c r="C368" s="567" t="s">
        <v>1369</v>
      </c>
      <c r="D368" s="958">
        <v>1.1000000000000001</v>
      </c>
      <c r="E368" s="959" t="s">
        <v>755</v>
      </c>
      <c r="F368" s="558" t="s">
        <v>1399</v>
      </c>
      <c r="G368" s="558">
        <v>803</v>
      </c>
      <c r="H368" s="558">
        <v>32.1</v>
      </c>
      <c r="I368" s="559" t="s">
        <v>409</v>
      </c>
      <c r="J368" s="567" t="s">
        <v>1423</v>
      </c>
      <c r="K368" s="961" t="s">
        <v>1373</v>
      </c>
      <c r="L368" s="555" t="str">
        <f t="shared" ca="1" si="46"/>
        <v/>
      </c>
      <c r="M368" s="494" t="s">
        <v>1374</v>
      </c>
      <c r="N368" s="555" t="str">
        <f t="shared" ca="1" si="47"/>
        <v/>
      </c>
      <c r="O368" s="494" t="s">
        <v>1375</v>
      </c>
      <c r="P368" s="555" t="str">
        <f t="shared" ca="1" si="48"/>
        <v/>
      </c>
      <c r="Q368" s="494" t="s">
        <v>1424</v>
      </c>
      <c r="R368" s="494" t="str">
        <f t="shared" si="54"/>
        <v>H368</v>
      </c>
      <c r="S368" s="494" t="s">
        <v>1425</v>
      </c>
      <c r="T368" s="494">
        <v>6</v>
      </c>
      <c r="U368" s="556" t="str">
        <f t="shared" ca="1" si="49"/>
        <v/>
      </c>
      <c r="V368" s="494">
        <v>7</v>
      </c>
      <c r="W368" s="556" t="str">
        <f t="shared" ca="1" si="50"/>
        <v/>
      </c>
      <c r="X368" s="494" t="s">
        <v>1426</v>
      </c>
      <c r="Y368" s="547" t="str">
        <f t="shared" ca="1" si="51"/>
        <v/>
      </c>
      <c r="Z368" s="494" t="s">
        <v>1427</v>
      </c>
      <c r="AA368" s="547" t="str">
        <f t="shared" ca="1" si="52"/>
        <v/>
      </c>
      <c r="AB368" s="494" t="s">
        <v>1428</v>
      </c>
      <c r="AC368" s="547" t="str">
        <f t="shared" ca="1" si="53"/>
        <v/>
      </c>
      <c r="AD368" s="557"/>
      <c r="AE368" s="958"/>
    </row>
    <row r="369" spans="1:31" ht="15" customHeight="1">
      <c r="A369" s="957">
        <v>97</v>
      </c>
      <c r="B369" s="566" t="s">
        <v>654</v>
      </c>
      <c r="C369" s="567" t="s">
        <v>1369</v>
      </c>
      <c r="D369" s="958">
        <v>1.1000000000000001</v>
      </c>
      <c r="E369" s="959" t="s">
        <v>755</v>
      </c>
      <c r="F369" s="558" t="s">
        <v>1399</v>
      </c>
      <c r="G369" s="558">
        <v>791</v>
      </c>
      <c r="H369" s="558" t="s">
        <v>1439</v>
      </c>
      <c r="I369" s="559" t="s">
        <v>1440</v>
      </c>
      <c r="J369" s="567" t="s">
        <v>1423</v>
      </c>
      <c r="K369" s="961" t="s">
        <v>1373</v>
      </c>
      <c r="L369" s="555" t="str">
        <f t="shared" ca="1" si="46"/>
        <v/>
      </c>
      <c r="M369" s="494" t="s">
        <v>1374</v>
      </c>
      <c r="N369" s="555" t="str">
        <f t="shared" ca="1" si="47"/>
        <v/>
      </c>
      <c r="O369" s="494" t="s">
        <v>1375</v>
      </c>
      <c r="P369" s="555" t="str">
        <f t="shared" ca="1" si="48"/>
        <v/>
      </c>
      <c r="Q369" s="494" t="s">
        <v>1424</v>
      </c>
      <c r="R369" s="494" t="str">
        <f t="shared" si="54"/>
        <v>H369</v>
      </c>
      <c r="S369" s="494" t="s">
        <v>1425</v>
      </c>
      <c r="T369" s="494">
        <v>6</v>
      </c>
      <c r="U369" s="556" t="str">
        <f t="shared" ca="1" si="49"/>
        <v/>
      </c>
      <c r="V369" s="494">
        <v>7</v>
      </c>
      <c r="W369" s="556" t="str">
        <f t="shared" ca="1" si="50"/>
        <v/>
      </c>
      <c r="X369" s="494" t="s">
        <v>1426</v>
      </c>
      <c r="Y369" s="547" t="str">
        <f t="shared" ca="1" si="51"/>
        <v/>
      </c>
      <c r="Z369" s="494" t="s">
        <v>1427</v>
      </c>
      <c r="AA369" s="547" t="str">
        <f t="shared" ca="1" si="52"/>
        <v/>
      </c>
      <c r="AB369" s="494" t="s">
        <v>1428</v>
      </c>
      <c r="AC369" s="547" t="str">
        <f t="shared" ca="1" si="53"/>
        <v/>
      </c>
      <c r="AD369" s="557"/>
      <c r="AE369" s="958"/>
    </row>
    <row r="370" spans="1:31" ht="15" customHeight="1">
      <c r="A370" s="957">
        <v>97</v>
      </c>
      <c r="B370" s="566" t="s">
        <v>654</v>
      </c>
      <c r="C370" s="567" t="s">
        <v>1369</v>
      </c>
      <c r="D370" s="958">
        <v>1.1000000000000001</v>
      </c>
      <c r="E370" s="959" t="s">
        <v>755</v>
      </c>
      <c r="F370" s="558" t="s">
        <v>1399</v>
      </c>
      <c r="G370" s="558">
        <v>791</v>
      </c>
      <c r="H370" s="558" t="s">
        <v>1441</v>
      </c>
      <c r="I370" s="559" t="s">
        <v>757</v>
      </c>
      <c r="J370" s="567" t="s">
        <v>1423</v>
      </c>
      <c r="K370" s="961" t="s">
        <v>1373</v>
      </c>
      <c r="L370" s="555" t="str">
        <f t="shared" ca="1" si="46"/>
        <v/>
      </c>
      <c r="M370" s="494" t="s">
        <v>1374</v>
      </c>
      <c r="N370" s="555" t="str">
        <f t="shared" ca="1" si="47"/>
        <v/>
      </c>
      <c r="O370" s="494" t="s">
        <v>1375</v>
      </c>
      <c r="P370" s="555" t="str">
        <f t="shared" ca="1" si="48"/>
        <v/>
      </c>
      <c r="Q370" s="494" t="s">
        <v>1424</v>
      </c>
      <c r="R370" s="494" t="str">
        <f t="shared" si="54"/>
        <v>H370</v>
      </c>
      <c r="S370" s="494" t="s">
        <v>1425</v>
      </c>
      <c r="T370" s="494">
        <v>6</v>
      </c>
      <c r="U370" s="556" t="str">
        <f t="shared" ca="1" si="49"/>
        <v/>
      </c>
      <c r="V370" s="494">
        <v>7</v>
      </c>
      <c r="W370" s="556" t="str">
        <f t="shared" ca="1" si="50"/>
        <v/>
      </c>
      <c r="X370" s="494" t="s">
        <v>1426</v>
      </c>
      <c r="Y370" s="547" t="str">
        <f t="shared" ca="1" si="51"/>
        <v/>
      </c>
      <c r="Z370" s="494" t="s">
        <v>1427</v>
      </c>
      <c r="AA370" s="547" t="str">
        <f t="shared" ca="1" si="52"/>
        <v/>
      </c>
      <c r="AB370" s="494" t="s">
        <v>1428</v>
      </c>
      <c r="AC370" s="547" t="str">
        <f t="shared" ca="1" si="53"/>
        <v/>
      </c>
      <c r="AD370" s="557"/>
      <c r="AE370" s="958"/>
    </row>
    <row r="371" spans="1:31" ht="15" customHeight="1">
      <c r="A371" s="957">
        <v>97</v>
      </c>
      <c r="B371" s="566" t="s">
        <v>654</v>
      </c>
      <c r="C371" s="567" t="s">
        <v>1369</v>
      </c>
      <c r="D371" s="958">
        <v>1.1000000000000001</v>
      </c>
      <c r="E371" s="959" t="s">
        <v>755</v>
      </c>
      <c r="F371" s="558" t="s">
        <v>1399</v>
      </c>
      <c r="G371" s="558">
        <v>791</v>
      </c>
      <c r="H371" s="558" t="s">
        <v>1431</v>
      </c>
      <c r="I371" s="559" t="s">
        <v>1442</v>
      </c>
      <c r="J371" s="567" t="s">
        <v>1423</v>
      </c>
      <c r="K371" s="961" t="s">
        <v>1373</v>
      </c>
      <c r="L371" s="555" t="str">
        <f t="shared" ca="1" si="46"/>
        <v/>
      </c>
      <c r="M371" s="494" t="s">
        <v>1374</v>
      </c>
      <c r="N371" s="555" t="str">
        <f t="shared" ca="1" si="47"/>
        <v/>
      </c>
      <c r="O371" s="494" t="s">
        <v>1375</v>
      </c>
      <c r="P371" s="555" t="str">
        <f t="shared" ca="1" si="48"/>
        <v/>
      </c>
      <c r="Q371" s="494" t="s">
        <v>1424</v>
      </c>
      <c r="R371" s="494" t="str">
        <f t="shared" si="54"/>
        <v>H371</v>
      </c>
      <c r="S371" s="494" t="s">
        <v>1425</v>
      </c>
      <c r="T371" s="494">
        <v>6</v>
      </c>
      <c r="U371" s="556" t="str">
        <f t="shared" ca="1" si="49"/>
        <v/>
      </c>
      <c r="V371" s="494">
        <v>7</v>
      </c>
      <c r="W371" s="556" t="str">
        <f t="shared" ca="1" si="50"/>
        <v/>
      </c>
      <c r="X371" s="494" t="s">
        <v>1426</v>
      </c>
      <c r="Y371" s="547" t="str">
        <f t="shared" ca="1" si="51"/>
        <v/>
      </c>
      <c r="Z371" s="494" t="s">
        <v>1427</v>
      </c>
      <c r="AA371" s="547" t="str">
        <f t="shared" ca="1" si="52"/>
        <v/>
      </c>
      <c r="AB371" s="494" t="s">
        <v>1428</v>
      </c>
      <c r="AC371" s="547" t="str">
        <f t="shared" ca="1" si="53"/>
        <v/>
      </c>
      <c r="AD371" s="557"/>
      <c r="AE371" s="958"/>
    </row>
    <row r="372" spans="1:31" ht="15" customHeight="1">
      <c r="A372" s="957">
        <v>97</v>
      </c>
      <c r="B372" s="566" t="s">
        <v>654</v>
      </c>
      <c r="C372" s="567" t="s">
        <v>1369</v>
      </c>
      <c r="D372" s="958">
        <v>1.1000000000000001</v>
      </c>
      <c r="E372" s="959" t="s">
        <v>755</v>
      </c>
      <c r="F372" s="558" t="s">
        <v>1399</v>
      </c>
      <c r="G372" s="558">
        <v>791</v>
      </c>
      <c r="H372" s="558" t="s">
        <v>1433</v>
      </c>
      <c r="I372" s="559" t="s">
        <v>1434</v>
      </c>
      <c r="J372" s="567" t="s">
        <v>1423</v>
      </c>
      <c r="K372" s="961" t="s">
        <v>1373</v>
      </c>
      <c r="L372" s="555" t="str">
        <f t="shared" ca="1" si="46"/>
        <v/>
      </c>
      <c r="M372" s="494" t="s">
        <v>1374</v>
      </c>
      <c r="N372" s="555" t="str">
        <f t="shared" ca="1" si="47"/>
        <v/>
      </c>
      <c r="O372" s="494" t="s">
        <v>1375</v>
      </c>
      <c r="P372" s="555" t="str">
        <f t="shared" ca="1" si="48"/>
        <v/>
      </c>
      <c r="Q372" s="494" t="s">
        <v>1424</v>
      </c>
      <c r="R372" s="494" t="str">
        <f t="shared" si="54"/>
        <v>H372</v>
      </c>
      <c r="S372" s="494" t="s">
        <v>1425</v>
      </c>
      <c r="T372" s="494">
        <v>6</v>
      </c>
      <c r="U372" s="556" t="str">
        <f t="shared" ca="1" si="49"/>
        <v/>
      </c>
      <c r="V372" s="494">
        <v>7</v>
      </c>
      <c r="W372" s="556" t="str">
        <f t="shared" ca="1" si="50"/>
        <v/>
      </c>
      <c r="X372" s="494" t="s">
        <v>1426</v>
      </c>
      <c r="Y372" s="547" t="str">
        <f t="shared" ca="1" si="51"/>
        <v/>
      </c>
      <c r="Z372" s="494" t="s">
        <v>1427</v>
      </c>
      <c r="AA372" s="547" t="str">
        <f t="shared" ca="1" si="52"/>
        <v/>
      </c>
      <c r="AB372" s="494" t="s">
        <v>1428</v>
      </c>
      <c r="AC372" s="547" t="str">
        <f t="shared" ca="1" si="53"/>
        <v/>
      </c>
      <c r="AD372" s="557"/>
      <c r="AE372" s="958"/>
    </row>
    <row r="373" spans="1:31" ht="15" customHeight="1">
      <c r="A373" s="957">
        <v>97</v>
      </c>
      <c r="B373" s="566" t="s">
        <v>654</v>
      </c>
      <c r="C373" s="567" t="s">
        <v>1369</v>
      </c>
      <c r="D373" s="958">
        <v>1.1000000000000001</v>
      </c>
      <c r="E373" s="959" t="s">
        <v>755</v>
      </c>
      <c r="F373" s="558" t="s">
        <v>1399</v>
      </c>
      <c r="G373" s="558">
        <v>791</v>
      </c>
      <c r="H373" s="558" t="s">
        <v>1435</v>
      </c>
      <c r="I373" s="559" t="s">
        <v>407</v>
      </c>
      <c r="J373" s="567" t="s">
        <v>1423</v>
      </c>
      <c r="K373" s="961" t="s">
        <v>1373</v>
      </c>
      <c r="L373" s="555" t="str">
        <f t="shared" ca="1" si="46"/>
        <v/>
      </c>
      <c r="M373" s="494" t="s">
        <v>1374</v>
      </c>
      <c r="N373" s="555" t="str">
        <f t="shared" ca="1" si="47"/>
        <v/>
      </c>
      <c r="O373" s="494" t="s">
        <v>1375</v>
      </c>
      <c r="P373" s="555" t="str">
        <f t="shared" ca="1" si="48"/>
        <v/>
      </c>
      <c r="Q373" s="494" t="s">
        <v>1424</v>
      </c>
      <c r="R373" s="494" t="str">
        <f t="shared" si="54"/>
        <v>H373</v>
      </c>
      <c r="S373" s="494" t="s">
        <v>1425</v>
      </c>
      <c r="T373" s="494">
        <v>6</v>
      </c>
      <c r="U373" s="556" t="str">
        <f t="shared" ca="1" si="49"/>
        <v/>
      </c>
      <c r="V373" s="494">
        <v>7</v>
      </c>
      <c r="W373" s="556" t="str">
        <f t="shared" ca="1" si="50"/>
        <v/>
      </c>
      <c r="X373" s="494" t="s">
        <v>1426</v>
      </c>
      <c r="Y373" s="547" t="str">
        <f t="shared" ca="1" si="51"/>
        <v/>
      </c>
      <c r="Z373" s="494" t="s">
        <v>1427</v>
      </c>
      <c r="AA373" s="547" t="str">
        <f t="shared" ca="1" si="52"/>
        <v/>
      </c>
      <c r="AB373" s="494" t="s">
        <v>1428</v>
      </c>
      <c r="AC373" s="547" t="str">
        <f t="shared" ca="1" si="53"/>
        <v/>
      </c>
      <c r="AD373" s="557"/>
      <c r="AE373" s="958"/>
    </row>
    <row r="374" spans="1:31" ht="15" customHeight="1">
      <c r="A374" s="957">
        <v>97</v>
      </c>
      <c r="B374" s="566" t="s">
        <v>654</v>
      </c>
      <c r="C374" s="567" t="s">
        <v>1369</v>
      </c>
      <c r="D374" s="958">
        <v>1.1000000000000001</v>
      </c>
      <c r="E374" s="959" t="s">
        <v>755</v>
      </c>
      <c r="F374" s="558" t="s">
        <v>1399</v>
      </c>
      <c r="G374" s="558">
        <v>791</v>
      </c>
      <c r="H374" s="558" t="s">
        <v>1437</v>
      </c>
      <c r="I374" s="559" t="s">
        <v>759</v>
      </c>
      <c r="J374" s="567" t="s">
        <v>1423</v>
      </c>
      <c r="K374" s="961" t="s">
        <v>1373</v>
      </c>
      <c r="L374" s="555" t="str">
        <f t="shared" ca="1" si="46"/>
        <v/>
      </c>
      <c r="M374" s="494" t="s">
        <v>1374</v>
      </c>
      <c r="N374" s="555" t="str">
        <f t="shared" ca="1" si="47"/>
        <v/>
      </c>
      <c r="O374" s="494" t="s">
        <v>1375</v>
      </c>
      <c r="P374" s="555" t="str">
        <f t="shared" ca="1" si="48"/>
        <v/>
      </c>
      <c r="Q374" s="494" t="s">
        <v>1424</v>
      </c>
      <c r="R374" s="494" t="str">
        <f t="shared" si="54"/>
        <v>H374</v>
      </c>
      <c r="S374" s="494" t="s">
        <v>1425</v>
      </c>
      <c r="T374" s="494">
        <v>6</v>
      </c>
      <c r="U374" s="556" t="str">
        <f t="shared" ca="1" si="49"/>
        <v/>
      </c>
      <c r="V374" s="494">
        <v>7</v>
      </c>
      <c r="W374" s="556" t="str">
        <f t="shared" ca="1" si="50"/>
        <v/>
      </c>
      <c r="X374" s="494" t="s">
        <v>1426</v>
      </c>
      <c r="Y374" s="547" t="str">
        <f t="shared" ca="1" si="51"/>
        <v/>
      </c>
      <c r="Z374" s="494" t="s">
        <v>1427</v>
      </c>
      <c r="AA374" s="547" t="str">
        <f t="shared" ca="1" si="52"/>
        <v/>
      </c>
      <c r="AB374" s="494" t="s">
        <v>1428</v>
      </c>
      <c r="AC374" s="547" t="str">
        <f t="shared" ca="1" si="53"/>
        <v/>
      </c>
      <c r="AD374" s="557"/>
      <c r="AE374" s="958"/>
    </row>
    <row r="375" spans="1:31" ht="15" customHeight="1">
      <c r="A375" s="957">
        <v>97</v>
      </c>
      <c r="B375" s="566" t="s">
        <v>654</v>
      </c>
      <c r="C375" s="567" t="s">
        <v>1369</v>
      </c>
      <c r="D375" s="958">
        <v>1.1000000000000001</v>
      </c>
      <c r="E375" s="959" t="s">
        <v>755</v>
      </c>
      <c r="F375" s="558" t="s">
        <v>1399</v>
      </c>
      <c r="G375" s="558">
        <v>792</v>
      </c>
      <c r="H375" s="558" t="s">
        <v>762</v>
      </c>
      <c r="I375" s="559" t="s">
        <v>761</v>
      </c>
      <c r="J375" s="567" t="s">
        <v>1423</v>
      </c>
      <c r="K375" s="961" t="s">
        <v>1373</v>
      </c>
      <c r="L375" s="555" t="str">
        <f t="shared" ca="1" si="46"/>
        <v/>
      </c>
      <c r="M375" s="494" t="s">
        <v>1374</v>
      </c>
      <c r="N375" s="555" t="str">
        <f t="shared" ca="1" si="47"/>
        <v/>
      </c>
      <c r="O375" s="494" t="s">
        <v>1375</v>
      </c>
      <c r="P375" s="555" t="str">
        <f t="shared" ca="1" si="48"/>
        <v/>
      </c>
      <c r="Q375" s="494" t="s">
        <v>1424</v>
      </c>
      <c r="R375" s="494" t="str">
        <f t="shared" si="54"/>
        <v>H375</v>
      </c>
      <c r="S375" s="494" t="s">
        <v>1425</v>
      </c>
      <c r="T375" s="494">
        <v>6</v>
      </c>
      <c r="U375" s="556" t="str">
        <f t="shared" ca="1" si="49"/>
        <v/>
      </c>
      <c r="V375" s="494">
        <v>7</v>
      </c>
      <c r="W375" s="556" t="str">
        <f t="shared" ca="1" si="50"/>
        <v/>
      </c>
      <c r="X375" s="494" t="s">
        <v>1426</v>
      </c>
      <c r="Y375" s="547" t="str">
        <f t="shared" ca="1" si="51"/>
        <v/>
      </c>
      <c r="Z375" s="494" t="s">
        <v>1427</v>
      </c>
      <c r="AA375" s="547" t="str">
        <f t="shared" ca="1" si="52"/>
        <v/>
      </c>
      <c r="AB375" s="494" t="s">
        <v>1428</v>
      </c>
      <c r="AC375" s="547" t="str">
        <f t="shared" ca="1" si="53"/>
        <v/>
      </c>
      <c r="AD375" s="557"/>
      <c r="AE375" s="958"/>
    </row>
    <row r="376" spans="1:31" ht="15" customHeight="1">
      <c r="A376" s="957">
        <v>97</v>
      </c>
      <c r="B376" s="566" t="s">
        <v>654</v>
      </c>
      <c r="C376" s="567" t="s">
        <v>1369</v>
      </c>
      <c r="D376" s="958">
        <v>1.1000000000000001</v>
      </c>
      <c r="E376" s="959" t="s">
        <v>755</v>
      </c>
      <c r="F376" s="558" t="s">
        <v>1399</v>
      </c>
      <c r="G376" s="558">
        <v>792</v>
      </c>
      <c r="H376" s="558" t="s">
        <v>763</v>
      </c>
      <c r="I376" s="559" t="s">
        <v>764</v>
      </c>
      <c r="J376" s="567" t="s">
        <v>1423</v>
      </c>
      <c r="K376" s="961" t="s">
        <v>1373</v>
      </c>
      <c r="L376" s="555" t="str">
        <f t="shared" ca="1" si="46"/>
        <v/>
      </c>
      <c r="M376" s="494" t="s">
        <v>1374</v>
      </c>
      <c r="N376" s="555" t="str">
        <f t="shared" ca="1" si="47"/>
        <v/>
      </c>
      <c r="O376" s="494" t="s">
        <v>1375</v>
      </c>
      <c r="P376" s="555" t="str">
        <f t="shared" ca="1" si="48"/>
        <v/>
      </c>
      <c r="Q376" s="494" t="s">
        <v>1424</v>
      </c>
      <c r="R376" s="494" t="str">
        <f t="shared" si="54"/>
        <v>H376</v>
      </c>
      <c r="S376" s="494" t="s">
        <v>1425</v>
      </c>
      <c r="T376" s="494">
        <v>6</v>
      </c>
      <c r="U376" s="556" t="str">
        <f t="shared" ca="1" si="49"/>
        <v/>
      </c>
      <c r="V376" s="494">
        <v>7</v>
      </c>
      <c r="W376" s="556" t="str">
        <f t="shared" ca="1" si="50"/>
        <v/>
      </c>
      <c r="X376" s="494" t="s">
        <v>1426</v>
      </c>
      <c r="Y376" s="547" t="str">
        <f t="shared" ca="1" si="51"/>
        <v/>
      </c>
      <c r="Z376" s="494" t="s">
        <v>1427</v>
      </c>
      <c r="AA376" s="547" t="str">
        <f t="shared" ca="1" si="52"/>
        <v/>
      </c>
      <c r="AB376" s="494" t="s">
        <v>1428</v>
      </c>
      <c r="AC376" s="547" t="str">
        <f t="shared" ca="1" si="53"/>
        <v/>
      </c>
      <c r="AD376" s="557"/>
      <c r="AE376" s="958"/>
    </row>
    <row r="377" spans="1:31" ht="15" customHeight="1">
      <c r="A377" s="957">
        <v>97</v>
      </c>
      <c r="B377" s="566" t="s">
        <v>654</v>
      </c>
      <c r="C377" s="567" t="s">
        <v>1369</v>
      </c>
      <c r="D377" s="958">
        <v>1.1000000000000001</v>
      </c>
      <c r="E377" s="959" t="s">
        <v>755</v>
      </c>
      <c r="F377" s="558" t="s">
        <v>1399</v>
      </c>
      <c r="G377" s="558">
        <v>792</v>
      </c>
      <c r="H377" s="558" t="s">
        <v>766</v>
      </c>
      <c r="I377" s="559" t="s">
        <v>767</v>
      </c>
      <c r="J377" s="567" t="s">
        <v>1423</v>
      </c>
      <c r="K377" s="961" t="s">
        <v>1373</v>
      </c>
      <c r="L377" s="555" t="str">
        <f t="shared" ca="1" si="46"/>
        <v/>
      </c>
      <c r="M377" s="494" t="s">
        <v>1374</v>
      </c>
      <c r="N377" s="555" t="str">
        <f t="shared" ca="1" si="47"/>
        <v/>
      </c>
      <c r="O377" s="494" t="s">
        <v>1375</v>
      </c>
      <c r="P377" s="555" t="str">
        <f t="shared" ca="1" si="48"/>
        <v/>
      </c>
      <c r="Q377" s="494" t="s">
        <v>1424</v>
      </c>
      <c r="R377" s="494" t="str">
        <f t="shared" si="54"/>
        <v>H377</v>
      </c>
      <c r="S377" s="494" t="s">
        <v>1425</v>
      </c>
      <c r="T377" s="494">
        <v>6</v>
      </c>
      <c r="U377" s="556" t="str">
        <f t="shared" ca="1" si="49"/>
        <v/>
      </c>
      <c r="V377" s="494">
        <v>7</v>
      </c>
      <c r="W377" s="556" t="str">
        <f t="shared" ca="1" si="50"/>
        <v/>
      </c>
      <c r="X377" s="494" t="s">
        <v>1426</v>
      </c>
      <c r="Y377" s="547" t="str">
        <f t="shared" ca="1" si="51"/>
        <v/>
      </c>
      <c r="Z377" s="494" t="s">
        <v>1427</v>
      </c>
      <c r="AA377" s="547" t="str">
        <f t="shared" ca="1" si="52"/>
        <v/>
      </c>
      <c r="AB377" s="494" t="s">
        <v>1428</v>
      </c>
      <c r="AC377" s="547" t="str">
        <f t="shared" ca="1" si="53"/>
        <v/>
      </c>
      <c r="AD377" s="557"/>
      <c r="AE377" s="958"/>
    </row>
    <row r="378" spans="1:31" ht="15" customHeight="1">
      <c r="A378" s="957">
        <v>97</v>
      </c>
      <c r="B378" s="566" t="s">
        <v>654</v>
      </c>
      <c r="C378" s="567" t="s">
        <v>1369</v>
      </c>
      <c r="D378" s="958">
        <v>1.1000000000000001</v>
      </c>
      <c r="E378" s="959" t="s">
        <v>755</v>
      </c>
      <c r="F378" s="558" t="s">
        <v>1399</v>
      </c>
      <c r="G378" s="558">
        <v>792</v>
      </c>
      <c r="H378" s="558" t="s">
        <v>768</v>
      </c>
      <c r="I378" s="559" t="s">
        <v>769</v>
      </c>
      <c r="J378" s="567" t="s">
        <v>1423</v>
      </c>
      <c r="K378" s="961" t="s">
        <v>1373</v>
      </c>
      <c r="L378" s="555" t="str">
        <f t="shared" ca="1" si="46"/>
        <v/>
      </c>
      <c r="M378" s="494" t="s">
        <v>1374</v>
      </c>
      <c r="N378" s="555" t="str">
        <f t="shared" ca="1" si="47"/>
        <v/>
      </c>
      <c r="O378" s="494" t="s">
        <v>1375</v>
      </c>
      <c r="P378" s="555" t="str">
        <f t="shared" ca="1" si="48"/>
        <v/>
      </c>
      <c r="Q378" s="494" t="s">
        <v>1424</v>
      </c>
      <c r="R378" s="494" t="str">
        <f t="shared" si="54"/>
        <v>H378</v>
      </c>
      <c r="S378" s="494" t="s">
        <v>1425</v>
      </c>
      <c r="T378" s="494">
        <v>6</v>
      </c>
      <c r="U378" s="556" t="str">
        <f t="shared" ca="1" si="49"/>
        <v/>
      </c>
      <c r="V378" s="494">
        <v>7</v>
      </c>
      <c r="W378" s="556" t="str">
        <f t="shared" ca="1" si="50"/>
        <v/>
      </c>
      <c r="X378" s="494" t="s">
        <v>1426</v>
      </c>
      <c r="Y378" s="547" t="str">
        <f t="shared" ca="1" si="51"/>
        <v/>
      </c>
      <c r="Z378" s="494" t="s">
        <v>1427</v>
      </c>
      <c r="AA378" s="547" t="str">
        <f t="shared" ca="1" si="52"/>
        <v/>
      </c>
      <c r="AB378" s="494" t="s">
        <v>1428</v>
      </c>
      <c r="AC378" s="547" t="str">
        <f t="shared" ca="1" si="53"/>
        <v/>
      </c>
      <c r="AD378" s="557"/>
      <c r="AE378" s="958"/>
    </row>
    <row r="379" spans="1:31" ht="15" customHeight="1">
      <c r="A379" s="957">
        <v>97</v>
      </c>
      <c r="B379" s="566" t="s">
        <v>654</v>
      </c>
      <c r="C379" s="567" t="s">
        <v>1369</v>
      </c>
      <c r="D379" s="958">
        <v>1.1000000000000001</v>
      </c>
      <c r="E379" s="959" t="s">
        <v>755</v>
      </c>
      <c r="F379" s="558" t="s">
        <v>1399</v>
      </c>
      <c r="G379" s="558">
        <v>792</v>
      </c>
      <c r="H379" s="558" t="s">
        <v>770</v>
      </c>
      <c r="I379" s="559" t="s">
        <v>771</v>
      </c>
      <c r="J379" s="567" t="s">
        <v>1423</v>
      </c>
      <c r="K379" s="961" t="s">
        <v>1373</v>
      </c>
      <c r="L379" s="555" t="str">
        <f t="shared" ca="1" si="46"/>
        <v/>
      </c>
      <c r="M379" s="494" t="s">
        <v>1374</v>
      </c>
      <c r="N379" s="555" t="str">
        <f t="shared" ca="1" si="47"/>
        <v/>
      </c>
      <c r="O379" s="494" t="s">
        <v>1375</v>
      </c>
      <c r="P379" s="555" t="str">
        <f t="shared" ca="1" si="48"/>
        <v/>
      </c>
      <c r="Q379" s="494" t="s">
        <v>1424</v>
      </c>
      <c r="R379" s="494" t="str">
        <f t="shared" si="54"/>
        <v>H379</v>
      </c>
      <c r="S379" s="494" t="s">
        <v>1425</v>
      </c>
      <c r="T379" s="494">
        <v>6</v>
      </c>
      <c r="U379" s="556" t="str">
        <f t="shared" ca="1" si="49"/>
        <v/>
      </c>
      <c r="V379" s="494">
        <v>7</v>
      </c>
      <c r="W379" s="556" t="str">
        <f t="shared" ca="1" si="50"/>
        <v/>
      </c>
      <c r="X379" s="494" t="s">
        <v>1426</v>
      </c>
      <c r="Y379" s="547" t="str">
        <f t="shared" ca="1" si="51"/>
        <v/>
      </c>
      <c r="Z379" s="494" t="s">
        <v>1427</v>
      </c>
      <c r="AA379" s="547" t="str">
        <f t="shared" ca="1" si="52"/>
        <v/>
      </c>
      <c r="AB379" s="494" t="s">
        <v>1428</v>
      </c>
      <c r="AC379" s="547" t="str">
        <f t="shared" ca="1" si="53"/>
        <v/>
      </c>
      <c r="AD379" s="557"/>
      <c r="AE379" s="958"/>
    </row>
    <row r="380" spans="1:31" ht="15" customHeight="1">
      <c r="A380" s="957">
        <v>97</v>
      </c>
      <c r="B380" s="566" t="s">
        <v>654</v>
      </c>
      <c r="C380" s="567" t="s">
        <v>1369</v>
      </c>
      <c r="D380" s="958">
        <v>1.1000000000000001</v>
      </c>
      <c r="E380" s="959" t="s">
        <v>755</v>
      </c>
      <c r="F380" s="558" t="s">
        <v>1399</v>
      </c>
      <c r="G380" s="558">
        <v>793</v>
      </c>
      <c r="H380" s="558" t="s">
        <v>773</v>
      </c>
      <c r="I380" s="559" t="s">
        <v>772</v>
      </c>
      <c r="J380" s="567" t="s">
        <v>1423</v>
      </c>
      <c r="K380" s="961" t="s">
        <v>1373</v>
      </c>
      <c r="L380" s="555" t="str">
        <f t="shared" ca="1" si="46"/>
        <v/>
      </c>
      <c r="M380" s="494" t="s">
        <v>1374</v>
      </c>
      <c r="N380" s="555" t="str">
        <f t="shared" ca="1" si="47"/>
        <v/>
      </c>
      <c r="O380" s="494" t="s">
        <v>1375</v>
      </c>
      <c r="P380" s="555" t="str">
        <f t="shared" ca="1" si="48"/>
        <v/>
      </c>
      <c r="Q380" s="494" t="s">
        <v>1424</v>
      </c>
      <c r="R380" s="494" t="str">
        <f t="shared" si="54"/>
        <v>H380</v>
      </c>
      <c r="S380" s="494" t="s">
        <v>1425</v>
      </c>
      <c r="T380" s="494">
        <v>6</v>
      </c>
      <c r="U380" s="556" t="str">
        <f t="shared" ca="1" si="49"/>
        <v/>
      </c>
      <c r="V380" s="494">
        <v>7</v>
      </c>
      <c r="W380" s="556" t="str">
        <f t="shared" ca="1" si="50"/>
        <v/>
      </c>
      <c r="X380" s="494" t="s">
        <v>1426</v>
      </c>
      <c r="Y380" s="547" t="str">
        <f t="shared" ca="1" si="51"/>
        <v/>
      </c>
      <c r="Z380" s="494" t="s">
        <v>1427</v>
      </c>
      <c r="AA380" s="547" t="str">
        <f t="shared" ca="1" si="52"/>
        <v/>
      </c>
      <c r="AB380" s="494" t="s">
        <v>1428</v>
      </c>
      <c r="AC380" s="547" t="str">
        <f t="shared" ca="1" si="53"/>
        <v/>
      </c>
      <c r="AD380" s="557"/>
      <c r="AE380" s="958"/>
    </row>
    <row r="381" spans="1:31" ht="15" customHeight="1">
      <c r="A381" s="957">
        <v>97</v>
      </c>
      <c r="B381" s="566" t="s">
        <v>654</v>
      </c>
      <c r="C381" s="567" t="s">
        <v>1369</v>
      </c>
      <c r="D381" s="958">
        <v>1.1000000000000001</v>
      </c>
      <c r="E381" s="959" t="s">
        <v>755</v>
      </c>
      <c r="F381" s="558" t="s">
        <v>1399</v>
      </c>
      <c r="G381" s="558">
        <v>793</v>
      </c>
      <c r="H381" s="558" t="s">
        <v>774</v>
      </c>
      <c r="I381" s="559" t="s">
        <v>775</v>
      </c>
      <c r="J381" s="567" t="s">
        <v>1423</v>
      </c>
      <c r="K381" s="961" t="s">
        <v>1373</v>
      </c>
      <c r="L381" s="555" t="str">
        <f t="shared" ca="1" si="46"/>
        <v/>
      </c>
      <c r="M381" s="494" t="s">
        <v>1374</v>
      </c>
      <c r="N381" s="555" t="str">
        <f t="shared" ca="1" si="47"/>
        <v/>
      </c>
      <c r="O381" s="494" t="s">
        <v>1375</v>
      </c>
      <c r="P381" s="555" t="str">
        <f t="shared" ca="1" si="48"/>
        <v/>
      </c>
      <c r="Q381" s="494" t="s">
        <v>1424</v>
      </c>
      <c r="R381" s="494" t="str">
        <f t="shared" si="54"/>
        <v>H381</v>
      </c>
      <c r="S381" s="494" t="s">
        <v>1425</v>
      </c>
      <c r="T381" s="494">
        <v>6</v>
      </c>
      <c r="U381" s="556" t="str">
        <f t="shared" ca="1" si="49"/>
        <v/>
      </c>
      <c r="V381" s="494">
        <v>7</v>
      </c>
      <c r="W381" s="556" t="str">
        <f t="shared" ca="1" si="50"/>
        <v/>
      </c>
      <c r="X381" s="494" t="s">
        <v>1426</v>
      </c>
      <c r="Y381" s="547" t="str">
        <f t="shared" ca="1" si="51"/>
        <v/>
      </c>
      <c r="Z381" s="494" t="s">
        <v>1427</v>
      </c>
      <c r="AA381" s="547" t="str">
        <f t="shared" ca="1" si="52"/>
        <v/>
      </c>
      <c r="AB381" s="494" t="s">
        <v>1428</v>
      </c>
      <c r="AC381" s="547" t="str">
        <f t="shared" ca="1" si="53"/>
        <v/>
      </c>
      <c r="AD381" s="557"/>
      <c r="AE381" s="958"/>
    </row>
    <row r="382" spans="1:31" ht="15" customHeight="1">
      <c r="A382" s="957">
        <v>97</v>
      </c>
      <c r="B382" s="566" t="s">
        <v>654</v>
      </c>
      <c r="C382" s="567" t="s">
        <v>1369</v>
      </c>
      <c r="D382" s="958">
        <v>1.1000000000000001</v>
      </c>
      <c r="E382" s="959" t="s">
        <v>755</v>
      </c>
      <c r="F382" s="558" t="s">
        <v>1399</v>
      </c>
      <c r="G382" s="558">
        <v>794</v>
      </c>
      <c r="H382" s="558" t="s">
        <v>647</v>
      </c>
      <c r="I382" s="559" t="s">
        <v>777</v>
      </c>
      <c r="J382" s="567" t="s">
        <v>1423</v>
      </c>
      <c r="K382" s="961" t="s">
        <v>1373</v>
      </c>
      <c r="L382" s="555" t="str">
        <f t="shared" ca="1" si="46"/>
        <v/>
      </c>
      <c r="M382" s="494" t="s">
        <v>1374</v>
      </c>
      <c r="N382" s="555" t="str">
        <f t="shared" ca="1" si="47"/>
        <v/>
      </c>
      <c r="O382" s="494" t="s">
        <v>1375</v>
      </c>
      <c r="P382" s="555" t="str">
        <f t="shared" ca="1" si="48"/>
        <v/>
      </c>
      <c r="Q382" s="494" t="s">
        <v>1424</v>
      </c>
      <c r="R382" s="494" t="str">
        <f t="shared" si="54"/>
        <v>H382</v>
      </c>
      <c r="S382" s="494" t="s">
        <v>1425</v>
      </c>
      <c r="T382" s="494">
        <v>6</v>
      </c>
      <c r="U382" s="556" t="str">
        <f t="shared" ca="1" si="49"/>
        <v/>
      </c>
      <c r="V382" s="494">
        <v>7</v>
      </c>
      <c r="W382" s="556" t="str">
        <f t="shared" ca="1" si="50"/>
        <v/>
      </c>
      <c r="X382" s="494" t="s">
        <v>1426</v>
      </c>
      <c r="Y382" s="547" t="str">
        <f t="shared" ca="1" si="51"/>
        <v/>
      </c>
      <c r="Z382" s="494" t="s">
        <v>1427</v>
      </c>
      <c r="AA382" s="547" t="str">
        <f t="shared" ca="1" si="52"/>
        <v/>
      </c>
      <c r="AB382" s="494" t="s">
        <v>1428</v>
      </c>
      <c r="AC382" s="547" t="str">
        <f t="shared" ca="1" si="53"/>
        <v/>
      </c>
      <c r="AD382" s="557"/>
      <c r="AE382" s="958"/>
    </row>
    <row r="383" spans="1:31" ht="15" customHeight="1">
      <c r="A383" s="957">
        <v>97</v>
      </c>
      <c r="B383" s="566" t="s">
        <v>654</v>
      </c>
      <c r="C383" s="567" t="s">
        <v>1369</v>
      </c>
      <c r="D383" s="958">
        <v>1.1000000000000001</v>
      </c>
      <c r="E383" s="959" t="s">
        <v>755</v>
      </c>
      <c r="F383" s="558" t="s">
        <v>1399</v>
      </c>
      <c r="G383" s="558">
        <v>794</v>
      </c>
      <c r="H383" s="558" t="s">
        <v>648</v>
      </c>
      <c r="I383" s="559" t="s">
        <v>778</v>
      </c>
      <c r="J383" s="567" t="s">
        <v>1423</v>
      </c>
      <c r="K383" s="961" t="s">
        <v>1373</v>
      </c>
      <c r="L383" s="555" t="str">
        <f t="shared" ca="1" si="46"/>
        <v/>
      </c>
      <c r="M383" s="494" t="s">
        <v>1374</v>
      </c>
      <c r="N383" s="555" t="str">
        <f t="shared" ca="1" si="47"/>
        <v/>
      </c>
      <c r="O383" s="494" t="s">
        <v>1375</v>
      </c>
      <c r="P383" s="555" t="str">
        <f t="shared" ca="1" si="48"/>
        <v/>
      </c>
      <c r="Q383" s="494" t="s">
        <v>1424</v>
      </c>
      <c r="R383" s="494" t="str">
        <f t="shared" si="54"/>
        <v>H383</v>
      </c>
      <c r="S383" s="494" t="s">
        <v>1425</v>
      </c>
      <c r="T383" s="494">
        <v>6</v>
      </c>
      <c r="U383" s="556" t="str">
        <f t="shared" ca="1" si="49"/>
        <v/>
      </c>
      <c r="V383" s="494">
        <v>7</v>
      </c>
      <c r="W383" s="556" t="str">
        <f t="shared" ca="1" si="50"/>
        <v/>
      </c>
      <c r="X383" s="494" t="s">
        <v>1426</v>
      </c>
      <c r="Y383" s="547" t="str">
        <f t="shared" ca="1" si="51"/>
        <v/>
      </c>
      <c r="Z383" s="494" t="s">
        <v>1427</v>
      </c>
      <c r="AA383" s="547" t="str">
        <f t="shared" ca="1" si="52"/>
        <v/>
      </c>
      <c r="AB383" s="494" t="s">
        <v>1428</v>
      </c>
      <c r="AC383" s="547" t="str">
        <f t="shared" ca="1" si="53"/>
        <v/>
      </c>
      <c r="AD383" s="557"/>
      <c r="AE383" s="958"/>
    </row>
    <row r="384" spans="1:31" ht="15" customHeight="1">
      <c r="A384" s="957">
        <v>54</v>
      </c>
      <c r="B384" s="566" t="s">
        <v>489</v>
      </c>
      <c r="C384" s="567" t="s">
        <v>1443</v>
      </c>
      <c r="D384" s="958">
        <v>1</v>
      </c>
      <c r="E384" s="959" t="s">
        <v>254</v>
      </c>
      <c r="F384" s="558" t="s">
        <v>1444</v>
      </c>
      <c r="G384" s="558">
        <v>388</v>
      </c>
      <c r="H384" s="558">
        <v>1</v>
      </c>
      <c r="I384" s="559" t="s">
        <v>492</v>
      </c>
      <c r="J384" s="567" t="s">
        <v>1445</v>
      </c>
      <c r="K384" s="961" t="s">
        <v>1373</v>
      </c>
      <c r="L384" s="555" t="str">
        <f t="shared" ca="1" si="46"/>
        <v/>
      </c>
      <c r="M384" s="494" t="s">
        <v>1446</v>
      </c>
      <c r="N384" s="555" t="str">
        <f t="shared" ca="1" si="47"/>
        <v/>
      </c>
      <c r="O384" s="494" t="s">
        <v>1447</v>
      </c>
      <c r="P384" s="555" t="str">
        <f t="shared" ca="1" si="48"/>
        <v/>
      </c>
      <c r="Q384" s="494" t="s">
        <v>1448</v>
      </c>
      <c r="R384" s="494" t="str">
        <f>CONCATENATE("H",ROW(J384))</f>
        <v>H384</v>
      </c>
      <c r="S384" s="494" t="s">
        <v>1449</v>
      </c>
      <c r="T384" s="494">
        <v>10</v>
      </c>
      <c r="U384" s="556" t="str">
        <f t="shared" ca="1" si="49"/>
        <v/>
      </c>
      <c r="V384" s="494">
        <v>11</v>
      </c>
      <c r="W384" s="556" t="str">
        <f t="shared" ca="1" si="50"/>
        <v/>
      </c>
      <c r="X384" s="494" t="s">
        <v>1450</v>
      </c>
      <c r="Y384" s="547" t="str">
        <f t="shared" ca="1" si="51"/>
        <v/>
      </c>
      <c r="Z384" s="494" t="s">
        <v>1451</v>
      </c>
      <c r="AA384" s="547" t="str">
        <f t="shared" ca="1" si="52"/>
        <v/>
      </c>
      <c r="AB384" s="494" t="s">
        <v>1452</v>
      </c>
      <c r="AC384" s="547" t="str">
        <f t="shared" ca="1" si="53"/>
        <v/>
      </c>
      <c r="AD384" s="557"/>
      <c r="AE384" s="958"/>
    </row>
    <row r="385" spans="1:31" ht="15" customHeight="1">
      <c r="A385" s="957">
        <v>54</v>
      </c>
      <c r="B385" s="566" t="s">
        <v>489</v>
      </c>
      <c r="C385" s="567" t="s">
        <v>1443</v>
      </c>
      <c r="D385" s="958">
        <v>1</v>
      </c>
      <c r="E385" s="959" t="s">
        <v>254</v>
      </c>
      <c r="F385" s="558" t="s">
        <v>1444</v>
      </c>
      <c r="G385" s="558">
        <v>389</v>
      </c>
      <c r="H385" s="558">
        <v>2</v>
      </c>
      <c r="I385" s="559" t="s">
        <v>263</v>
      </c>
      <c r="J385" s="567" t="s">
        <v>1445</v>
      </c>
      <c r="K385" s="961" t="s">
        <v>1373</v>
      </c>
      <c r="L385" s="555" t="str">
        <f t="shared" ca="1" si="46"/>
        <v/>
      </c>
      <c r="M385" s="494" t="s">
        <v>1446</v>
      </c>
      <c r="N385" s="555" t="str">
        <f t="shared" ca="1" si="47"/>
        <v/>
      </c>
      <c r="O385" s="494" t="s">
        <v>1447</v>
      </c>
      <c r="P385" s="555" t="str">
        <f t="shared" ca="1" si="48"/>
        <v/>
      </c>
      <c r="Q385" s="494" t="s">
        <v>1448</v>
      </c>
      <c r="R385" s="494" t="str">
        <f t="shared" ref="R385:R448" si="55">CONCATENATE("H",ROW(J385))</f>
        <v>H385</v>
      </c>
      <c r="S385" s="494" t="s">
        <v>1449</v>
      </c>
      <c r="T385" s="494">
        <v>10</v>
      </c>
      <c r="U385" s="556" t="str">
        <f t="shared" ca="1" si="49"/>
        <v/>
      </c>
      <c r="V385" s="494">
        <v>11</v>
      </c>
      <c r="W385" s="556" t="str">
        <f t="shared" ca="1" si="50"/>
        <v/>
      </c>
      <c r="X385" s="494" t="s">
        <v>1450</v>
      </c>
      <c r="Y385" s="547" t="str">
        <f t="shared" ca="1" si="51"/>
        <v/>
      </c>
      <c r="Z385" s="494" t="s">
        <v>1451</v>
      </c>
      <c r="AA385" s="547" t="str">
        <f t="shared" ca="1" si="52"/>
        <v/>
      </c>
      <c r="AB385" s="494" t="s">
        <v>1452</v>
      </c>
      <c r="AC385" s="547" t="str">
        <f t="shared" ca="1" si="53"/>
        <v/>
      </c>
      <c r="AD385" s="557"/>
      <c r="AE385" s="958"/>
    </row>
    <row r="386" spans="1:31" ht="15" customHeight="1">
      <c r="A386" s="957">
        <v>54</v>
      </c>
      <c r="B386" s="566" t="s">
        <v>489</v>
      </c>
      <c r="C386" s="567" t="s">
        <v>1443</v>
      </c>
      <c r="D386" s="958">
        <v>1</v>
      </c>
      <c r="E386" s="959" t="s">
        <v>254</v>
      </c>
      <c r="F386" s="558" t="s">
        <v>1444</v>
      </c>
      <c r="G386" s="558">
        <v>390</v>
      </c>
      <c r="H386" s="558">
        <v>2.1</v>
      </c>
      <c r="I386" s="559" t="s">
        <v>270</v>
      </c>
      <c r="J386" s="567" t="s">
        <v>1445</v>
      </c>
      <c r="K386" s="961" t="s">
        <v>1373</v>
      </c>
      <c r="L386" s="555" t="str">
        <f t="shared" ref="L386:L449" ca="1" si="56">IF(AND(INDIRECT(CONCATENATE($J386,$K386,5))=$B386,ISNUMBER(SEARCH("Please",INDIRECT(CONCATENATE($J386,$K386,2)),1))=FALSE),SUMPRODUCT(MID(0&amp;INDIRECT(CONCATENATE($J386,$K386,2)), LARGE(INDEX(ISNUMBER(--MID(INDIRECT(CONCATENATE($J386,$K386,2)), ROW(INDIRECT("1:"&amp;LEN(INDIRECT(CONCATENATE($J386,$K386,2))))),1))*ROW(INDIRECT("1:"&amp;LEN(INDIRECT(CONCATENATE($J386,$K386,2))))),0), ROW(INDIRECT("1:"&amp;LEN(INDIRECT(CONCATENATE($J386,$K386,2))))))+1,1)*10^ROW(INDIRECT("1:"&amp;LEN(INDIRECT(CONCATENATE($J386,$K386,2)))))/10),"")</f>
        <v/>
      </c>
      <c r="M386" s="494" t="s">
        <v>1446</v>
      </c>
      <c r="N386" s="555" t="str">
        <f t="shared" ref="N386:N449" ca="1" si="57">IF(AND(INDIRECT(CONCATENATE($J386,$K386,5))=$B386,ISNUMBER(SEARCH("Select",INDIRECT(CONCATENATE($J386,$M386,6)),1))=FALSE),INDIRECT(CONCATENATE($J386,$M386,6)),"")</f>
        <v/>
      </c>
      <c r="O386" s="494" t="s">
        <v>1447</v>
      </c>
      <c r="P386" s="555" t="str">
        <f t="shared" ref="P386:P449" ca="1" si="58">IF(AND(INDIRECT(CONCATENATE($J386,$K386,5))=$B386,ISNUMBER(SEARCH("Select",INDIRECT(CONCATENATE($J386,$O386,6)),1))=FALSE),INDIRECT(CONCATENATE($J386,$O386,6)),"")</f>
        <v/>
      </c>
      <c r="Q386" s="494" t="s">
        <v>1448</v>
      </c>
      <c r="R386" s="494" t="str">
        <f t="shared" si="55"/>
        <v>H386</v>
      </c>
      <c r="S386" s="494" t="s">
        <v>1449</v>
      </c>
      <c r="T386" s="494">
        <v>10</v>
      </c>
      <c r="U386" s="556" t="str">
        <f t="shared" ref="U386:U449" ca="1" si="59">IF(AND($B386=INDIRECT(CONCATENATE($J386,$K386,5)),ISBLANK(INDEX(INDIRECT(CONCATENATE($J386,$Q386)),MATCH(INDIRECT($R386),INDIRECT(CONCATENATE($J386,$S386)),0),T386))=FALSE),INDEX(INDIRECT(CONCATENATE($J386,$Q386)),MATCH(INDIRECT($R386),INDIRECT(CONCATENATE($J386,$S386)),0),T386),"")</f>
        <v/>
      </c>
      <c r="V386" s="494">
        <v>11</v>
      </c>
      <c r="W386" s="556" t="str">
        <f t="shared" ref="W386:W449" ca="1" si="60">IF(AND($B386=INDIRECT(CONCATENATE($J386,$K386,5)),ISBLANK(INDEX(INDIRECT(CONCATENATE($J386,$Q386)),MATCH(INDIRECT($R386),INDIRECT(CONCATENATE($J386,$S386)),0),V386))=FALSE),INDEX(INDIRECT(CONCATENATE($J386,$Q386)),MATCH(INDIRECT($R386),INDIRECT(CONCATENATE($J386,$S386)),0),V386),"")</f>
        <v/>
      </c>
      <c r="X386" s="494" t="s">
        <v>1450</v>
      </c>
      <c r="Y386" s="547" t="str">
        <f t="shared" ref="Y386:Y449" ca="1" si="61">IF(AND(INDIRECT(CONCATENATE($J386,$K386,5))=$B386,ISBLANK(INDIRECT(CONCATENATE($J386,X386)))=FALSE),INDIRECT(CONCATENATE($J386,X386)),"")</f>
        <v/>
      </c>
      <c r="Z386" s="494" t="s">
        <v>1451</v>
      </c>
      <c r="AA386" s="547" t="str">
        <f t="shared" ref="AA386:AA449" ca="1" si="62">IF(AND(INDIRECT(CONCATENATE($J386,$K386,"5"))=$B386,ISBLANK(INDIRECT(CONCATENATE($J386,Z386)))=FALSE),INDIRECT(CONCATENATE($J386,Z386)),"")</f>
        <v/>
      </c>
      <c r="AB386" s="494" t="s">
        <v>1452</v>
      </c>
      <c r="AC386" s="547" t="str">
        <f t="shared" ref="AC386:AC449" ca="1" si="63">IF(AND(INDIRECT(CONCATENATE($J386,$K386,"5"))=$B386,ISBLANK(INDIRECT(CONCATENATE($J386,AB386)))=FALSE),INDIRECT(CONCATENATE($J386,AB386)),"")</f>
        <v/>
      </c>
      <c r="AD386" s="557"/>
      <c r="AE386" s="958"/>
    </row>
    <row r="387" spans="1:31" ht="15" customHeight="1">
      <c r="A387" s="957">
        <v>54</v>
      </c>
      <c r="B387" s="566" t="s">
        <v>489</v>
      </c>
      <c r="C387" s="567" t="s">
        <v>1443</v>
      </c>
      <c r="D387" s="958">
        <v>1</v>
      </c>
      <c r="E387" s="959" t="s">
        <v>254</v>
      </c>
      <c r="F387" s="558" t="s">
        <v>1444</v>
      </c>
      <c r="G387" s="558">
        <v>391</v>
      </c>
      <c r="H387" s="558">
        <v>2.2000000000000002</v>
      </c>
      <c r="I387" s="559" t="s">
        <v>275</v>
      </c>
      <c r="J387" s="567" t="s">
        <v>1445</v>
      </c>
      <c r="K387" s="961" t="s">
        <v>1373</v>
      </c>
      <c r="L387" s="555" t="str">
        <f t="shared" ca="1" si="56"/>
        <v/>
      </c>
      <c r="M387" s="494" t="s">
        <v>1446</v>
      </c>
      <c r="N387" s="555" t="str">
        <f t="shared" ca="1" si="57"/>
        <v/>
      </c>
      <c r="O387" s="494" t="s">
        <v>1447</v>
      </c>
      <c r="P387" s="555" t="str">
        <f t="shared" ca="1" si="58"/>
        <v/>
      </c>
      <c r="Q387" s="494" t="s">
        <v>1448</v>
      </c>
      <c r="R387" s="494" t="str">
        <f t="shared" si="55"/>
        <v>H387</v>
      </c>
      <c r="S387" s="494" t="s">
        <v>1449</v>
      </c>
      <c r="T387" s="494">
        <v>10</v>
      </c>
      <c r="U387" s="556" t="str">
        <f t="shared" ca="1" si="59"/>
        <v/>
      </c>
      <c r="V387" s="494">
        <v>11</v>
      </c>
      <c r="W387" s="556" t="str">
        <f t="shared" ca="1" si="60"/>
        <v/>
      </c>
      <c r="X387" s="494" t="s">
        <v>1450</v>
      </c>
      <c r="Y387" s="547" t="str">
        <f t="shared" ca="1" si="61"/>
        <v/>
      </c>
      <c r="Z387" s="494" t="s">
        <v>1451</v>
      </c>
      <c r="AA387" s="547" t="str">
        <f t="shared" ca="1" si="62"/>
        <v/>
      </c>
      <c r="AB387" s="494" t="s">
        <v>1452</v>
      </c>
      <c r="AC387" s="547" t="str">
        <f t="shared" ca="1" si="63"/>
        <v/>
      </c>
      <c r="AD387" s="557"/>
      <c r="AE387" s="958"/>
    </row>
    <row r="388" spans="1:31" ht="15" customHeight="1">
      <c r="A388" s="957">
        <v>54</v>
      </c>
      <c r="B388" s="566" t="s">
        <v>489</v>
      </c>
      <c r="C388" s="567" t="s">
        <v>1443</v>
      </c>
      <c r="D388" s="958">
        <v>1</v>
      </c>
      <c r="E388" s="959" t="s">
        <v>254</v>
      </c>
      <c r="F388" s="558" t="s">
        <v>1444</v>
      </c>
      <c r="G388" s="558">
        <v>392</v>
      </c>
      <c r="H388" s="558">
        <v>2.2999999999999998</v>
      </c>
      <c r="I388" s="559" t="s">
        <v>278</v>
      </c>
      <c r="J388" s="567" t="s">
        <v>1445</v>
      </c>
      <c r="K388" s="961" t="s">
        <v>1373</v>
      </c>
      <c r="L388" s="555" t="str">
        <f t="shared" ca="1" si="56"/>
        <v/>
      </c>
      <c r="M388" s="494" t="s">
        <v>1446</v>
      </c>
      <c r="N388" s="555" t="str">
        <f t="shared" ca="1" si="57"/>
        <v/>
      </c>
      <c r="O388" s="494" t="s">
        <v>1447</v>
      </c>
      <c r="P388" s="555" t="str">
        <f t="shared" ca="1" si="58"/>
        <v/>
      </c>
      <c r="Q388" s="494" t="s">
        <v>1448</v>
      </c>
      <c r="R388" s="494" t="str">
        <f t="shared" si="55"/>
        <v>H388</v>
      </c>
      <c r="S388" s="494" t="s">
        <v>1449</v>
      </c>
      <c r="T388" s="494">
        <v>10</v>
      </c>
      <c r="U388" s="556" t="str">
        <f t="shared" ca="1" si="59"/>
        <v/>
      </c>
      <c r="V388" s="494">
        <v>11</v>
      </c>
      <c r="W388" s="556" t="str">
        <f t="shared" ca="1" si="60"/>
        <v/>
      </c>
      <c r="X388" s="494" t="s">
        <v>1450</v>
      </c>
      <c r="Y388" s="547" t="str">
        <f t="shared" ca="1" si="61"/>
        <v/>
      </c>
      <c r="Z388" s="494" t="s">
        <v>1451</v>
      </c>
      <c r="AA388" s="547" t="str">
        <f t="shared" ca="1" si="62"/>
        <v/>
      </c>
      <c r="AB388" s="494" t="s">
        <v>1452</v>
      </c>
      <c r="AC388" s="547" t="str">
        <f t="shared" ca="1" si="63"/>
        <v/>
      </c>
      <c r="AD388" s="557"/>
      <c r="AE388" s="958"/>
    </row>
    <row r="389" spans="1:31" ht="15" customHeight="1">
      <c r="A389" s="957">
        <v>54</v>
      </c>
      <c r="B389" s="566" t="s">
        <v>489</v>
      </c>
      <c r="C389" s="567" t="s">
        <v>1443</v>
      </c>
      <c r="D389" s="958">
        <v>1</v>
      </c>
      <c r="E389" s="959" t="s">
        <v>254</v>
      </c>
      <c r="F389" s="558" t="s">
        <v>1444</v>
      </c>
      <c r="G389" s="558">
        <v>393</v>
      </c>
      <c r="H389" s="558">
        <v>2.4</v>
      </c>
      <c r="I389" s="559" t="s">
        <v>281</v>
      </c>
      <c r="J389" s="567" t="s">
        <v>1445</v>
      </c>
      <c r="K389" s="961" t="s">
        <v>1373</v>
      </c>
      <c r="L389" s="555" t="str">
        <f t="shared" ca="1" si="56"/>
        <v/>
      </c>
      <c r="M389" s="494" t="s">
        <v>1446</v>
      </c>
      <c r="N389" s="555" t="str">
        <f t="shared" ca="1" si="57"/>
        <v/>
      </c>
      <c r="O389" s="494" t="s">
        <v>1447</v>
      </c>
      <c r="P389" s="555" t="str">
        <f t="shared" ca="1" si="58"/>
        <v/>
      </c>
      <c r="Q389" s="494" t="s">
        <v>1448</v>
      </c>
      <c r="R389" s="494" t="str">
        <f t="shared" si="55"/>
        <v>H389</v>
      </c>
      <c r="S389" s="494" t="s">
        <v>1449</v>
      </c>
      <c r="T389" s="494">
        <v>10</v>
      </c>
      <c r="U389" s="556" t="str">
        <f t="shared" ca="1" si="59"/>
        <v/>
      </c>
      <c r="V389" s="494">
        <v>11</v>
      </c>
      <c r="W389" s="556" t="str">
        <f t="shared" ca="1" si="60"/>
        <v/>
      </c>
      <c r="X389" s="494" t="s">
        <v>1450</v>
      </c>
      <c r="Y389" s="547" t="str">
        <f t="shared" ca="1" si="61"/>
        <v/>
      </c>
      <c r="Z389" s="494" t="s">
        <v>1451</v>
      </c>
      <c r="AA389" s="547" t="str">
        <f t="shared" ca="1" si="62"/>
        <v/>
      </c>
      <c r="AB389" s="494" t="s">
        <v>1452</v>
      </c>
      <c r="AC389" s="547" t="str">
        <f t="shared" ca="1" si="63"/>
        <v/>
      </c>
      <c r="AD389" s="557"/>
      <c r="AE389" s="958"/>
    </row>
    <row r="390" spans="1:31" ht="15" customHeight="1">
      <c r="A390" s="957">
        <v>54</v>
      </c>
      <c r="B390" s="566" t="s">
        <v>489</v>
      </c>
      <c r="C390" s="567" t="s">
        <v>1443</v>
      </c>
      <c r="D390" s="958">
        <v>1</v>
      </c>
      <c r="E390" s="959" t="s">
        <v>254</v>
      </c>
      <c r="F390" s="558" t="s">
        <v>1444</v>
      </c>
      <c r="G390" s="558">
        <v>407</v>
      </c>
      <c r="H390" s="558">
        <v>3.1</v>
      </c>
      <c r="I390" s="559" t="s">
        <v>285</v>
      </c>
      <c r="J390" s="567" t="s">
        <v>1445</v>
      </c>
      <c r="K390" s="961" t="s">
        <v>1373</v>
      </c>
      <c r="L390" s="555" t="str">
        <f t="shared" ca="1" si="56"/>
        <v/>
      </c>
      <c r="M390" s="494" t="s">
        <v>1446</v>
      </c>
      <c r="N390" s="555" t="str">
        <f t="shared" ca="1" si="57"/>
        <v/>
      </c>
      <c r="O390" s="494" t="s">
        <v>1447</v>
      </c>
      <c r="P390" s="555" t="str">
        <f t="shared" ca="1" si="58"/>
        <v/>
      </c>
      <c r="Q390" s="494" t="s">
        <v>1448</v>
      </c>
      <c r="R390" s="494" t="str">
        <f t="shared" si="55"/>
        <v>H390</v>
      </c>
      <c r="S390" s="494" t="s">
        <v>1449</v>
      </c>
      <c r="T390" s="494">
        <v>10</v>
      </c>
      <c r="U390" s="556" t="str">
        <f t="shared" ca="1" si="59"/>
        <v/>
      </c>
      <c r="V390" s="494">
        <v>11</v>
      </c>
      <c r="W390" s="556" t="str">
        <f t="shared" ca="1" si="60"/>
        <v/>
      </c>
      <c r="X390" s="494" t="s">
        <v>1450</v>
      </c>
      <c r="Y390" s="547" t="str">
        <f t="shared" ca="1" si="61"/>
        <v/>
      </c>
      <c r="Z390" s="494" t="s">
        <v>1451</v>
      </c>
      <c r="AA390" s="547" t="str">
        <f t="shared" ca="1" si="62"/>
        <v/>
      </c>
      <c r="AB390" s="494" t="s">
        <v>1452</v>
      </c>
      <c r="AC390" s="547" t="str">
        <f t="shared" ca="1" si="63"/>
        <v/>
      </c>
      <c r="AD390" s="557"/>
      <c r="AE390" s="958"/>
    </row>
    <row r="391" spans="1:31" ht="15" customHeight="1">
      <c r="A391" s="957">
        <v>54</v>
      </c>
      <c r="B391" s="566" t="s">
        <v>489</v>
      </c>
      <c r="C391" s="567" t="s">
        <v>1443</v>
      </c>
      <c r="D391" s="958">
        <v>1</v>
      </c>
      <c r="E391" s="959" t="s">
        <v>254</v>
      </c>
      <c r="F391" s="558" t="s">
        <v>1444</v>
      </c>
      <c r="G391" s="558">
        <v>394</v>
      </c>
      <c r="H391" s="558">
        <v>4.0999999999999996</v>
      </c>
      <c r="I391" s="559" t="s">
        <v>34</v>
      </c>
      <c r="J391" s="567" t="s">
        <v>1445</v>
      </c>
      <c r="K391" s="961" t="s">
        <v>1373</v>
      </c>
      <c r="L391" s="555" t="str">
        <f t="shared" ca="1" si="56"/>
        <v/>
      </c>
      <c r="M391" s="494" t="s">
        <v>1446</v>
      </c>
      <c r="N391" s="555" t="str">
        <f t="shared" ca="1" si="57"/>
        <v/>
      </c>
      <c r="O391" s="494" t="s">
        <v>1447</v>
      </c>
      <c r="P391" s="555" t="str">
        <f t="shared" ca="1" si="58"/>
        <v/>
      </c>
      <c r="Q391" s="494" t="s">
        <v>1448</v>
      </c>
      <c r="R391" s="494" t="str">
        <f t="shared" si="55"/>
        <v>H391</v>
      </c>
      <c r="S391" s="494" t="s">
        <v>1449</v>
      </c>
      <c r="T391" s="494">
        <v>10</v>
      </c>
      <c r="U391" s="556" t="str">
        <f t="shared" ca="1" si="59"/>
        <v/>
      </c>
      <c r="V391" s="494">
        <v>11</v>
      </c>
      <c r="W391" s="556" t="str">
        <f t="shared" ca="1" si="60"/>
        <v/>
      </c>
      <c r="X391" s="494" t="s">
        <v>1450</v>
      </c>
      <c r="Y391" s="547" t="str">
        <f t="shared" ca="1" si="61"/>
        <v/>
      </c>
      <c r="Z391" s="494" t="s">
        <v>1451</v>
      </c>
      <c r="AA391" s="547" t="str">
        <f t="shared" ca="1" si="62"/>
        <v/>
      </c>
      <c r="AB391" s="494" t="s">
        <v>1452</v>
      </c>
      <c r="AC391" s="547" t="str">
        <f t="shared" ca="1" si="63"/>
        <v/>
      </c>
      <c r="AD391" s="557"/>
      <c r="AE391" s="958"/>
    </row>
    <row r="392" spans="1:31" ht="15" customHeight="1">
      <c r="A392" s="957">
        <v>54</v>
      </c>
      <c r="B392" s="566" t="s">
        <v>489</v>
      </c>
      <c r="C392" s="567" t="s">
        <v>1443</v>
      </c>
      <c r="D392" s="958">
        <v>1</v>
      </c>
      <c r="E392" s="959" t="s">
        <v>254</v>
      </c>
      <c r="F392" s="558" t="s">
        <v>1444</v>
      </c>
      <c r="G392" s="558">
        <v>395</v>
      </c>
      <c r="H392" s="558">
        <v>4.2</v>
      </c>
      <c r="I392" s="559" t="s">
        <v>1453</v>
      </c>
      <c r="J392" s="567" t="s">
        <v>1445</v>
      </c>
      <c r="K392" s="961" t="s">
        <v>1373</v>
      </c>
      <c r="L392" s="555" t="str">
        <f t="shared" ca="1" si="56"/>
        <v/>
      </c>
      <c r="M392" s="494" t="s">
        <v>1446</v>
      </c>
      <c r="N392" s="555" t="str">
        <f t="shared" ca="1" si="57"/>
        <v/>
      </c>
      <c r="O392" s="494" t="s">
        <v>1447</v>
      </c>
      <c r="P392" s="555" t="str">
        <f t="shared" ca="1" si="58"/>
        <v/>
      </c>
      <c r="Q392" s="494" t="s">
        <v>1448</v>
      </c>
      <c r="R392" s="494" t="str">
        <f t="shared" si="55"/>
        <v>H392</v>
      </c>
      <c r="S392" s="494" t="s">
        <v>1449</v>
      </c>
      <c r="T392" s="494">
        <v>10</v>
      </c>
      <c r="U392" s="556" t="str">
        <f t="shared" ca="1" si="59"/>
        <v/>
      </c>
      <c r="V392" s="494">
        <v>11</v>
      </c>
      <c r="W392" s="556" t="str">
        <f t="shared" ca="1" si="60"/>
        <v/>
      </c>
      <c r="X392" s="494" t="s">
        <v>1450</v>
      </c>
      <c r="Y392" s="547" t="str">
        <f t="shared" ca="1" si="61"/>
        <v/>
      </c>
      <c r="Z392" s="494" t="s">
        <v>1451</v>
      </c>
      <c r="AA392" s="547" t="str">
        <f t="shared" ca="1" si="62"/>
        <v/>
      </c>
      <c r="AB392" s="494" t="s">
        <v>1452</v>
      </c>
      <c r="AC392" s="547" t="str">
        <f t="shared" ca="1" si="63"/>
        <v/>
      </c>
      <c r="AD392" s="557"/>
      <c r="AE392" s="958"/>
    </row>
    <row r="393" spans="1:31" ht="15" customHeight="1">
      <c r="A393" s="957">
        <v>54</v>
      </c>
      <c r="B393" s="566" t="s">
        <v>489</v>
      </c>
      <c r="C393" s="567" t="s">
        <v>1443</v>
      </c>
      <c r="D393" s="958">
        <v>1</v>
      </c>
      <c r="E393" s="959" t="s">
        <v>254</v>
      </c>
      <c r="F393" s="558" t="s">
        <v>1444</v>
      </c>
      <c r="G393" s="558">
        <v>399</v>
      </c>
      <c r="H393" s="558">
        <v>5.0999999999999996</v>
      </c>
      <c r="I393" s="559" t="s">
        <v>290</v>
      </c>
      <c r="J393" s="567" t="s">
        <v>1445</v>
      </c>
      <c r="K393" s="961" t="s">
        <v>1373</v>
      </c>
      <c r="L393" s="555" t="str">
        <f t="shared" ca="1" si="56"/>
        <v/>
      </c>
      <c r="M393" s="494" t="s">
        <v>1446</v>
      </c>
      <c r="N393" s="555" t="str">
        <f t="shared" ca="1" si="57"/>
        <v/>
      </c>
      <c r="O393" s="494" t="s">
        <v>1447</v>
      </c>
      <c r="P393" s="555" t="str">
        <f t="shared" ca="1" si="58"/>
        <v/>
      </c>
      <c r="Q393" s="494" t="s">
        <v>1448</v>
      </c>
      <c r="R393" s="494" t="str">
        <f t="shared" si="55"/>
        <v>H393</v>
      </c>
      <c r="S393" s="494" t="s">
        <v>1449</v>
      </c>
      <c r="T393" s="494">
        <v>10</v>
      </c>
      <c r="U393" s="556" t="str">
        <f t="shared" ca="1" si="59"/>
        <v/>
      </c>
      <c r="V393" s="494">
        <v>11</v>
      </c>
      <c r="W393" s="556" t="str">
        <f t="shared" ca="1" si="60"/>
        <v/>
      </c>
      <c r="X393" s="494" t="s">
        <v>1450</v>
      </c>
      <c r="Y393" s="547" t="str">
        <f t="shared" ca="1" si="61"/>
        <v/>
      </c>
      <c r="Z393" s="494" t="s">
        <v>1451</v>
      </c>
      <c r="AA393" s="547" t="str">
        <f t="shared" ca="1" si="62"/>
        <v/>
      </c>
      <c r="AB393" s="494" t="s">
        <v>1452</v>
      </c>
      <c r="AC393" s="547" t="str">
        <f t="shared" ca="1" si="63"/>
        <v/>
      </c>
      <c r="AD393" s="557"/>
      <c r="AE393" s="958"/>
    </row>
    <row r="394" spans="1:31" ht="15" customHeight="1">
      <c r="A394" s="957">
        <v>54</v>
      </c>
      <c r="B394" s="566" t="s">
        <v>489</v>
      </c>
      <c r="C394" s="567" t="s">
        <v>1443</v>
      </c>
      <c r="D394" s="958">
        <v>1</v>
      </c>
      <c r="E394" s="959" t="s">
        <v>254</v>
      </c>
      <c r="F394" s="558" t="s">
        <v>1444</v>
      </c>
      <c r="G394" s="558">
        <v>400</v>
      </c>
      <c r="H394" s="558">
        <v>5.2</v>
      </c>
      <c r="I394" s="559" t="s">
        <v>291</v>
      </c>
      <c r="J394" s="567" t="s">
        <v>1445</v>
      </c>
      <c r="K394" s="961" t="s">
        <v>1373</v>
      </c>
      <c r="L394" s="555" t="str">
        <f t="shared" ca="1" si="56"/>
        <v/>
      </c>
      <c r="M394" s="494" t="s">
        <v>1446</v>
      </c>
      <c r="N394" s="555" t="str">
        <f t="shared" ca="1" si="57"/>
        <v/>
      </c>
      <c r="O394" s="494" t="s">
        <v>1447</v>
      </c>
      <c r="P394" s="555" t="str">
        <f t="shared" ca="1" si="58"/>
        <v/>
      </c>
      <c r="Q394" s="494" t="s">
        <v>1448</v>
      </c>
      <c r="R394" s="494" t="str">
        <f t="shared" si="55"/>
        <v>H394</v>
      </c>
      <c r="S394" s="494" t="s">
        <v>1449</v>
      </c>
      <c r="T394" s="494">
        <v>10</v>
      </c>
      <c r="U394" s="556" t="str">
        <f t="shared" ca="1" si="59"/>
        <v/>
      </c>
      <c r="V394" s="494">
        <v>11</v>
      </c>
      <c r="W394" s="556" t="str">
        <f t="shared" ca="1" si="60"/>
        <v/>
      </c>
      <c r="X394" s="494" t="s">
        <v>1450</v>
      </c>
      <c r="Y394" s="547" t="str">
        <f t="shared" ca="1" si="61"/>
        <v/>
      </c>
      <c r="Z394" s="494" t="s">
        <v>1451</v>
      </c>
      <c r="AA394" s="547" t="str">
        <f t="shared" ca="1" si="62"/>
        <v/>
      </c>
      <c r="AB394" s="494" t="s">
        <v>1452</v>
      </c>
      <c r="AC394" s="547" t="str">
        <f t="shared" ca="1" si="63"/>
        <v/>
      </c>
      <c r="AD394" s="557"/>
      <c r="AE394" s="958"/>
    </row>
    <row r="395" spans="1:31" ht="15" customHeight="1">
      <c r="A395" s="957">
        <v>54</v>
      </c>
      <c r="B395" s="566" t="s">
        <v>489</v>
      </c>
      <c r="C395" s="567" t="s">
        <v>1443</v>
      </c>
      <c r="D395" s="958">
        <v>1</v>
      </c>
      <c r="E395" s="959" t="s">
        <v>254</v>
      </c>
      <c r="F395" s="558" t="s">
        <v>1444</v>
      </c>
      <c r="G395" s="558">
        <v>717</v>
      </c>
      <c r="H395" s="558">
        <v>6</v>
      </c>
      <c r="I395" s="559" t="s">
        <v>294</v>
      </c>
      <c r="J395" s="567" t="s">
        <v>1445</v>
      </c>
      <c r="K395" s="961" t="s">
        <v>1373</v>
      </c>
      <c r="L395" s="555" t="str">
        <f t="shared" ca="1" si="56"/>
        <v/>
      </c>
      <c r="M395" s="494" t="s">
        <v>1446</v>
      </c>
      <c r="N395" s="555" t="str">
        <f t="shared" ca="1" si="57"/>
        <v/>
      </c>
      <c r="O395" s="494" t="s">
        <v>1447</v>
      </c>
      <c r="P395" s="555" t="str">
        <f t="shared" ca="1" si="58"/>
        <v/>
      </c>
      <c r="Q395" s="494" t="s">
        <v>1448</v>
      </c>
      <c r="R395" s="494" t="str">
        <f t="shared" si="55"/>
        <v>H395</v>
      </c>
      <c r="S395" s="494" t="s">
        <v>1449</v>
      </c>
      <c r="T395" s="494">
        <v>10</v>
      </c>
      <c r="U395" s="556" t="str">
        <f t="shared" ca="1" si="59"/>
        <v/>
      </c>
      <c r="V395" s="494">
        <v>11</v>
      </c>
      <c r="W395" s="556" t="str">
        <f t="shared" ca="1" si="60"/>
        <v/>
      </c>
      <c r="X395" s="494" t="s">
        <v>1450</v>
      </c>
      <c r="Y395" s="547" t="str">
        <f t="shared" ca="1" si="61"/>
        <v/>
      </c>
      <c r="Z395" s="494" t="s">
        <v>1451</v>
      </c>
      <c r="AA395" s="547" t="str">
        <f t="shared" ca="1" si="62"/>
        <v/>
      </c>
      <c r="AB395" s="494" t="s">
        <v>1452</v>
      </c>
      <c r="AC395" s="547" t="str">
        <f t="shared" ca="1" si="63"/>
        <v/>
      </c>
      <c r="AD395" s="557"/>
      <c r="AE395" s="958"/>
    </row>
    <row r="396" spans="1:31" ht="15" customHeight="1">
      <c r="A396" s="957">
        <v>54</v>
      </c>
      <c r="B396" s="566" t="s">
        <v>489</v>
      </c>
      <c r="C396" s="567" t="s">
        <v>1443</v>
      </c>
      <c r="D396" s="958">
        <v>1</v>
      </c>
      <c r="E396" s="959" t="s">
        <v>254</v>
      </c>
      <c r="F396" s="558" t="s">
        <v>1444</v>
      </c>
      <c r="G396" s="558">
        <v>718</v>
      </c>
      <c r="H396" s="558">
        <v>6.1</v>
      </c>
      <c r="I396" s="559" t="s">
        <v>295</v>
      </c>
      <c r="J396" s="567" t="s">
        <v>1445</v>
      </c>
      <c r="K396" s="961" t="s">
        <v>1373</v>
      </c>
      <c r="L396" s="555" t="str">
        <f t="shared" ca="1" si="56"/>
        <v/>
      </c>
      <c r="M396" s="494" t="s">
        <v>1446</v>
      </c>
      <c r="N396" s="555" t="str">
        <f t="shared" ca="1" si="57"/>
        <v/>
      </c>
      <c r="O396" s="494" t="s">
        <v>1447</v>
      </c>
      <c r="P396" s="555" t="str">
        <f t="shared" ca="1" si="58"/>
        <v/>
      </c>
      <c r="Q396" s="494" t="s">
        <v>1448</v>
      </c>
      <c r="R396" s="494" t="str">
        <f t="shared" si="55"/>
        <v>H396</v>
      </c>
      <c r="S396" s="494" t="s">
        <v>1449</v>
      </c>
      <c r="T396" s="494">
        <v>10</v>
      </c>
      <c r="U396" s="556" t="str">
        <f t="shared" ca="1" si="59"/>
        <v/>
      </c>
      <c r="V396" s="494">
        <v>11</v>
      </c>
      <c r="W396" s="556" t="str">
        <f t="shared" ca="1" si="60"/>
        <v/>
      </c>
      <c r="X396" s="494" t="s">
        <v>1450</v>
      </c>
      <c r="Y396" s="547" t="str">
        <f t="shared" ca="1" si="61"/>
        <v/>
      </c>
      <c r="Z396" s="494" t="s">
        <v>1451</v>
      </c>
      <c r="AA396" s="547" t="str">
        <f t="shared" ca="1" si="62"/>
        <v/>
      </c>
      <c r="AB396" s="494" t="s">
        <v>1452</v>
      </c>
      <c r="AC396" s="547" t="str">
        <f t="shared" ca="1" si="63"/>
        <v/>
      </c>
      <c r="AD396" s="557"/>
      <c r="AE396" s="958"/>
    </row>
    <row r="397" spans="1:31" ht="15" customHeight="1">
      <c r="A397" s="957">
        <v>54</v>
      </c>
      <c r="B397" s="566" t="s">
        <v>489</v>
      </c>
      <c r="C397" s="567" t="s">
        <v>1443</v>
      </c>
      <c r="D397" s="958">
        <v>1</v>
      </c>
      <c r="E397" s="959" t="s">
        <v>254</v>
      </c>
      <c r="F397" s="558" t="s">
        <v>1444</v>
      </c>
      <c r="G397" s="558">
        <v>396</v>
      </c>
      <c r="H397" s="558">
        <v>7</v>
      </c>
      <c r="I397" s="559" t="s">
        <v>298</v>
      </c>
      <c r="J397" s="567" t="s">
        <v>1445</v>
      </c>
      <c r="K397" s="961" t="s">
        <v>1373</v>
      </c>
      <c r="L397" s="555" t="str">
        <f t="shared" ca="1" si="56"/>
        <v/>
      </c>
      <c r="M397" s="494" t="s">
        <v>1446</v>
      </c>
      <c r="N397" s="555" t="str">
        <f t="shared" ca="1" si="57"/>
        <v/>
      </c>
      <c r="O397" s="494" t="s">
        <v>1447</v>
      </c>
      <c r="P397" s="555" t="str">
        <f t="shared" ca="1" si="58"/>
        <v/>
      </c>
      <c r="Q397" s="494" t="s">
        <v>1448</v>
      </c>
      <c r="R397" s="494" t="str">
        <f t="shared" si="55"/>
        <v>H397</v>
      </c>
      <c r="S397" s="494" t="s">
        <v>1449</v>
      </c>
      <c r="T397" s="494">
        <v>10</v>
      </c>
      <c r="U397" s="556" t="str">
        <f t="shared" ca="1" si="59"/>
        <v/>
      </c>
      <c r="V397" s="494">
        <v>11</v>
      </c>
      <c r="W397" s="556" t="str">
        <f t="shared" ca="1" si="60"/>
        <v/>
      </c>
      <c r="X397" s="494" t="s">
        <v>1450</v>
      </c>
      <c r="Y397" s="547" t="str">
        <f t="shared" ca="1" si="61"/>
        <v/>
      </c>
      <c r="Z397" s="494" t="s">
        <v>1451</v>
      </c>
      <c r="AA397" s="547" t="str">
        <f t="shared" ca="1" si="62"/>
        <v/>
      </c>
      <c r="AB397" s="494" t="s">
        <v>1452</v>
      </c>
      <c r="AC397" s="547" t="str">
        <f t="shared" ca="1" si="63"/>
        <v/>
      </c>
      <c r="AD397" s="557"/>
      <c r="AE397" s="958"/>
    </row>
    <row r="398" spans="1:31" ht="15" customHeight="1">
      <c r="A398" s="957">
        <v>54</v>
      </c>
      <c r="B398" s="566" t="s">
        <v>489</v>
      </c>
      <c r="C398" s="567" t="s">
        <v>1443</v>
      </c>
      <c r="D398" s="958">
        <v>1</v>
      </c>
      <c r="E398" s="959" t="s">
        <v>254</v>
      </c>
      <c r="F398" s="558" t="s">
        <v>1444</v>
      </c>
      <c r="G398" s="558">
        <v>397</v>
      </c>
      <c r="H398" s="558">
        <v>7.1</v>
      </c>
      <c r="I398" s="559" t="s">
        <v>299</v>
      </c>
      <c r="J398" s="567" t="s">
        <v>1445</v>
      </c>
      <c r="K398" s="961" t="s">
        <v>1373</v>
      </c>
      <c r="L398" s="555" t="str">
        <f t="shared" ca="1" si="56"/>
        <v/>
      </c>
      <c r="M398" s="494" t="s">
        <v>1446</v>
      </c>
      <c r="N398" s="555" t="str">
        <f t="shared" ca="1" si="57"/>
        <v/>
      </c>
      <c r="O398" s="494" t="s">
        <v>1447</v>
      </c>
      <c r="P398" s="555" t="str">
        <f t="shared" ca="1" si="58"/>
        <v/>
      </c>
      <c r="Q398" s="494" t="s">
        <v>1448</v>
      </c>
      <c r="R398" s="494" t="str">
        <f t="shared" si="55"/>
        <v>H398</v>
      </c>
      <c r="S398" s="494" t="s">
        <v>1449</v>
      </c>
      <c r="T398" s="494">
        <v>10</v>
      </c>
      <c r="U398" s="556" t="str">
        <f t="shared" ca="1" si="59"/>
        <v/>
      </c>
      <c r="V398" s="494">
        <v>11</v>
      </c>
      <c r="W398" s="556" t="str">
        <f t="shared" ca="1" si="60"/>
        <v/>
      </c>
      <c r="X398" s="494" t="s">
        <v>1450</v>
      </c>
      <c r="Y398" s="547" t="str">
        <f t="shared" ca="1" si="61"/>
        <v/>
      </c>
      <c r="Z398" s="494" t="s">
        <v>1451</v>
      </c>
      <c r="AA398" s="547" t="str">
        <f t="shared" ca="1" si="62"/>
        <v/>
      </c>
      <c r="AB398" s="494" t="s">
        <v>1452</v>
      </c>
      <c r="AC398" s="547" t="str">
        <f t="shared" ca="1" si="63"/>
        <v/>
      </c>
      <c r="AD398" s="557"/>
      <c r="AE398" s="958"/>
    </row>
    <row r="399" spans="1:31" ht="15" customHeight="1">
      <c r="A399" s="957">
        <v>54</v>
      </c>
      <c r="B399" s="566" t="s">
        <v>489</v>
      </c>
      <c r="C399" s="567" t="s">
        <v>1443</v>
      </c>
      <c r="D399" s="958">
        <v>1</v>
      </c>
      <c r="E399" s="959" t="s">
        <v>254</v>
      </c>
      <c r="F399" s="558" t="s">
        <v>1444</v>
      </c>
      <c r="G399" s="558">
        <v>716</v>
      </c>
      <c r="H399" s="558" t="s">
        <v>301</v>
      </c>
      <c r="I399" s="559" t="s">
        <v>497</v>
      </c>
      <c r="J399" s="567" t="s">
        <v>1445</v>
      </c>
      <c r="K399" s="961" t="s">
        <v>1373</v>
      </c>
      <c r="L399" s="555" t="str">
        <f t="shared" ca="1" si="56"/>
        <v/>
      </c>
      <c r="M399" s="494" t="s">
        <v>1446</v>
      </c>
      <c r="N399" s="555" t="str">
        <f t="shared" ca="1" si="57"/>
        <v/>
      </c>
      <c r="O399" s="494" t="s">
        <v>1447</v>
      </c>
      <c r="P399" s="555" t="str">
        <f t="shared" ca="1" si="58"/>
        <v/>
      </c>
      <c r="Q399" s="494" t="s">
        <v>1448</v>
      </c>
      <c r="R399" s="494" t="str">
        <f t="shared" si="55"/>
        <v>H399</v>
      </c>
      <c r="S399" s="494" t="s">
        <v>1449</v>
      </c>
      <c r="T399" s="494">
        <v>10</v>
      </c>
      <c r="U399" s="556" t="str">
        <f t="shared" ca="1" si="59"/>
        <v/>
      </c>
      <c r="V399" s="494">
        <v>11</v>
      </c>
      <c r="W399" s="556" t="str">
        <f t="shared" ca="1" si="60"/>
        <v/>
      </c>
      <c r="X399" s="494" t="s">
        <v>1450</v>
      </c>
      <c r="Y399" s="547" t="str">
        <f t="shared" ca="1" si="61"/>
        <v/>
      </c>
      <c r="Z399" s="494" t="s">
        <v>1451</v>
      </c>
      <c r="AA399" s="547" t="str">
        <f t="shared" ca="1" si="62"/>
        <v/>
      </c>
      <c r="AB399" s="494" t="s">
        <v>1452</v>
      </c>
      <c r="AC399" s="547" t="str">
        <f t="shared" ca="1" si="63"/>
        <v/>
      </c>
      <c r="AD399" s="557"/>
      <c r="AE399" s="958"/>
    </row>
    <row r="400" spans="1:31" ht="15" customHeight="1">
      <c r="A400" s="957">
        <v>54</v>
      </c>
      <c r="B400" s="566" t="s">
        <v>489</v>
      </c>
      <c r="C400" s="567" t="s">
        <v>1443</v>
      </c>
      <c r="D400" s="958">
        <v>1</v>
      </c>
      <c r="E400" s="959" t="s">
        <v>254</v>
      </c>
      <c r="F400" s="558" t="s">
        <v>1444</v>
      </c>
      <c r="G400" s="558">
        <v>716</v>
      </c>
      <c r="H400" s="558" t="s">
        <v>303</v>
      </c>
      <c r="I400" s="559" t="s">
        <v>499</v>
      </c>
      <c r="J400" s="567" t="s">
        <v>1445</v>
      </c>
      <c r="K400" s="961" t="s">
        <v>1373</v>
      </c>
      <c r="L400" s="555" t="str">
        <f t="shared" ca="1" si="56"/>
        <v/>
      </c>
      <c r="M400" s="494" t="s">
        <v>1446</v>
      </c>
      <c r="N400" s="555" t="str">
        <f t="shared" ca="1" si="57"/>
        <v/>
      </c>
      <c r="O400" s="494" t="s">
        <v>1447</v>
      </c>
      <c r="P400" s="555" t="str">
        <f t="shared" ca="1" si="58"/>
        <v/>
      </c>
      <c r="Q400" s="494" t="s">
        <v>1448</v>
      </c>
      <c r="R400" s="494" t="str">
        <f t="shared" si="55"/>
        <v>H400</v>
      </c>
      <c r="S400" s="494" t="s">
        <v>1449</v>
      </c>
      <c r="T400" s="494">
        <v>10</v>
      </c>
      <c r="U400" s="556" t="str">
        <f t="shared" ca="1" si="59"/>
        <v/>
      </c>
      <c r="V400" s="494">
        <v>11</v>
      </c>
      <c r="W400" s="556" t="str">
        <f t="shared" ca="1" si="60"/>
        <v/>
      </c>
      <c r="X400" s="494" t="s">
        <v>1450</v>
      </c>
      <c r="Y400" s="547" t="str">
        <f t="shared" ca="1" si="61"/>
        <v/>
      </c>
      <c r="Z400" s="494" t="s">
        <v>1451</v>
      </c>
      <c r="AA400" s="547" t="str">
        <f t="shared" ca="1" si="62"/>
        <v/>
      </c>
      <c r="AB400" s="494" t="s">
        <v>1452</v>
      </c>
      <c r="AC400" s="547" t="str">
        <f t="shared" ca="1" si="63"/>
        <v/>
      </c>
      <c r="AD400" s="557"/>
      <c r="AE400" s="958"/>
    </row>
    <row r="401" spans="1:31" ht="15" customHeight="1">
      <c r="A401" s="957">
        <v>54</v>
      </c>
      <c r="B401" s="566" t="s">
        <v>489</v>
      </c>
      <c r="C401" s="567" t="s">
        <v>1443</v>
      </c>
      <c r="D401" s="958">
        <v>1</v>
      </c>
      <c r="E401" s="959" t="s">
        <v>306</v>
      </c>
      <c r="F401" s="558" t="s">
        <v>1454</v>
      </c>
      <c r="G401" s="558">
        <v>409</v>
      </c>
      <c r="H401" s="558">
        <v>9.1</v>
      </c>
      <c r="I401" s="559" t="s">
        <v>309</v>
      </c>
      <c r="J401" s="567" t="s">
        <v>1445</v>
      </c>
      <c r="K401" s="961" t="s">
        <v>1373</v>
      </c>
      <c r="L401" s="555" t="str">
        <f t="shared" ca="1" si="56"/>
        <v/>
      </c>
      <c r="M401" s="494" t="s">
        <v>1446</v>
      </c>
      <c r="N401" s="555" t="str">
        <f t="shared" ca="1" si="57"/>
        <v/>
      </c>
      <c r="O401" s="494" t="s">
        <v>1447</v>
      </c>
      <c r="P401" s="555" t="str">
        <f t="shared" ca="1" si="58"/>
        <v/>
      </c>
      <c r="Q401" s="494" t="s">
        <v>1448</v>
      </c>
      <c r="R401" s="494" t="str">
        <f t="shared" si="55"/>
        <v>H401</v>
      </c>
      <c r="S401" s="494" t="s">
        <v>1449</v>
      </c>
      <c r="T401" s="494">
        <v>10</v>
      </c>
      <c r="U401" s="556" t="str">
        <f t="shared" ca="1" si="59"/>
        <v/>
      </c>
      <c r="V401" s="494">
        <v>11</v>
      </c>
      <c r="W401" s="556" t="str">
        <f t="shared" ca="1" si="60"/>
        <v/>
      </c>
      <c r="X401" s="494" t="s">
        <v>1450</v>
      </c>
      <c r="Y401" s="547" t="str">
        <f t="shared" ca="1" si="61"/>
        <v/>
      </c>
      <c r="Z401" s="494" t="s">
        <v>1451</v>
      </c>
      <c r="AA401" s="547" t="str">
        <f t="shared" ca="1" si="62"/>
        <v/>
      </c>
      <c r="AB401" s="494" t="s">
        <v>1452</v>
      </c>
      <c r="AC401" s="547" t="str">
        <f t="shared" ca="1" si="63"/>
        <v/>
      </c>
      <c r="AD401" s="557"/>
      <c r="AE401" s="958"/>
    </row>
    <row r="402" spans="1:31" ht="15" customHeight="1">
      <c r="A402" s="957">
        <v>54</v>
      </c>
      <c r="B402" s="566" t="s">
        <v>489</v>
      </c>
      <c r="C402" s="567" t="s">
        <v>1443</v>
      </c>
      <c r="D402" s="958">
        <v>1</v>
      </c>
      <c r="E402" s="959" t="s">
        <v>306</v>
      </c>
      <c r="F402" s="558" t="s">
        <v>1454</v>
      </c>
      <c r="G402" s="558">
        <v>410</v>
      </c>
      <c r="H402" s="558">
        <v>9.1999999999999993</v>
      </c>
      <c r="I402" s="559" t="s">
        <v>310</v>
      </c>
      <c r="J402" s="567" t="s">
        <v>1445</v>
      </c>
      <c r="K402" s="961" t="s">
        <v>1373</v>
      </c>
      <c r="L402" s="555" t="str">
        <f t="shared" ca="1" si="56"/>
        <v/>
      </c>
      <c r="M402" s="494" t="s">
        <v>1446</v>
      </c>
      <c r="N402" s="555" t="str">
        <f t="shared" ca="1" si="57"/>
        <v/>
      </c>
      <c r="O402" s="494" t="s">
        <v>1447</v>
      </c>
      <c r="P402" s="555" t="str">
        <f t="shared" ca="1" si="58"/>
        <v/>
      </c>
      <c r="Q402" s="494" t="s">
        <v>1448</v>
      </c>
      <c r="R402" s="494" t="str">
        <f t="shared" si="55"/>
        <v>H402</v>
      </c>
      <c r="S402" s="494" t="s">
        <v>1449</v>
      </c>
      <c r="T402" s="494">
        <v>10</v>
      </c>
      <c r="U402" s="556" t="str">
        <f t="shared" ca="1" si="59"/>
        <v/>
      </c>
      <c r="V402" s="494">
        <v>11</v>
      </c>
      <c r="W402" s="556" t="str">
        <f t="shared" ca="1" si="60"/>
        <v/>
      </c>
      <c r="X402" s="494" t="s">
        <v>1450</v>
      </c>
      <c r="Y402" s="547" t="str">
        <f t="shared" ca="1" si="61"/>
        <v/>
      </c>
      <c r="Z402" s="494" t="s">
        <v>1451</v>
      </c>
      <c r="AA402" s="547" t="str">
        <f t="shared" ca="1" si="62"/>
        <v/>
      </c>
      <c r="AB402" s="494" t="s">
        <v>1452</v>
      </c>
      <c r="AC402" s="547" t="str">
        <f t="shared" ca="1" si="63"/>
        <v/>
      </c>
      <c r="AD402" s="557"/>
      <c r="AE402" s="958"/>
    </row>
    <row r="403" spans="1:31" ht="15" customHeight="1">
      <c r="A403" s="957">
        <v>54</v>
      </c>
      <c r="B403" s="566" t="s">
        <v>489</v>
      </c>
      <c r="C403" s="567" t="s">
        <v>1443</v>
      </c>
      <c r="D403" s="958">
        <v>1</v>
      </c>
      <c r="E403" s="959" t="s">
        <v>306</v>
      </c>
      <c r="F403" s="558" t="s">
        <v>1454</v>
      </c>
      <c r="G403" s="558">
        <v>411</v>
      </c>
      <c r="H403" s="558">
        <v>9.3000000000000007</v>
      </c>
      <c r="I403" s="559" t="s">
        <v>311</v>
      </c>
      <c r="J403" s="567" t="s">
        <v>1445</v>
      </c>
      <c r="K403" s="961" t="s">
        <v>1373</v>
      </c>
      <c r="L403" s="555" t="str">
        <f t="shared" ca="1" si="56"/>
        <v/>
      </c>
      <c r="M403" s="494" t="s">
        <v>1446</v>
      </c>
      <c r="N403" s="555" t="str">
        <f t="shared" ca="1" si="57"/>
        <v/>
      </c>
      <c r="O403" s="494" t="s">
        <v>1447</v>
      </c>
      <c r="P403" s="555" t="str">
        <f t="shared" ca="1" si="58"/>
        <v/>
      </c>
      <c r="Q403" s="494" t="s">
        <v>1448</v>
      </c>
      <c r="R403" s="494" t="str">
        <f t="shared" si="55"/>
        <v>H403</v>
      </c>
      <c r="S403" s="494" t="s">
        <v>1449</v>
      </c>
      <c r="T403" s="494">
        <v>10</v>
      </c>
      <c r="U403" s="556" t="str">
        <f t="shared" ca="1" si="59"/>
        <v/>
      </c>
      <c r="V403" s="494">
        <v>11</v>
      </c>
      <c r="W403" s="556" t="str">
        <f t="shared" ca="1" si="60"/>
        <v/>
      </c>
      <c r="X403" s="494" t="s">
        <v>1450</v>
      </c>
      <c r="Y403" s="547" t="str">
        <f t="shared" ca="1" si="61"/>
        <v/>
      </c>
      <c r="Z403" s="494" t="s">
        <v>1451</v>
      </c>
      <c r="AA403" s="547" t="str">
        <f t="shared" ca="1" si="62"/>
        <v/>
      </c>
      <c r="AB403" s="494" t="s">
        <v>1452</v>
      </c>
      <c r="AC403" s="547" t="str">
        <f t="shared" ca="1" si="63"/>
        <v/>
      </c>
      <c r="AD403" s="557"/>
      <c r="AE403" s="958"/>
    </row>
    <row r="404" spans="1:31" ht="15" customHeight="1">
      <c r="A404" s="957">
        <v>54</v>
      </c>
      <c r="B404" s="566" t="s">
        <v>489</v>
      </c>
      <c r="C404" s="567" t="s">
        <v>1443</v>
      </c>
      <c r="D404" s="958">
        <v>1</v>
      </c>
      <c r="E404" s="959" t="s">
        <v>306</v>
      </c>
      <c r="F404" s="558" t="s">
        <v>1454</v>
      </c>
      <c r="G404" s="558">
        <v>419</v>
      </c>
      <c r="H404" s="558">
        <v>10.1</v>
      </c>
      <c r="I404" s="559" t="s">
        <v>314</v>
      </c>
      <c r="J404" s="567" t="s">
        <v>1445</v>
      </c>
      <c r="K404" s="961" t="s">
        <v>1373</v>
      </c>
      <c r="L404" s="555" t="str">
        <f t="shared" ca="1" si="56"/>
        <v/>
      </c>
      <c r="M404" s="494" t="s">
        <v>1446</v>
      </c>
      <c r="N404" s="555" t="str">
        <f t="shared" ca="1" si="57"/>
        <v/>
      </c>
      <c r="O404" s="494" t="s">
        <v>1447</v>
      </c>
      <c r="P404" s="555" t="str">
        <f t="shared" ca="1" si="58"/>
        <v/>
      </c>
      <c r="Q404" s="494" t="s">
        <v>1448</v>
      </c>
      <c r="R404" s="494" t="str">
        <f t="shared" si="55"/>
        <v>H404</v>
      </c>
      <c r="S404" s="494" t="s">
        <v>1449</v>
      </c>
      <c r="T404" s="494">
        <v>10</v>
      </c>
      <c r="U404" s="556" t="str">
        <f t="shared" ca="1" si="59"/>
        <v/>
      </c>
      <c r="V404" s="494">
        <v>11</v>
      </c>
      <c r="W404" s="556" t="str">
        <f t="shared" ca="1" si="60"/>
        <v/>
      </c>
      <c r="X404" s="494" t="s">
        <v>1450</v>
      </c>
      <c r="Y404" s="547" t="str">
        <f t="shared" ca="1" si="61"/>
        <v/>
      </c>
      <c r="Z404" s="494" t="s">
        <v>1451</v>
      </c>
      <c r="AA404" s="547" t="str">
        <f t="shared" ca="1" si="62"/>
        <v/>
      </c>
      <c r="AB404" s="494" t="s">
        <v>1452</v>
      </c>
      <c r="AC404" s="547" t="str">
        <f t="shared" ca="1" si="63"/>
        <v/>
      </c>
      <c r="AD404" s="557"/>
      <c r="AE404" s="958"/>
    </row>
    <row r="405" spans="1:31" ht="15" customHeight="1">
      <c r="A405" s="957">
        <v>54</v>
      </c>
      <c r="B405" s="566" t="s">
        <v>489</v>
      </c>
      <c r="C405" s="567" t="s">
        <v>1443</v>
      </c>
      <c r="D405" s="958">
        <v>1</v>
      </c>
      <c r="E405" s="959" t="s">
        <v>306</v>
      </c>
      <c r="F405" s="558" t="s">
        <v>1454</v>
      </c>
      <c r="G405" s="558">
        <v>719</v>
      </c>
      <c r="H405" s="558">
        <v>10.199999999999999</v>
      </c>
      <c r="I405" s="559" t="s">
        <v>315</v>
      </c>
      <c r="J405" s="567" t="s">
        <v>1445</v>
      </c>
      <c r="K405" s="961" t="s">
        <v>1373</v>
      </c>
      <c r="L405" s="555" t="str">
        <f t="shared" ca="1" si="56"/>
        <v/>
      </c>
      <c r="M405" s="494" t="s">
        <v>1446</v>
      </c>
      <c r="N405" s="555" t="str">
        <f t="shared" ca="1" si="57"/>
        <v/>
      </c>
      <c r="O405" s="494" t="s">
        <v>1447</v>
      </c>
      <c r="P405" s="555" t="str">
        <f t="shared" ca="1" si="58"/>
        <v/>
      </c>
      <c r="Q405" s="494" t="s">
        <v>1448</v>
      </c>
      <c r="R405" s="494" t="str">
        <f t="shared" si="55"/>
        <v>H405</v>
      </c>
      <c r="S405" s="494" t="s">
        <v>1449</v>
      </c>
      <c r="T405" s="494">
        <v>10</v>
      </c>
      <c r="U405" s="556" t="str">
        <f t="shared" ca="1" si="59"/>
        <v/>
      </c>
      <c r="V405" s="494">
        <v>11</v>
      </c>
      <c r="W405" s="556" t="str">
        <f t="shared" ca="1" si="60"/>
        <v/>
      </c>
      <c r="X405" s="494" t="s">
        <v>1450</v>
      </c>
      <c r="Y405" s="547" t="str">
        <f t="shared" ca="1" si="61"/>
        <v/>
      </c>
      <c r="Z405" s="494" t="s">
        <v>1451</v>
      </c>
      <c r="AA405" s="547" t="str">
        <f t="shared" ca="1" si="62"/>
        <v/>
      </c>
      <c r="AB405" s="494" t="s">
        <v>1452</v>
      </c>
      <c r="AC405" s="547" t="str">
        <f t="shared" ca="1" si="63"/>
        <v/>
      </c>
      <c r="AD405" s="557"/>
      <c r="AE405" s="958"/>
    </row>
    <row r="406" spans="1:31" ht="15" customHeight="1">
      <c r="A406" s="957">
        <v>54</v>
      </c>
      <c r="B406" s="566" t="s">
        <v>489</v>
      </c>
      <c r="C406" s="567" t="s">
        <v>1443</v>
      </c>
      <c r="D406" s="958">
        <v>1</v>
      </c>
      <c r="E406" s="959" t="s">
        <v>306</v>
      </c>
      <c r="F406" s="558" t="s">
        <v>1454</v>
      </c>
      <c r="G406" s="558">
        <v>720</v>
      </c>
      <c r="H406" s="558">
        <v>10.3</v>
      </c>
      <c r="I406" s="559" t="s">
        <v>316</v>
      </c>
      <c r="J406" s="567" t="s">
        <v>1445</v>
      </c>
      <c r="K406" s="961" t="s">
        <v>1373</v>
      </c>
      <c r="L406" s="555" t="str">
        <f t="shared" ca="1" si="56"/>
        <v/>
      </c>
      <c r="M406" s="494" t="s">
        <v>1446</v>
      </c>
      <c r="N406" s="555" t="str">
        <f t="shared" ca="1" si="57"/>
        <v/>
      </c>
      <c r="O406" s="494" t="s">
        <v>1447</v>
      </c>
      <c r="P406" s="555" t="str">
        <f t="shared" ca="1" si="58"/>
        <v/>
      </c>
      <c r="Q406" s="494" t="s">
        <v>1448</v>
      </c>
      <c r="R406" s="494" t="str">
        <f t="shared" si="55"/>
        <v>H406</v>
      </c>
      <c r="S406" s="494" t="s">
        <v>1449</v>
      </c>
      <c r="T406" s="494">
        <v>10</v>
      </c>
      <c r="U406" s="556" t="str">
        <f t="shared" ca="1" si="59"/>
        <v/>
      </c>
      <c r="V406" s="494">
        <v>11</v>
      </c>
      <c r="W406" s="556" t="str">
        <f t="shared" ca="1" si="60"/>
        <v/>
      </c>
      <c r="X406" s="494" t="s">
        <v>1450</v>
      </c>
      <c r="Y406" s="547" t="str">
        <f t="shared" ca="1" si="61"/>
        <v/>
      </c>
      <c r="Z406" s="494" t="s">
        <v>1451</v>
      </c>
      <c r="AA406" s="547" t="str">
        <f t="shared" ca="1" si="62"/>
        <v/>
      </c>
      <c r="AB406" s="494" t="s">
        <v>1452</v>
      </c>
      <c r="AC406" s="547" t="str">
        <f t="shared" ca="1" si="63"/>
        <v/>
      </c>
      <c r="AD406" s="557"/>
      <c r="AE406" s="958"/>
    </row>
    <row r="407" spans="1:31" ht="15" customHeight="1">
      <c r="A407" s="957">
        <v>54</v>
      </c>
      <c r="B407" s="566" t="s">
        <v>489</v>
      </c>
      <c r="C407" s="567" t="s">
        <v>1443</v>
      </c>
      <c r="D407" s="958">
        <v>1</v>
      </c>
      <c r="E407" s="959" t="s">
        <v>306</v>
      </c>
      <c r="F407" s="558" t="s">
        <v>1454</v>
      </c>
      <c r="G407" s="558">
        <v>412</v>
      </c>
      <c r="H407" s="558">
        <v>11</v>
      </c>
      <c r="I407" s="559" t="s">
        <v>319</v>
      </c>
      <c r="J407" s="567" t="s">
        <v>1445</v>
      </c>
      <c r="K407" s="961" t="s">
        <v>1373</v>
      </c>
      <c r="L407" s="555" t="str">
        <f t="shared" ca="1" si="56"/>
        <v/>
      </c>
      <c r="M407" s="494" t="s">
        <v>1446</v>
      </c>
      <c r="N407" s="555" t="str">
        <f t="shared" ca="1" si="57"/>
        <v/>
      </c>
      <c r="O407" s="494" t="s">
        <v>1447</v>
      </c>
      <c r="P407" s="555" t="str">
        <f t="shared" ca="1" si="58"/>
        <v/>
      </c>
      <c r="Q407" s="494" t="s">
        <v>1448</v>
      </c>
      <c r="R407" s="494" t="str">
        <f t="shared" si="55"/>
        <v>H407</v>
      </c>
      <c r="S407" s="494" t="s">
        <v>1449</v>
      </c>
      <c r="T407" s="494">
        <v>10</v>
      </c>
      <c r="U407" s="556" t="str">
        <f t="shared" ca="1" si="59"/>
        <v/>
      </c>
      <c r="V407" s="494">
        <v>11</v>
      </c>
      <c r="W407" s="556" t="str">
        <f t="shared" ca="1" si="60"/>
        <v/>
      </c>
      <c r="X407" s="494" t="s">
        <v>1450</v>
      </c>
      <c r="Y407" s="547" t="str">
        <f t="shared" ca="1" si="61"/>
        <v/>
      </c>
      <c r="Z407" s="494" t="s">
        <v>1451</v>
      </c>
      <c r="AA407" s="547" t="str">
        <f t="shared" ca="1" si="62"/>
        <v/>
      </c>
      <c r="AB407" s="494" t="s">
        <v>1452</v>
      </c>
      <c r="AC407" s="547" t="str">
        <f t="shared" ca="1" si="63"/>
        <v/>
      </c>
      <c r="AD407" s="557"/>
      <c r="AE407" s="958"/>
    </row>
    <row r="408" spans="1:31" ht="15" customHeight="1">
      <c r="A408" s="957">
        <v>54</v>
      </c>
      <c r="B408" s="566" t="s">
        <v>489</v>
      </c>
      <c r="C408" s="567" t="s">
        <v>1443</v>
      </c>
      <c r="D408" s="958">
        <v>1</v>
      </c>
      <c r="E408" s="959" t="s">
        <v>306</v>
      </c>
      <c r="F408" s="558" t="s">
        <v>1454</v>
      </c>
      <c r="G408" s="558">
        <v>413</v>
      </c>
      <c r="H408" s="558">
        <v>11.1</v>
      </c>
      <c r="I408" s="559" t="s">
        <v>320</v>
      </c>
      <c r="J408" s="567" t="s">
        <v>1445</v>
      </c>
      <c r="K408" s="961" t="s">
        <v>1373</v>
      </c>
      <c r="L408" s="555" t="str">
        <f t="shared" ca="1" si="56"/>
        <v/>
      </c>
      <c r="M408" s="494" t="s">
        <v>1446</v>
      </c>
      <c r="N408" s="555" t="str">
        <f t="shared" ca="1" si="57"/>
        <v/>
      </c>
      <c r="O408" s="494" t="s">
        <v>1447</v>
      </c>
      <c r="P408" s="555" t="str">
        <f t="shared" ca="1" si="58"/>
        <v/>
      </c>
      <c r="Q408" s="494" t="s">
        <v>1448</v>
      </c>
      <c r="R408" s="494" t="str">
        <f t="shared" si="55"/>
        <v>H408</v>
      </c>
      <c r="S408" s="494" t="s">
        <v>1449</v>
      </c>
      <c r="T408" s="494">
        <v>10</v>
      </c>
      <c r="U408" s="556" t="str">
        <f t="shared" ca="1" si="59"/>
        <v/>
      </c>
      <c r="V408" s="494">
        <v>11</v>
      </c>
      <c r="W408" s="556" t="str">
        <f t="shared" ca="1" si="60"/>
        <v/>
      </c>
      <c r="X408" s="494" t="s">
        <v>1450</v>
      </c>
      <c r="Y408" s="547" t="str">
        <f t="shared" ca="1" si="61"/>
        <v/>
      </c>
      <c r="Z408" s="494" t="s">
        <v>1451</v>
      </c>
      <c r="AA408" s="547" t="str">
        <f t="shared" ca="1" si="62"/>
        <v/>
      </c>
      <c r="AB408" s="494" t="s">
        <v>1452</v>
      </c>
      <c r="AC408" s="547" t="str">
        <f t="shared" ca="1" si="63"/>
        <v/>
      </c>
      <c r="AD408" s="557"/>
      <c r="AE408" s="958"/>
    </row>
    <row r="409" spans="1:31" ht="15" customHeight="1">
      <c r="A409" s="957">
        <v>54</v>
      </c>
      <c r="B409" s="566" t="s">
        <v>489</v>
      </c>
      <c r="C409" s="567" t="s">
        <v>1443</v>
      </c>
      <c r="D409" s="958">
        <v>1</v>
      </c>
      <c r="E409" s="959" t="s">
        <v>306</v>
      </c>
      <c r="F409" s="558" t="s">
        <v>1454</v>
      </c>
      <c r="G409" s="558">
        <v>721</v>
      </c>
      <c r="H409" s="558">
        <v>11.2</v>
      </c>
      <c r="I409" s="559" t="s">
        <v>321</v>
      </c>
      <c r="J409" s="567" t="s">
        <v>1445</v>
      </c>
      <c r="K409" s="961" t="s">
        <v>1373</v>
      </c>
      <c r="L409" s="555" t="str">
        <f t="shared" ca="1" si="56"/>
        <v/>
      </c>
      <c r="M409" s="494" t="s">
        <v>1446</v>
      </c>
      <c r="N409" s="555" t="str">
        <f t="shared" ca="1" si="57"/>
        <v/>
      </c>
      <c r="O409" s="494" t="s">
        <v>1447</v>
      </c>
      <c r="P409" s="555" t="str">
        <f t="shared" ca="1" si="58"/>
        <v/>
      </c>
      <c r="Q409" s="494" t="s">
        <v>1448</v>
      </c>
      <c r="R409" s="494" t="str">
        <f t="shared" si="55"/>
        <v>H409</v>
      </c>
      <c r="S409" s="494" t="s">
        <v>1449</v>
      </c>
      <c r="T409" s="494">
        <v>10</v>
      </c>
      <c r="U409" s="556" t="str">
        <f t="shared" ca="1" si="59"/>
        <v/>
      </c>
      <c r="V409" s="494">
        <v>11</v>
      </c>
      <c r="W409" s="556" t="str">
        <f t="shared" ca="1" si="60"/>
        <v/>
      </c>
      <c r="X409" s="494" t="s">
        <v>1450</v>
      </c>
      <c r="Y409" s="547" t="str">
        <f t="shared" ca="1" si="61"/>
        <v/>
      </c>
      <c r="Z409" s="494" t="s">
        <v>1451</v>
      </c>
      <c r="AA409" s="547" t="str">
        <f t="shared" ca="1" si="62"/>
        <v/>
      </c>
      <c r="AB409" s="494" t="s">
        <v>1452</v>
      </c>
      <c r="AC409" s="547" t="str">
        <f t="shared" ca="1" si="63"/>
        <v/>
      </c>
      <c r="AD409" s="557"/>
      <c r="AE409" s="958"/>
    </row>
    <row r="410" spans="1:31" ht="15" customHeight="1">
      <c r="A410" s="957">
        <v>54</v>
      </c>
      <c r="B410" s="566" t="s">
        <v>489</v>
      </c>
      <c r="C410" s="567" t="s">
        <v>1443</v>
      </c>
      <c r="D410" s="958">
        <v>1</v>
      </c>
      <c r="E410" s="959" t="s">
        <v>306</v>
      </c>
      <c r="F410" s="558" t="s">
        <v>1454</v>
      </c>
      <c r="G410" s="558">
        <v>722</v>
      </c>
      <c r="H410" s="558">
        <v>11.3</v>
      </c>
      <c r="I410" s="559" t="s">
        <v>322</v>
      </c>
      <c r="J410" s="567" t="s">
        <v>1445</v>
      </c>
      <c r="K410" s="961" t="s">
        <v>1373</v>
      </c>
      <c r="L410" s="555" t="str">
        <f t="shared" ca="1" si="56"/>
        <v/>
      </c>
      <c r="M410" s="494" t="s">
        <v>1446</v>
      </c>
      <c r="N410" s="555" t="str">
        <f t="shared" ca="1" si="57"/>
        <v/>
      </c>
      <c r="O410" s="494" t="s">
        <v>1447</v>
      </c>
      <c r="P410" s="555" t="str">
        <f t="shared" ca="1" si="58"/>
        <v/>
      </c>
      <c r="Q410" s="494" t="s">
        <v>1448</v>
      </c>
      <c r="R410" s="494" t="str">
        <f t="shared" si="55"/>
        <v>H410</v>
      </c>
      <c r="S410" s="494" t="s">
        <v>1449</v>
      </c>
      <c r="T410" s="494">
        <v>10</v>
      </c>
      <c r="U410" s="556" t="str">
        <f t="shared" ca="1" si="59"/>
        <v/>
      </c>
      <c r="V410" s="494">
        <v>11</v>
      </c>
      <c r="W410" s="556" t="str">
        <f t="shared" ca="1" si="60"/>
        <v/>
      </c>
      <c r="X410" s="494" t="s">
        <v>1450</v>
      </c>
      <c r="Y410" s="547" t="str">
        <f t="shared" ca="1" si="61"/>
        <v/>
      </c>
      <c r="Z410" s="494" t="s">
        <v>1451</v>
      </c>
      <c r="AA410" s="547" t="str">
        <f t="shared" ca="1" si="62"/>
        <v/>
      </c>
      <c r="AB410" s="494" t="s">
        <v>1452</v>
      </c>
      <c r="AC410" s="547" t="str">
        <f t="shared" ca="1" si="63"/>
        <v/>
      </c>
      <c r="AD410" s="557"/>
      <c r="AE410" s="958"/>
    </row>
    <row r="411" spans="1:31" ht="15" customHeight="1">
      <c r="A411" s="957">
        <v>54</v>
      </c>
      <c r="B411" s="566" t="s">
        <v>489</v>
      </c>
      <c r="C411" s="567" t="s">
        <v>1443</v>
      </c>
      <c r="D411" s="958">
        <v>1</v>
      </c>
      <c r="E411" s="959" t="s">
        <v>306</v>
      </c>
      <c r="F411" s="558" t="s">
        <v>1454</v>
      </c>
      <c r="G411" s="558">
        <v>415</v>
      </c>
      <c r="H411" s="558">
        <v>12</v>
      </c>
      <c r="I411" s="559" t="s">
        <v>325</v>
      </c>
      <c r="J411" s="567" t="s">
        <v>1445</v>
      </c>
      <c r="K411" s="961" t="s">
        <v>1373</v>
      </c>
      <c r="L411" s="555" t="str">
        <f t="shared" ca="1" si="56"/>
        <v/>
      </c>
      <c r="M411" s="494" t="s">
        <v>1446</v>
      </c>
      <c r="N411" s="555" t="str">
        <f t="shared" ca="1" si="57"/>
        <v/>
      </c>
      <c r="O411" s="494" t="s">
        <v>1447</v>
      </c>
      <c r="P411" s="555" t="str">
        <f t="shared" ca="1" si="58"/>
        <v/>
      </c>
      <c r="Q411" s="494" t="s">
        <v>1448</v>
      </c>
      <c r="R411" s="494" t="str">
        <f t="shared" si="55"/>
        <v>H411</v>
      </c>
      <c r="S411" s="494" t="s">
        <v>1449</v>
      </c>
      <c r="T411" s="494">
        <v>10</v>
      </c>
      <c r="U411" s="556" t="str">
        <f t="shared" ca="1" si="59"/>
        <v/>
      </c>
      <c r="V411" s="494">
        <v>11</v>
      </c>
      <c r="W411" s="556" t="str">
        <f t="shared" ca="1" si="60"/>
        <v/>
      </c>
      <c r="X411" s="494" t="s">
        <v>1450</v>
      </c>
      <c r="Y411" s="547" t="str">
        <f t="shared" ca="1" si="61"/>
        <v/>
      </c>
      <c r="Z411" s="494" t="s">
        <v>1451</v>
      </c>
      <c r="AA411" s="547" t="str">
        <f t="shared" ca="1" si="62"/>
        <v/>
      </c>
      <c r="AB411" s="494" t="s">
        <v>1452</v>
      </c>
      <c r="AC411" s="547" t="str">
        <f t="shared" ca="1" si="63"/>
        <v/>
      </c>
      <c r="AD411" s="557"/>
      <c r="AE411" s="958"/>
    </row>
    <row r="412" spans="1:31" ht="15" customHeight="1">
      <c r="A412" s="957">
        <v>54</v>
      </c>
      <c r="B412" s="566" t="s">
        <v>489</v>
      </c>
      <c r="C412" s="567" t="s">
        <v>1443</v>
      </c>
      <c r="D412" s="958">
        <v>1</v>
      </c>
      <c r="E412" s="959" t="s">
        <v>306</v>
      </c>
      <c r="F412" s="558" t="s">
        <v>1454</v>
      </c>
      <c r="G412" s="558">
        <v>416</v>
      </c>
      <c r="H412" s="558">
        <v>12.1</v>
      </c>
      <c r="I412" s="559" t="s">
        <v>326</v>
      </c>
      <c r="J412" s="567" t="s">
        <v>1445</v>
      </c>
      <c r="K412" s="961" t="s">
        <v>1373</v>
      </c>
      <c r="L412" s="555" t="str">
        <f t="shared" ca="1" si="56"/>
        <v/>
      </c>
      <c r="M412" s="494" t="s">
        <v>1446</v>
      </c>
      <c r="N412" s="555" t="str">
        <f t="shared" ca="1" si="57"/>
        <v/>
      </c>
      <c r="O412" s="494" t="s">
        <v>1447</v>
      </c>
      <c r="P412" s="555" t="str">
        <f t="shared" ca="1" si="58"/>
        <v/>
      </c>
      <c r="Q412" s="494" t="s">
        <v>1448</v>
      </c>
      <c r="R412" s="494" t="str">
        <f t="shared" si="55"/>
        <v>H412</v>
      </c>
      <c r="S412" s="494" t="s">
        <v>1449</v>
      </c>
      <c r="T412" s="494">
        <v>10</v>
      </c>
      <c r="U412" s="556" t="str">
        <f t="shared" ca="1" si="59"/>
        <v/>
      </c>
      <c r="V412" s="494">
        <v>11</v>
      </c>
      <c r="W412" s="556" t="str">
        <f t="shared" ca="1" si="60"/>
        <v/>
      </c>
      <c r="X412" s="494" t="s">
        <v>1450</v>
      </c>
      <c r="Y412" s="547" t="str">
        <f t="shared" ca="1" si="61"/>
        <v/>
      </c>
      <c r="Z412" s="494" t="s">
        <v>1451</v>
      </c>
      <c r="AA412" s="547" t="str">
        <f t="shared" ca="1" si="62"/>
        <v/>
      </c>
      <c r="AB412" s="494" t="s">
        <v>1452</v>
      </c>
      <c r="AC412" s="547" t="str">
        <f t="shared" ca="1" si="63"/>
        <v/>
      </c>
      <c r="AD412" s="557"/>
      <c r="AE412" s="958"/>
    </row>
    <row r="413" spans="1:31" ht="15" customHeight="1">
      <c r="A413" s="957">
        <v>54</v>
      </c>
      <c r="B413" s="566" t="s">
        <v>489</v>
      </c>
      <c r="C413" s="567" t="s">
        <v>1443</v>
      </c>
      <c r="D413" s="958">
        <v>1</v>
      </c>
      <c r="E413" s="959" t="s">
        <v>306</v>
      </c>
      <c r="F413" s="558" t="s">
        <v>1454</v>
      </c>
      <c r="G413" s="558">
        <v>417</v>
      </c>
      <c r="H413" s="558">
        <v>12.2</v>
      </c>
      <c r="I413" s="559" t="s">
        <v>327</v>
      </c>
      <c r="J413" s="567" t="s">
        <v>1445</v>
      </c>
      <c r="K413" s="961" t="s">
        <v>1373</v>
      </c>
      <c r="L413" s="555" t="str">
        <f t="shared" ca="1" si="56"/>
        <v/>
      </c>
      <c r="M413" s="494" t="s">
        <v>1446</v>
      </c>
      <c r="N413" s="555" t="str">
        <f t="shared" ca="1" si="57"/>
        <v/>
      </c>
      <c r="O413" s="494" t="s">
        <v>1447</v>
      </c>
      <c r="P413" s="555" t="str">
        <f t="shared" ca="1" si="58"/>
        <v/>
      </c>
      <c r="Q413" s="494" t="s">
        <v>1448</v>
      </c>
      <c r="R413" s="494" t="str">
        <f t="shared" si="55"/>
        <v>H413</v>
      </c>
      <c r="S413" s="494" t="s">
        <v>1449</v>
      </c>
      <c r="T413" s="494">
        <v>10</v>
      </c>
      <c r="U413" s="556" t="str">
        <f t="shared" ca="1" si="59"/>
        <v/>
      </c>
      <c r="V413" s="494">
        <v>11</v>
      </c>
      <c r="W413" s="556" t="str">
        <f t="shared" ca="1" si="60"/>
        <v/>
      </c>
      <c r="X413" s="494" t="s">
        <v>1450</v>
      </c>
      <c r="Y413" s="547" t="str">
        <f t="shared" ca="1" si="61"/>
        <v/>
      </c>
      <c r="Z413" s="494" t="s">
        <v>1451</v>
      </c>
      <c r="AA413" s="547" t="str">
        <f t="shared" ca="1" si="62"/>
        <v/>
      </c>
      <c r="AB413" s="494" t="s">
        <v>1452</v>
      </c>
      <c r="AC413" s="547" t="str">
        <f t="shared" ca="1" si="63"/>
        <v/>
      </c>
      <c r="AD413" s="557"/>
      <c r="AE413" s="958"/>
    </row>
    <row r="414" spans="1:31" ht="15" customHeight="1">
      <c r="A414" s="957">
        <v>54</v>
      </c>
      <c r="B414" s="566" t="s">
        <v>489</v>
      </c>
      <c r="C414" s="567" t="s">
        <v>1443</v>
      </c>
      <c r="D414" s="958">
        <v>1</v>
      </c>
      <c r="E414" s="959" t="s">
        <v>306</v>
      </c>
      <c r="F414" s="558" t="s">
        <v>1454</v>
      </c>
      <c r="G414" s="558">
        <v>723</v>
      </c>
      <c r="H414" s="558">
        <v>13.1</v>
      </c>
      <c r="I414" s="559" t="s">
        <v>330</v>
      </c>
      <c r="J414" s="567" t="s">
        <v>1445</v>
      </c>
      <c r="K414" s="961" t="s">
        <v>1373</v>
      </c>
      <c r="L414" s="555" t="str">
        <f t="shared" ca="1" si="56"/>
        <v/>
      </c>
      <c r="M414" s="494" t="s">
        <v>1446</v>
      </c>
      <c r="N414" s="555" t="str">
        <f t="shared" ca="1" si="57"/>
        <v/>
      </c>
      <c r="O414" s="494" t="s">
        <v>1447</v>
      </c>
      <c r="P414" s="555" t="str">
        <f t="shared" ca="1" si="58"/>
        <v/>
      </c>
      <c r="Q414" s="494" t="s">
        <v>1448</v>
      </c>
      <c r="R414" s="494" t="str">
        <f t="shared" si="55"/>
        <v>H414</v>
      </c>
      <c r="S414" s="494" t="s">
        <v>1449</v>
      </c>
      <c r="T414" s="494">
        <v>10</v>
      </c>
      <c r="U414" s="556" t="str">
        <f t="shared" ca="1" si="59"/>
        <v/>
      </c>
      <c r="V414" s="494">
        <v>11</v>
      </c>
      <c r="W414" s="556" t="str">
        <f t="shared" ca="1" si="60"/>
        <v/>
      </c>
      <c r="X414" s="494" t="s">
        <v>1450</v>
      </c>
      <c r="Y414" s="547" t="str">
        <f t="shared" ca="1" si="61"/>
        <v/>
      </c>
      <c r="Z414" s="494" t="s">
        <v>1451</v>
      </c>
      <c r="AA414" s="547" t="str">
        <f t="shared" ca="1" si="62"/>
        <v/>
      </c>
      <c r="AB414" s="494" t="s">
        <v>1452</v>
      </c>
      <c r="AC414" s="547" t="str">
        <f t="shared" ca="1" si="63"/>
        <v/>
      </c>
      <c r="AD414" s="557"/>
      <c r="AE414" s="958"/>
    </row>
    <row r="415" spans="1:31" ht="15" customHeight="1">
      <c r="A415" s="957">
        <v>54</v>
      </c>
      <c r="B415" s="566" t="s">
        <v>489</v>
      </c>
      <c r="C415" s="567" t="s">
        <v>1443</v>
      </c>
      <c r="D415" s="958">
        <v>1</v>
      </c>
      <c r="E415" s="959" t="s">
        <v>306</v>
      </c>
      <c r="F415" s="558" t="s">
        <v>1454</v>
      </c>
      <c r="G415" s="558">
        <v>724</v>
      </c>
      <c r="H415" s="558">
        <v>13.2</v>
      </c>
      <c r="I415" s="559" t="s">
        <v>331</v>
      </c>
      <c r="J415" s="567" t="s">
        <v>1445</v>
      </c>
      <c r="K415" s="961" t="s">
        <v>1373</v>
      </c>
      <c r="L415" s="555" t="str">
        <f t="shared" ca="1" si="56"/>
        <v/>
      </c>
      <c r="M415" s="494" t="s">
        <v>1446</v>
      </c>
      <c r="N415" s="555" t="str">
        <f t="shared" ca="1" si="57"/>
        <v/>
      </c>
      <c r="O415" s="494" t="s">
        <v>1447</v>
      </c>
      <c r="P415" s="555" t="str">
        <f t="shared" ca="1" si="58"/>
        <v/>
      </c>
      <c r="Q415" s="494" t="s">
        <v>1448</v>
      </c>
      <c r="R415" s="494" t="str">
        <f t="shared" si="55"/>
        <v>H415</v>
      </c>
      <c r="S415" s="494" t="s">
        <v>1449</v>
      </c>
      <c r="T415" s="494">
        <v>10</v>
      </c>
      <c r="U415" s="556" t="str">
        <f t="shared" ca="1" si="59"/>
        <v/>
      </c>
      <c r="V415" s="494">
        <v>11</v>
      </c>
      <c r="W415" s="556" t="str">
        <f t="shared" ca="1" si="60"/>
        <v/>
      </c>
      <c r="X415" s="494" t="s">
        <v>1450</v>
      </c>
      <c r="Y415" s="547" t="str">
        <f t="shared" ca="1" si="61"/>
        <v/>
      </c>
      <c r="Z415" s="494" t="s">
        <v>1451</v>
      </c>
      <c r="AA415" s="547" t="str">
        <f t="shared" ca="1" si="62"/>
        <v/>
      </c>
      <c r="AB415" s="494" t="s">
        <v>1452</v>
      </c>
      <c r="AC415" s="547" t="str">
        <f t="shared" ca="1" si="63"/>
        <v/>
      </c>
      <c r="AD415" s="557"/>
      <c r="AE415" s="958"/>
    </row>
    <row r="416" spans="1:31" ht="15" customHeight="1">
      <c r="A416" s="957">
        <v>54</v>
      </c>
      <c r="B416" s="566" t="s">
        <v>489</v>
      </c>
      <c r="C416" s="567" t="s">
        <v>1443</v>
      </c>
      <c r="D416" s="958">
        <v>1</v>
      </c>
      <c r="E416" s="959" t="s">
        <v>306</v>
      </c>
      <c r="F416" s="558" t="s">
        <v>1454</v>
      </c>
      <c r="G416" s="558">
        <v>725</v>
      </c>
      <c r="H416" s="558">
        <v>14.1</v>
      </c>
      <c r="I416" s="559" t="s">
        <v>332</v>
      </c>
      <c r="J416" s="567" t="s">
        <v>1445</v>
      </c>
      <c r="K416" s="961" t="s">
        <v>1373</v>
      </c>
      <c r="L416" s="555" t="str">
        <f t="shared" ca="1" si="56"/>
        <v/>
      </c>
      <c r="M416" s="494" t="s">
        <v>1446</v>
      </c>
      <c r="N416" s="555" t="str">
        <f t="shared" ca="1" si="57"/>
        <v/>
      </c>
      <c r="O416" s="494" t="s">
        <v>1447</v>
      </c>
      <c r="P416" s="555" t="str">
        <f t="shared" ca="1" si="58"/>
        <v/>
      </c>
      <c r="Q416" s="494" t="s">
        <v>1448</v>
      </c>
      <c r="R416" s="494" t="str">
        <f t="shared" si="55"/>
        <v>H416</v>
      </c>
      <c r="S416" s="494" t="s">
        <v>1449</v>
      </c>
      <c r="T416" s="494">
        <v>10</v>
      </c>
      <c r="U416" s="556" t="str">
        <f t="shared" ca="1" si="59"/>
        <v/>
      </c>
      <c r="V416" s="494">
        <v>11</v>
      </c>
      <c r="W416" s="556" t="str">
        <f t="shared" ca="1" si="60"/>
        <v/>
      </c>
      <c r="X416" s="494" t="s">
        <v>1450</v>
      </c>
      <c r="Y416" s="547" t="str">
        <f t="shared" ca="1" si="61"/>
        <v/>
      </c>
      <c r="Z416" s="494" t="s">
        <v>1451</v>
      </c>
      <c r="AA416" s="547" t="str">
        <f t="shared" ca="1" si="62"/>
        <v/>
      </c>
      <c r="AB416" s="494" t="s">
        <v>1452</v>
      </c>
      <c r="AC416" s="547" t="str">
        <f t="shared" ca="1" si="63"/>
        <v/>
      </c>
      <c r="AD416" s="557"/>
      <c r="AE416" s="958"/>
    </row>
    <row r="417" spans="1:31" ht="15" customHeight="1">
      <c r="A417" s="957">
        <v>54</v>
      </c>
      <c r="B417" s="566" t="s">
        <v>489</v>
      </c>
      <c r="C417" s="567" t="s">
        <v>1443</v>
      </c>
      <c r="D417" s="958">
        <v>1</v>
      </c>
      <c r="E417" s="959" t="s">
        <v>306</v>
      </c>
      <c r="F417" s="558" t="s">
        <v>1454</v>
      </c>
      <c r="G417" s="558">
        <v>727</v>
      </c>
      <c r="H417" s="558">
        <v>14.2</v>
      </c>
      <c r="I417" s="559" t="s">
        <v>334</v>
      </c>
      <c r="J417" s="567" t="s">
        <v>1445</v>
      </c>
      <c r="K417" s="961" t="s">
        <v>1373</v>
      </c>
      <c r="L417" s="555" t="str">
        <f t="shared" ca="1" si="56"/>
        <v/>
      </c>
      <c r="M417" s="494" t="s">
        <v>1446</v>
      </c>
      <c r="N417" s="555" t="str">
        <f t="shared" ca="1" si="57"/>
        <v/>
      </c>
      <c r="O417" s="494" t="s">
        <v>1447</v>
      </c>
      <c r="P417" s="555" t="str">
        <f t="shared" ca="1" si="58"/>
        <v/>
      </c>
      <c r="Q417" s="494" t="s">
        <v>1448</v>
      </c>
      <c r="R417" s="494" t="str">
        <f t="shared" si="55"/>
        <v>H417</v>
      </c>
      <c r="S417" s="494" t="s">
        <v>1449</v>
      </c>
      <c r="T417" s="494">
        <v>10</v>
      </c>
      <c r="U417" s="556" t="str">
        <f t="shared" ca="1" si="59"/>
        <v/>
      </c>
      <c r="V417" s="494">
        <v>11</v>
      </c>
      <c r="W417" s="556" t="str">
        <f t="shared" ca="1" si="60"/>
        <v/>
      </c>
      <c r="X417" s="494" t="s">
        <v>1450</v>
      </c>
      <c r="Y417" s="547" t="str">
        <f t="shared" ca="1" si="61"/>
        <v/>
      </c>
      <c r="Z417" s="494" t="s">
        <v>1451</v>
      </c>
      <c r="AA417" s="547" t="str">
        <f t="shared" ca="1" si="62"/>
        <v/>
      </c>
      <c r="AB417" s="494" t="s">
        <v>1452</v>
      </c>
      <c r="AC417" s="547" t="str">
        <f t="shared" ca="1" si="63"/>
        <v/>
      </c>
      <c r="AD417" s="557"/>
      <c r="AE417" s="958"/>
    </row>
    <row r="418" spans="1:31" ht="15" customHeight="1">
      <c r="A418" s="957">
        <v>54</v>
      </c>
      <c r="B418" s="566" t="s">
        <v>489</v>
      </c>
      <c r="C418" s="567" t="s">
        <v>1443</v>
      </c>
      <c r="D418" s="958">
        <v>1</v>
      </c>
      <c r="E418" s="959" t="s">
        <v>335</v>
      </c>
      <c r="F418" s="558" t="s">
        <v>1455</v>
      </c>
      <c r="G418" s="558">
        <v>714</v>
      </c>
      <c r="H418" s="558" t="s">
        <v>1456</v>
      </c>
      <c r="I418" s="559" t="s">
        <v>565</v>
      </c>
      <c r="J418" s="567" t="s">
        <v>1445</v>
      </c>
      <c r="K418" s="961" t="s">
        <v>1373</v>
      </c>
      <c r="L418" s="555" t="str">
        <f t="shared" ca="1" si="56"/>
        <v/>
      </c>
      <c r="M418" s="494" t="s">
        <v>1446</v>
      </c>
      <c r="N418" s="555" t="str">
        <f t="shared" ca="1" si="57"/>
        <v/>
      </c>
      <c r="O418" s="494" t="s">
        <v>1447</v>
      </c>
      <c r="P418" s="555" t="str">
        <f t="shared" ca="1" si="58"/>
        <v/>
      </c>
      <c r="Q418" s="494" t="s">
        <v>1448</v>
      </c>
      <c r="R418" s="494" t="str">
        <f t="shared" si="55"/>
        <v>H418</v>
      </c>
      <c r="S418" s="494" t="s">
        <v>1449</v>
      </c>
      <c r="T418" s="494">
        <v>10</v>
      </c>
      <c r="U418" s="556" t="str">
        <f t="shared" ca="1" si="59"/>
        <v/>
      </c>
      <c r="V418" s="494">
        <v>11</v>
      </c>
      <c r="W418" s="556" t="str">
        <f t="shared" ca="1" si="60"/>
        <v/>
      </c>
      <c r="X418" s="494" t="s">
        <v>1450</v>
      </c>
      <c r="Y418" s="547" t="str">
        <f t="shared" ca="1" si="61"/>
        <v/>
      </c>
      <c r="Z418" s="494" t="s">
        <v>1451</v>
      </c>
      <c r="AA418" s="547" t="str">
        <f t="shared" ca="1" si="62"/>
        <v/>
      </c>
      <c r="AB418" s="494" t="s">
        <v>1452</v>
      </c>
      <c r="AC418" s="547" t="str">
        <f t="shared" ca="1" si="63"/>
        <v/>
      </c>
      <c r="AD418" s="557"/>
      <c r="AE418" s="958"/>
    </row>
    <row r="419" spans="1:31" ht="15" customHeight="1">
      <c r="A419" s="957">
        <v>54</v>
      </c>
      <c r="B419" s="566" t="s">
        <v>489</v>
      </c>
      <c r="C419" s="567" t="s">
        <v>1443</v>
      </c>
      <c r="D419" s="958">
        <v>1</v>
      </c>
      <c r="E419" s="959" t="s">
        <v>335</v>
      </c>
      <c r="F419" s="558" t="s">
        <v>1455</v>
      </c>
      <c r="G419" s="558">
        <v>714</v>
      </c>
      <c r="H419" s="558" t="s">
        <v>1457</v>
      </c>
      <c r="I419" s="559" t="s">
        <v>1458</v>
      </c>
      <c r="J419" s="567" t="s">
        <v>1445</v>
      </c>
      <c r="K419" s="961" t="s">
        <v>1373</v>
      </c>
      <c r="L419" s="555" t="str">
        <f t="shared" ca="1" si="56"/>
        <v/>
      </c>
      <c r="M419" s="494" t="s">
        <v>1446</v>
      </c>
      <c r="N419" s="555" t="str">
        <f t="shared" ca="1" si="57"/>
        <v/>
      </c>
      <c r="O419" s="494" t="s">
        <v>1447</v>
      </c>
      <c r="P419" s="555" t="str">
        <f t="shared" ca="1" si="58"/>
        <v/>
      </c>
      <c r="Q419" s="494" t="s">
        <v>1448</v>
      </c>
      <c r="R419" s="494" t="str">
        <f t="shared" si="55"/>
        <v>H419</v>
      </c>
      <c r="S419" s="494" t="s">
        <v>1449</v>
      </c>
      <c r="T419" s="494">
        <v>10</v>
      </c>
      <c r="U419" s="556" t="str">
        <f t="shared" ca="1" si="59"/>
        <v/>
      </c>
      <c r="V419" s="494">
        <v>11</v>
      </c>
      <c r="W419" s="556" t="str">
        <f t="shared" ca="1" si="60"/>
        <v/>
      </c>
      <c r="X419" s="494" t="s">
        <v>1450</v>
      </c>
      <c r="Y419" s="547" t="str">
        <f t="shared" ca="1" si="61"/>
        <v/>
      </c>
      <c r="Z419" s="494" t="s">
        <v>1451</v>
      </c>
      <c r="AA419" s="547" t="str">
        <f t="shared" ca="1" si="62"/>
        <v/>
      </c>
      <c r="AB419" s="494" t="s">
        <v>1452</v>
      </c>
      <c r="AC419" s="547" t="str">
        <f t="shared" ca="1" si="63"/>
        <v/>
      </c>
      <c r="AD419" s="557"/>
      <c r="AE419" s="958"/>
    </row>
    <row r="420" spans="1:31" ht="15" customHeight="1">
      <c r="A420" s="957">
        <v>54</v>
      </c>
      <c r="B420" s="566" t="s">
        <v>489</v>
      </c>
      <c r="C420" s="567" t="s">
        <v>1443</v>
      </c>
      <c r="D420" s="958">
        <v>1</v>
      </c>
      <c r="E420" s="959" t="s">
        <v>335</v>
      </c>
      <c r="F420" s="558" t="s">
        <v>1455</v>
      </c>
      <c r="G420" s="558">
        <v>714</v>
      </c>
      <c r="H420" s="558" t="s">
        <v>1459</v>
      </c>
      <c r="I420" s="559" t="s">
        <v>1460</v>
      </c>
      <c r="J420" s="567" t="s">
        <v>1445</v>
      </c>
      <c r="K420" s="961" t="s">
        <v>1373</v>
      </c>
      <c r="L420" s="555" t="str">
        <f t="shared" ca="1" si="56"/>
        <v/>
      </c>
      <c r="M420" s="494" t="s">
        <v>1446</v>
      </c>
      <c r="N420" s="555" t="str">
        <f t="shared" ca="1" si="57"/>
        <v/>
      </c>
      <c r="O420" s="494" t="s">
        <v>1447</v>
      </c>
      <c r="P420" s="555" t="str">
        <f t="shared" ca="1" si="58"/>
        <v/>
      </c>
      <c r="Q420" s="494" t="s">
        <v>1448</v>
      </c>
      <c r="R420" s="494" t="str">
        <f t="shared" si="55"/>
        <v>H420</v>
      </c>
      <c r="S420" s="494" t="s">
        <v>1449</v>
      </c>
      <c r="T420" s="494">
        <v>10</v>
      </c>
      <c r="U420" s="556" t="str">
        <f t="shared" ca="1" si="59"/>
        <v/>
      </c>
      <c r="V420" s="494">
        <v>11</v>
      </c>
      <c r="W420" s="556" t="str">
        <f t="shared" ca="1" si="60"/>
        <v/>
      </c>
      <c r="X420" s="494" t="s">
        <v>1450</v>
      </c>
      <c r="Y420" s="547" t="str">
        <f t="shared" ca="1" si="61"/>
        <v/>
      </c>
      <c r="Z420" s="494" t="s">
        <v>1451</v>
      </c>
      <c r="AA420" s="547" t="str">
        <f t="shared" ca="1" si="62"/>
        <v/>
      </c>
      <c r="AB420" s="494" t="s">
        <v>1452</v>
      </c>
      <c r="AC420" s="547" t="str">
        <f t="shared" ca="1" si="63"/>
        <v/>
      </c>
      <c r="AD420" s="557"/>
      <c r="AE420" s="958"/>
    </row>
    <row r="421" spans="1:31" ht="15" customHeight="1">
      <c r="A421" s="957">
        <v>54</v>
      </c>
      <c r="B421" s="566" t="s">
        <v>489</v>
      </c>
      <c r="C421" s="567" t="s">
        <v>1443</v>
      </c>
      <c r="D421" s="958">
        <v>1</v>
      </c>
      <c r="E421" s="959" t="s">
        <v>335</v>
      </c>
      <c r="F421" s="558" t="s">
        <v>1455</v>
      </c>
      <c r="G421" s="558">
        <v>714</v>
      </c>
      <c r="H421" s="558" t="s">
        <v>1461</v>
      </c>
      <c r="I421" s="559" t="s">
        <v>619</v>
      </c>
      <c r="J421" s="567" t="s">
        <v>1445</v>
      </c>
      <c r="K421" s="961" t="s">
        <v>1373</v>
      </c>
      <c r="L421" s="555" t="str">
        <f t="shared" ca="1" si="56"/>
        <v/>
      </c>
      <c r="M421" s="494" t="s">
        <v>1446</v>
      </c>
      <c r="N421" s="555" t="str">
        <f t="shared" ca="1" si="57"/>
        <v/>
      </c>
      <c r="O421" s="494" t="s">
        <v>1447</v>
      </c>
      <c r="P421" s="555" t="str">
        <f t="shared" ca="1" si="58"/>
        <v/>
      </c>
      <c r="Q421" s="494" t="s">
        <v>1448</v>
      </c>
      <c r="R421" s="494" t="str">
        <f t="shared" si="55"/>
        <v>H421</v>
      </c>
      <c r="S421" s="494" t="s">
        <v>1449</v>
      </c>
      <c r="T421" s="494">
        <v>10</v>
      </c>
      <c r="U421" s="556" t="str">
        <f t="shared" ca="1" si="59"/>
        <v/>
      </c>
      <c r="V421" s="494">
        <v>11</v>
      </c>
      <c r="W421" s="556" t="str">
        <f t="shared" ca="1" si="60"/>
        <v/>
      </c>
      <c r="X421" s="494" t="s">
        <v>1450</v>
      </c>
      <c r="Y421" s="547" t="str">
        <f t="shared" ca="1" si="61"/>
        <v/>
      </c>
      <c r="Z421" s="494" t="s">
        <v>1451</v>
      </c>
      <c r="AA421" s="547" t="str">
        <f t="shared" ca="1" si="62"/>
        <v/>
      </c>
      <c r="AB421" s="494" t="s">
        <v>1452</v>
      </c>
      <c r="AC421" s="547" t="str">
        <f t="shared" ca="1" si="63"/>
        <v/>
      </c>
      <c r="AD421" s="557"/>
      <c r="AE421" s="958"/>
    </row>
    <row r="422" spans="1:31" ht="15" customHeight="1">
      <c r="A422" s="957">
        <v>54</v>
      </c>
      <c r="B422" s="566" t="s">
        <v>489</v>
      </c>
      <c r="C422" s="567" t="s">
        <v>1443</v>
      </c>
      <c r="D422" s="958">
        <v>1</v>
      </c>
      <c r="E422" s="959" t="s">
        <v>335</v>
      </c>
      <c r="F422" s="558" t="s">
        <v>1455</v>
      </c>
      <c r="G422" s="558">
        <v>714</v>
      </c>
      <c r="H422" s="558" t="s">
        <v>1462</v>
      </c>
      <c r="I422" s="559" t="s">
        <v>1463</v>
      </c>
      <c r="J422" s="567" t="s">
        <v>1445</v>
      </c>
      <c r="K422" s="961" t="s">
        <v>1373</v>
      </c>
      <c r="L422" s="555" t="str">
        <f t="shared" ca="1" si="56"/>
        <v/>
      </c>
      <c r="M422" s="494" t="s">
        <v>1446</v>
      </c>
      <c r="N422" s="555" t="str">
        <f t="shared" ca="1" si="57"/>
        <v/>
      </c>
      <c r="O422" s="494" t="s">
        <v>1447</v>
      </c>
      <c r="P422" s="555" t="str">
        <f t="shared" ca="1" si="58"/>
        <v/>
      </c>
      <c r="Q422" s="494" t="s">
        <v>1448</v>
      </c>
      <c r="R422" s="494" t="str">
        <f t="shared" si="55"/>
        <v>H422</v>
      </c>
      <c r="S422" s="494" t="s">
        <v>1449</v>
      </c>
      <c r="T422" s="494">
        <v>10</v>
      </c>
      <c r="U422" s="556" t="str">
        <f t="shared" ca="1" si="59"/>
        <v/>
      </c>
      <c r="V422" s="494">
        <v>11</v>
      </c>
      <c r="W422" s="556" t="str">
        <f t="shared" ca="1" si="60"/>
        <v/>
      </c>
      <c r="X422" s="494" t="s">
        <v>1450</v>
      </c>
      <c r="Y422" s="547" t="str">
        <f t="shared" ca="1" si="61"/>
        <v/>
      </c>
      <c r="Z422" s="494" t="s">
        <v>1451</v>
      </c>
      <c r="AA422" s="547" t="str">
        <f t="shared" ca="1" si="62"/>
        <v/>
      </c>
      <c r="AB422" s="494" t="s">
        <v>1452</v>
      </c>
      <c r="AC422" s="547" t="str">
        <f t="shared" ca="1" si="63"/>
        <v/>
      </c>
      <c r="AD422" s="557"/>
      <c r="AE422" s="958"/>
    </row>
    <row r="423" spans="1:31" ht="15" customHeight="1">
      <c r="A423" s="957">
        <v>54</v>
      </c>
      <c r="B423" s="566" t="s">
        <v>489</v>
      </c>
      <c r="C423" s="567" t="s">
        <v>1443</v>
      </c>
      <c r="D423" s="958">
        <v>1</v>
      </c>
      <c r="E423" s="959" t="s">
        <v>335</v>
      </c>
      <c r="F423" s="558" t="s">
        <v>1455</v>
      </c>
      <c r="G423" s="558">
        <v>714</v>
      </c>
      <c r="H423" s="558" t="s">
        <v>1464</v>
      </c>
      <c r="I423" s="559" t="s">
        <v>1465</v>
      </c>
      <c r="J423" s="567" t="s">
        <v>1445</v>
      </c>
      <c r="K423" s="961" t="s">
        <v>1373</v>
      </c>
      <c r="L423" s="555" t="str">
        <f t="shared" ca="1" si="56"/>
        <v/>
      </c>
      <c r="M423" s="494" t="s">
        <v>1446</v>
      </c>
      <c r="N423" s="555" t="str">
        <f t="shared" ca="1" si="57"/>
        <v/>
      </c>
      <c r="O423" s="494" t="s">
        <v>1447</v>
      </c>
      <c r="P423" s="555" t="str">
        <f t="shared" ca="1" si="58"/>
        <v/>
      </c>
      <c r="Q423" s="494" t="s">
        <v>1448</v>
      </c>
      <c r="R423" s="494" t="str">
        <f t="shared" si="55"/>
        <v>H423</v>
      </c>
      <c r="S423" s="494" t="s">
        <v>1449</v>
      </c>
      <c r="T423" s="494">
        <v>10</v>
      </c>
      <c r="U423" s="556" t="str">
        <f t="shared" ca="1" si="59"/>
        <v/>
      </c>
      <c r="V423" s="494">
        <v>11</v>
      </c>
      <c r="W423" s="556" t="str">
        <f t="shared" ca="1" si="60"/>
        <v/>
      </c>
      <c r="X423" s="494" t="s">
        <v>1450</v>
      </c>
      <c r="Y423" s="547" t="str">
        <f t="shared" ca="1" si="61"/>
        <v/>
      </c>
      <c r="Z423" s="494" t="s">
        <v>1451</v>
      </c>
      <c r="AA423" s="547" t="str">
        <f t="shared" ca="1" si="62"/>
        <v/>
      </c>
      <c r="AB423" s="494" t="s">
        <v>1452</v>
      </c>
      <c r="AC423" s="547" t="str">
        <f t="shared" ca="1" si="63"/>
        <v/>
      </c>
      <c r="AD423" s="557"/>
      <c r="AE423" s="958"/>
    </row>
    <row r="424" spans="1:31" ht="15" customHeight="1">
      <c r="A424" s="957">
        <v>54</v>
      </c>
      <c r="B424" s="566" t="s">
        <v>489</v>
      </c>
      <c r="C424" s="567" t="s">
        <v>1443</v>
      </c>
      <c r="D424" s="958">
        <v>1</v>
      </c>
      <c r="E424" s="959" t="s">
        <v>335</v>
      </c>
      <c r="F424" s="558" t="s">
        <v>1455</v>
      </c>
      <c r="G424" s="558">
        <v>714</v>
      </c>
      <c r="H424" s="558" t="s">
        <v>1466</v>
      </c>
      <c r="I424" s="559" t="s">
        <v>1467</v>
      </c>
      <c r="J424" s="567" t="s">
        <v>1445</v>
      </c>
      <c r="K424" s="961" t="s">
        <v>1373</v>
      </c>
      <c r="L424" s="555" t="str">
        <f t="shared" ca="1" si="56"/>
        <v/>
      </c>
      <c r="M424" s="494" t="s">
        <v>1446</v>
      </c>
      <c r="N424" s="555" t="str">
        <f t="shared" ca="1" si="57"/>
        <v/>
      </c>
      <c r="O424" s="494" t="s">
        <v>1447</v>
      </c>
      <c r="P424" s="555" t="str">
        <f t="shared" ca="1" si="58"/>
        <v/>
      </c>
      <c r="Q424" s="494" t="s">
        <v>1448</v>
      </c>
      <c r="R424" s="494" t="str">
        <f t="shared" si="55"/>
        <v>H424</v>
      </c>
      <c r="S424" s="494" t="s">
        <v>1449</v>
      </c>
      <c r="T424" s="494">
        <v>10</v>
      </c>
      <c r="U424" s="556" t="str">
        <f t="shared" ca="1" si="59"/>
        <v/>
      </c>
      <c r="V424" s="494">
        <v>11</v>
      </c>
      <c r="W424" s="556" t="str">
        <f t="shared" ca="1" si="60"/>
        <v/>
      </c>
      <c r="X424" s="494" t="s">
        <v>1450</v>
      </c>
      <c r="Y424" s="547" t="str">
        <f t="shared" ca="1" si="61"/>
        <v/>
      </c>
      <c r="Z424" s="494" t="s">
        <v>1451</v>
      </c>
      <c r="AA424" s="547" t="str">
        <f t="shared" ca="1" si="62"/>
        <v/>
      </c>
      <c r="AB424" s="494" t="s">
        <v>1452</v>
      </c>
      <c r="AC424" s="547" t="str">
        <f t="shared" ca="1" si="63"/>
        <v/>
      </c>
      <c r="AD424" s="557"/>
      <c r="AE424" s="958"/>
    </row>
    <row r="425" spans="1:31" ht="15" customHeight="1">
      <c r="A425" s="957">
        <v>54</v>
      </c>
      <c r="B425" s="566" t="s">
        <v>489</v>
      </c>
      <c r="C425" s="567" t="s">
        <v>1443</v>
      </c>
      <c r="D425" s="958">
        <v>1</v>
      </c>
      <c r="E425" s="959" t="s">
        <v>335</v>
      </c>
      <c r="F425" s="558" t="s">
        <v>1455</v>
      </c>
      <c r="G425" s="558">
        <v>714</v>
      </c>
      <c r="H425" s="558" t="s">
        <v>59</v>
      </c>
      <c r="I425" s="559" t="s">
        <v>67</v>
      </c>
      <c r="J425" s="567" t="s">
        <v>1445</v>
      </c>
      <c r="K425" s="961" t="s">
        <v>1373</v>
      </c>
      <c r="L425" s="555" t="str">
        <f t="shared" ca="1" si="56"/>
        <v/>
      </c>
      <c r="M425" s="494" t="s">
        <v>1446</v>
      </c>
      <c r="N425" s="555" t="str">
        <f t="shared" ca="1" si="57"/>
        <v/>
      </c>
      <c r="O425" s="494" t="s">
        <v>1447</v>
      </c>
      <c r="P425" s="555" t="str">
        <f t="shared" ca="1" si="58"/>
        <v/>
      </c>
      <c r="Q425" s="494" t="s">
        <v>1448</v>
      </c>
      <c r="R425" s="494" t="str">
        <f t="shared" si="55"/>
        <v>H425</v>
      </c>
      <c r="S425" s="494" t="s">
        <v>1449</v>
      </c>
      <c r="T425" s="494">
        <v>10</v>
      </c>
      <c r="U425" s="556" t="str">
        <f t="shared" ca="1" si="59"/>
        <v/>
      </c>
      <c r="V425" s="494">
        <v>11</v>
      </c>
      <c r="W425" s="556" t="str">
        <f t="shared" ca="1" si="60"/>
        <v/>
      </c>
      <c r="X425" s="494" t="s">
        <v>1450</v>
      </c>
      <c r="Y425" s="547" t="str">
        <f t="shared" ca="1" si="61"/>
        <v/>
      </c>
      <c r="Z425" s="494" t="s">
        <v>1451</v>
      </c>
      <c r="AA425" s="547" t="str">
        <f t="shared" ca="1" si="62"/>
        <v/>
      </c>
      <c r="AB425" s="494" t="s">
        <v>1452</v>
      </c>
      <c r="AC425" s="547" t="str">
        <f t="shared" ca="1" si="63"/>
        <v/>
      </c>
      <c r="AD425" s="557"/>
      <c r="AE425" s="958"/>
    </row>
    <row r="426" spans="1:31" ht="15" customHeight="1">
      <c r="A426" s="957">
        <v>54</v>
      </c>
      <c r="B426" s="566" t="s">
        <v>489</v>
      </c>
      <c r="C426" s="567" t="s">
        <v>1443</v>
      </c>
      <c r="D426" s="958">
        <v>1</v>
      </c>
      <c r="E426" s="959" t="s">
        <v>335</v>
      </c>
      <c r="F426" s="558" t="s">
        <v>1455</v>
      </c>
      <c r="G426" s="558">
        <v>714</v>
      </c>
      <c r="H426" s="558" t="s">
        <v>1468</v>
      </c>
      <c r="I426" s="559" t="s">
        <v>1469</v>
      </c>
      <c r="J426" s="567" t="s">
        <v>1445</v>
      </c>
      <c r="K426" s="961" t="s">
        <v>1373</v>
      </c>
      <c r="L426" s="555" t="str">
        <f t="shared" ca="1" si="56"/>
        <v/>
      </c>
      <c r="M426" s="494" t="s">
        <v>1446</v>
      </c>
      <c r="N426" s="555" t="str">
        <f t="shared" ca="1" si="57"/>
        <v/>
      </c>
      <c r="O426" s="494" t="s">
        <v>1447</v>
      </c>
      <c r="P426" s="555" t="str">
        <f t="shared" ca="1" si="58"/>
        <v/>
      </c>
      <c r="Q426" s="494" t="s">
        <v>1448</v>
      </c>
      <c r="R426" s="494" t="str">
        <f t="shared" si="55"/>
        <v>H426</v>
      </c>
      <c r="S426" s="494" t="s">
        <v>1449</v>
      </c>
      <c r="T426" s="494">
        <v>10</v>
      </c>
      <c r="U426" s="556" t="str">
        <f t="shared" ca="1" si="59"/>
        <v/>
      </c>
      <c r="V426" s="494">
        <v>11</v>
      </c>
      <c r="W426" s="556" t="str">
        <f t="shared" ca="1" si="60"/>
        <v/>
      </c>
      <c r="X426" s="494" t="s">
        <v>1450</v>
      </c>
      <c r="Y426" s="547" t="str">
        <f t="shared" ca="1" si="61"/>
        <v/>
      </c>
      <c r="Z426" s="494" t="s">
        <v>1451</v>
      </c>
      <c r="AA426" s="547" t="str">
        <f t="shared" ca="1" si="62"/>
        <v/>
      </c>
      <c r="AB426" s="494" t="s">
        <v>1452</v>
      </c>
      <c r="AC426" s="547" t="str">
        <f t="shared" ca="1" si="63"/>
        <v/>
      </c>
      <c r="AD426" s="557"/>
      <c r="AE426" s="958"/>
    </row>
    <row r="427" spans="1:31" ht="15" customHeight="1">
      <c r="A427" s="957">
        <v>54</v>
      </c>
      <c r="B427" s="566" t="s">
        <v>489</v>
      </c>
      <c r="C427" s="567" t="s">
        <v>1443</v>
      </c>
      <c r="D427" s="958">
        <v>1</v>
      </c>
      <c r="E427" s="959" t="s">
        <v>335</v>
      </c>
      <c r="F427" s="558" t="s">
        <v>1455</v>
      </c>
      <c r="G427" s="558">
        <v>714</v>
      </c>
      <c r="H427" s="558" t="s">
        <v>1470</v>
      </c>
      <c r="I427" s="559" t="s">
        <v>1471</v>
      </c>
      <c r="J427" s="567" t="s">
        <v>1445</v>
      </c>
      <c r="K427" s="961" t="s">
        <v>1373</v>
      </c>
      <c r="L427" s="555" t="str">
        <f t="shared" ca="1" si="56"/>
        <v/>
      </c>
      <c r="M427" s="494" t="s">
        <v>1446</v>
      </c>
      <c r="N427" s="555" t="str">
        <f t="shared" ca="1" si="57"/>
        <v/>
      </c>
      <c r="O427" s="494" t="s">
        <v>1447</v>
      </c>
      <c r="P427" s="555" t="str">
        <f t="shared" ca="1" si="58"/>
        <v/>
      </c>
      <c r="Q427" s="494" t="s">
        <v>1448</v>
      </c>
      <c r="R427" s="494" t="str">
        <f t="shared" si="55"/>
        <v>H427</v>
      </c>
      <c r="S427" s="494" t="s">
        <v>1449</v>
      </c>
      <c r="T427" s="494">
        <v>10</v>
      </c>
      <c r="U427" s="556" t="str">
        <f t="shared" ca="1" si="59"/>
        <v/>
      </c>
      <c r="V427" s="494">
        <v>11</v>
      </c>
      <c r="W427" s="556" t="str">
        <f t="shared" ca="1" si="60"/>
        <v/>
      </c>
      <c r="X427" s="494" t="s">
        <v>1450</v>
      </c>
      <c r="Y427" s="547" t="str">
        <f t="shared" ca="1" si="61"/>
        <v/>
      </c>
      <c r="Z427" s="494" t="s">
        <v>1451</v>
      </c>
      <c r="AA427" s="547" t="str">
        <f t="shared" ca="1" si="62"/>
        <v/>
      </c>
      <c r="AB427" s="494" t="s">
        <v>1452</v>
      </c>
      <c r="AC427" s="547" t="str">
        <f t="shared" ca="1" si="63"/>
        <v/>
      </c>
      <c r="AD427" s="557"/>
      <c r="AE427" s="958"/>
    </row>
    <row r="428" spans="1:31" ht="15" customHeight="1">
      <c r="A428" s="957">
        <v>54</v>
      </c>
      <c r="B428" s="566" t="s">
        <v>489</v>
      </c>
      <c r="C428" s="567" t="s">
        <v>1443</v>
      </c>
      <c r="D428" s="958">
        <v>1</v>
      </c>
      <c r="E428" s="959" t="s">
        <v>335</v>
      </c>
      <c r="F428" s="558" t="s">
        <v>1455</v>
      </c>
      <c r="G428" s="558">
        <v>714</v>
      </c>
      <c r="H428" s="558" t="s">
        <v>1472</v>
      </c>
      <c r="I428" s="559" t="s">
        <v>1473</v>
      </c>
      <c r="J428" s="567" t="s">
        <v>1445</v>
      </c>
      <c r="K428" s="961" t="s">
        <v>1373</v>
      </c>
      <c r="L428" s="555" t="str">
        <f t="shared" ca="1" si="56"/>
        <v/>
      </c>
      <c r="M428" s="494" t="s">
        <v>1446</v>
      </c>
      <c r="N428" s="555" t="str">
        <f t="shared" ca="1" si="57"/>
        <v/>
      </c>
      <c r="O428" s="494" t="s">
        <v>1447</v>
      </c>
      <c r="P428" s="555" t="str">
        <f t="shared" ca="1" si="58"/>
        <v/>
      </c>
      <c r="Q428" s="494" t="s">
        <v>1448</v>
      </c>
      <c r="R428" s="494" t="str">
        <f t="shared" si="55"/>
        <v>H428</v>
      </c>
      <c r="S428" s="494" t="s">
        <v>1449</v>
      </c>
      <c r="T428" s="494">
        <v>10</v>
      </c>
      <c r="U428" s="556" t="str">
        <f t="shared" ca="1" si="59"/>
        <v/>
      </c>
      <c r="V428" s="494">
        <v>11</v>
      </c>
      <c r="W428" s="556" t="str">
        <f t="shared" ca="1" si="60"/>
        <v/>
      </c>
      <c r="X428" s="494" t="s">
        <v>1450</v>
      </c>
      <c r="Y428" s="547" t="str">
        <f t="shared" ca="1" si="61"/>
        <v/>
      </c>
      <c r="Z428" s="494" t="s">
        <v>1451</v>
      </c>
      <c r="AA428" s="547" t="str">
        <f t="shared" ca="1" si="62"/>
        <v/>
      </c>
      <c r="AB428" s="494" t="s">
        <v>1452</v>
      </c>
      <c r="AC428" s="547" t="str">
        <f t="shared" ca="1" si="63"/>
        <v/>
      </c>
      <c r="AD428" s="557"/>
      <c r="AE428" s="958"/>
    </row>
    <row r="429" spans="1:31" ht="15" customHeight="1">
      <c r="A429" s="957">
        <v>54</v>
      </c>
      <c r="B429" s="566" t="s">
        <v>489</v>
      </c>
      <c r="C429" s="567" t="s">
        <v>1443</v>
      </c>
      <c r="D429" s="958">
        <v>1</v>
      </c>
      <c r="E429" s="959" t="s">
        <v>335</v>
      </c>
      <c r="F429" s="558" t="s">
        <v>1455</v>
      </c>
      <c r="G429" s="558">
        <v>714</v>
      </c>
      <c r="H429" s="558" t="s">
        <v>1474</v>
      </c>
      <c r="I429" s="559" t="s">
        <v>1475</v>
      </c>
      <c r="J429" s="567" t="s">
        <v>1445</v>
      </c>
      <c r="K429" s="961" t="s">
        <v>1373</v>
      </c>
      <c r="L429" s="555" t="str">
        <f t="shared" ca="1" si="56"/>
        <v/>
      </c>
      <c r="M429" s="494" t="s">
        <v>1446</v>
      </c>
      <c r="N429" s="555" t="str">
        <f t="shared" ca="1" si="57"/>
        <v/>
      </c>
      <c r="O429" s="494" t="s">
        <v>1447</v>
      </c>
      <c r="P429" s="555" t="str">
        <f t="shared" ca="1" si="58"/>
        <v/>
      </c>
      <c r="Q429" s="494" t="s">
        <v>1448</v>
      </c>
      <c r="R429" s="494" t="str">
        <f t="shared" si="55"/>
        <v>H429</v>
      </c>
      <c r="S429" s="494" t="s">
        <v>1449</v>
      </c>
      <c r="T429" s="494">
        <v>10</v>
      </c>
      <c r="U429" s="556" t="str">
        <f t="shared" ca="1" si="59"/>
        <v/>
      </c>
      <c r="V429" s="494">
        <v>11</v>
      </c>
      <c r="W429" s="556" t="str">
        <f t="shared" ca="1" si="60"/>
        <v/>
      </c>
      <c r="X429" s="494" t="s">
        <v>1450</v>
      </c>
      <c r="Y429" s="547" t="str">
        <f t="shared" ca="1" si="61"/>
        <v/>
      </c>
      <c r="Z429" s="494" t="s">
        <v>1451</v>
      </c>
      <c r="AA429" s="547" t="str">
        <f t="shared" ca="1" si="62"/>
        <v/>
      </c>
      <c r="AB429" s="494" t="s">
        <v>1452</v>
      </c>
      <c r="AC429" s="547" t="str">
        <f t="shared" ca="1" si="63"/>
        <v/>
      </c>
      <c r="AD429" s="557"/>
      <c r="AE429" s="958"/>
    </row>
    <row r="430" spans="1:31" ht="15" customHeight="1">
      <c r="A430" s="957">
        <v>54</v>
      </c>
      <c r="B430" s="566" t="s">
        <v>489</v>
      </c>
      <c r="C430" s="567" t="s">
        <v>1443</v>
      </c>
      <c r="D430" s="958">
        <v>1</v>
      </c>
      <c r="E430" s="959" t="s">
        <v>335</v>
      </c>
      <c r="F430" s="558" t="s">
        <v>1455</v>
      </c>
      <c r="G430" s="558">
        <v>714</v>
      </c>
      <c r="H430" s="558" t="s">
        <v>1476</v>
      </c>
      <c r="I430" s="559" t="s">
        <v>1477</v>
      </c>
      <c r="J430" s="567" t="s">
        <v>1445</v>
      </c>
      <c r="K430" s="961" t="s">
        <v>1373</v>
      </c>
      <c r="L430" s="555" t="str">
        <f t="shared" ca="1" si="56"/>
        <v/>
      </c>
      <c r="M430" s="494" t="s">
        <v>1446</v>
      </c>
      <c r="N430" s="555" t="str">
        <f t="shared" ca="1" si="57"/>
        <v/>
      </c>
      <c r="O430" s="494" t="s">
        <v>1447</v>
      </c>
      <c r="P430" s="555" t="str">
        <f t="shared" ca="1" si="58"/>
        <v/>
      </c>
      <c r="Q430" s="494" t="s">
        <v>1448</v>
      </c>
      <c r="R430" s="494" t="str">
        <f t="shared" si="55"/>
        <v>H430</v>
      </c>
      <c r="S430" s="494" t="s">
        <v>1449</v>
      </c>
      <c r="T430" s="494">
        <v>10</v>
      </c>
      <c r="U430" s="556" t="str">
        <f t="shared" ca="1" si="59"/>
        <v/>
      </c>
      <c r="V430" s="494">
        <v>11</v>
      </c>
      <c r="W430" s="556" t="str">
        <f t="shared" ca="1" si="60"/>
        <v/>
      </c>
      <c r="X430" s="494" t="s">
        <v>1450</v>
      </c>
      <c r="Y430" s="547" t="str">
        <f t="shared" ca="1" si="61"/>
        <v/>
      </c>
      <c r="Z430" s="494" t="s">
        <v>1451</v>
      </c>
      <c r="AA430" s="547" t="str">
        <f t="shared" ca="1" si="62"/>
        <v/>
      </c>
      <c r="AB430" s="494" t="s">
        <v>1452</v>
      </c>
      <c r="AC430" s="547" t="str">
        <f t="shared" ca="1" si="63"/>
        <v/>
      </c>
      <c r="AD430" s="557"/>
      <c r="AE430" s="958"/>
    </row>
    <row r="431" spans="1:31" ht="15" customHeight="1">
      <c r="A431" s="957">
        <v>54</v>
      </c>
      <c r="B431" s="566" t="s">
        <v>489</v>
      </c>
      <c r="C431" s="567" t="s">
        <v>1443</v>
      </c>
      <c r="D431" s="958">
        <v>1</v>
      </c>
      <c r="E431" s="959" t="s">
        <v>335</v>
      </c>
      <c r="F431" s="558" t="s">
        <v>1455</v>
      </c>
      <c r="G431" s="558">
        <v>714</v>
      </c>
      <c r="H431" s="558" t="s">
        <v>1478</v>
      </c>
      <c r="I431" s="559" t="s">
        <v>1479</v>
      </c>
      <c r="J431" s="567" t="s">
        <v>1445</v>
      </c>
      <c r="K431" s="961" t="s">
        <v>1373</v>
      </c>
      <c r="L431" s="555" t="str">
        <f t="shared" ca="1" si="56"/>
        <v/>
      </c>
      <c r="M431" s="494" t="s">
        <v>1446</v>
      </c>
      <c r="N431" s="555" t="str">
        <f t="shared" ca="1" si="57"/>
        <v/>
      </c>
      <c r="O431" s="494" t="s">
        <v>1447</v>
      </c>
      <c r="P431" s="555" t="str">
        <f t="shared" ca="1" si="58"/>
        <v/>
      </c>
      <c r="Q431" s="494" t="s">
        <v>1448</v>
      </c>
      <c r="R431" s="494" t="str">
        <f t="shared" si="55"/>
        <v>H431</v>
      </c>
      <c r="S431" s="494" t="s">
        <v>1449</v>
      </c>
      <c r="T431" s="494">
        <v>10</v>
      </c>
      <c r="U431" s="556" t="str">
        <f t="shared" ca="1" si="59"/>
        <v/>
      </c>
      <c r="V431" s="494">
        <v>11</v>
      </c>
      <c r="W431" s="556" t="str">
        <f t="shared" ca="1" si="60"/>
        <v/>
      </c>
      <c r="X431" s="494" t="s">
        <v>1450</v>
      </c>
      <c r="Y431" s="547" t="str">
        <f t="shared" ca="1" si="61"/>
        <v/>
      </c>
      <c r="Z431" s="494" t="s">
        <v>1451</v>
      </c>
      <c r="AA431" s="547" t="str">
        <f t="shared" ca="1" si="62"/>
        <v/>
      </c>
      <c r="AB431" s="494" t="s">
        <v>1452</v>
      </c>
      <c r="AC431" s="547" t="str">
        <f t="shared" ca="1" si="63"/>
        <v/>
      </c>
      <c r="AD431" s="557"/>
      <c r="AE431" s="958"/>
    </row>
    <row r="432" spans="1:31" ht="15" customHeight="1">
      <c r="A432" s="957">
        <v>54</v>
      </c>
      <c r="B432" s="566" t="s">
        <v>489</v>
      </c>
      <c r="C432" s="567" t="s">
        <v>1443</v>
      </c>
      <c r="D432" s="958">
        <v>1</v>
      </c>
      <c r="E432" s="959" t="s">
        <v>335</v>
      </c>
      <c r="F432" s="558" t="s">
        <v>1455</v>
      </c>
      <c r="G432" s="558">
        <v>714</v>
      </c>
      <c r="H432" s="558" t="s">
        <v>1480</v>
      </c>
      <c r="I432" s="559" t="s">
        <v>1481</v>
      </c>
      <c r="J432" s="567" t="s">
        <v>1445</v>
      </c>
      <c r="K432" s="961" t="s">
        <v>1373</v>
      </c>
      <c r="L432" s="555" t="str">
        <f t="shared" ca="1" si="56"/>
        <v/>
      </c>
      <c r="M432" s="494" t="s">
        <v>1446</v>
      </c>
      <c r="N432" s="555" t="str">
        <f t="shared" ca="1" si="57"/>
        <v/>
      </c>
      <c r="O432" s="494" t="s">
        <v>1447</v>
      </c>
      <c r="P432" s="555" t="str">
        <f t="shared" ca="1" si="58"/>
        <v/>
      </c>
      <c r="Q432" s="494" t="s">
        <v>1448</v>
      </c>
      <c r="R432" s="494" t="str">
        <f t="shared" si="55"/>
        <v>H432</v>
      </c>
      <c r="S432" s="494" t="s">
        <v>1449</v>
      </c>
      <c r="T432" s="494">
        <v>10</v>
      </c>
      <c r="U432" s="556" t="str">
        <f t="shared" ca="1" si="59"/>
        <v/>
      </c>
      <c r="V432" s="494">
        <v>11</v>
      </c>
      <c r="W432" s="556" t="str">
        <f t="shared" ca="1" si="60"/>
        <v/>
      </c>
      <c r="X432" s="494" t="s">
        <v>1450</v>
      </c>
      <c r="Y432" s="547" t="str">
        <f t="shared" ca="1" si="61"/>
        <v/>
      </c>
      <c r="Z432" s="494" t="s">
        <v>1451</v>
      </c>
      <c r="AA432" s="547" t="str">
        <f t="shared" ca="1" si="62"/>
        <v/>
      </c>
      <c r="AB432" s="494" t="s">
        <v>1452</v>
      </c>
      <c r="AC432" s="547" t="str">
        <f t="shared" ca="1" si="63"/>
        <v/>
      </c>
      <c r="AD432" s="557"/>
      <c r="AE432" s="958"/>
    </row>
    <row r="433" spans="1:31" ht="15" customHeight="1">
      <c r="A433" s="957">
        <v>54</v>
      </c>
      <c r="B433" s="566" t="s">
        <v>489</v>
      </c>
      <c r="C433" s="567" t="s">
        <v>1443</v>
      </c>
      <c r="D433" s="958">
        <v>1</v>
      </c>
      <c r="E433" s="959" t="s">
        <v>335</v>
      </c>
      <c r="F433" s="558" t="s">
        <v>1455</v>
      </c>
      <c r="G433" s="558">
        <v>714</v>
      </c>
      <c r="H433" s="558" t="s">
        <v>1482</v>
      </c>
      <c r="I433" s="559" t="s">
        <v>1483</v>
      </c>
      <c r="J433" s="567" t="s">
        <v>1445</v>
      </c>
      <c r="K433" s="961" t="s">
        <v>1373</v>
      </c>
      <c r="L433" s="555" t="str">
        <f t="shared" ca="1" si="56"/>
        <v/>
      </c>
      <c r="M433" s="494" t="s">
        <v>1446</v>
      </c>
      <c r="N433" s="555" t="str">
        <f t="shared" ca="1" si="57"/>
        <v/>
      </c>
      <c r="O433" s="494" t="s">
        <v>1447</v>
      </c>
      <c r="P433" s="555" t="str">
        <f t="shared" ca="1" si="58"/>
        <v/>
      </c>
      <c r="Q433" s="494" t="s">
        <v>1448</v>
      </c>
      <c r="R433" s="494" t="str">
        <f t="shared" si="55"/>
        <v>H433</v>
      </c>
      <c r="S433" s="494" t="s">
        <v>1449</v>
      </c>
      <c r="T433" s="494">
        <v>10</v>
      </c>
      <c r="U433" s="556" t="str">
        <f t="shared" ca="1" si="59"/>
        <v/>
      </c>
      <c r="V433" s="494">
        <v>11</v>
      </c>
      <c r="W433" s="556" t="str">
        <f t="shared" ca="1" si="60"/>
        <v/>
      </c>
      <c r="X433" s="494" t="s">
        <v>1450</v>
      </c>
      <c r="Y433" s="547" t="str">
        <f t="shared" ca="1" si="61"/>
        <v/>
      </c>
      <c r="Z433" s="494" t="s">
        <v>1451</v>
      </c>
      <c r="AA433" s="547" t="str">
        <f t="shared" ca="1" si="62"/>
        <v/>
      </c>
      <c r="AB433" s="494" t="s">
        <v>1452</v>
      </c>
      <c r="AC433" s="547" t="str">
        <f t="shared" ca="1" si="63"/>
        <v/>
      </c>
      <c r="AD433" s="557"/>
      <c r="AE433" s="958"/>
    </row>
    <row r="434" spans="1:31" ht="15" customHeight="1">
      <c r="A434" s="957">
        <v>54</v>
      </c>
      <c r="B434" s="566" t="s">
        <v>489</v>
      </c>
      <c r="C434" s="567" t="s">
        <v>1443</v>
      </c>
      <c r="D434" s="958">
        <v>1</v>
      </c>
      <c r="E434" s="959" t="s">
        <v>335</v>
      </c>
      <c r="F434" s="558" t="s">
        <v>1455</v>
      </c>
      <c r="G434" s="558">
        <v>715</v>
      </c>
      <c r="H434" s="558" t="s">
        <v>341</v>
      </c>
      <c r="I434" s="559" t="s">
        <v>503</v>
      </c>
      <c r="J434" s="567" t="s">
        <v>1445</v>
      </c>
      <c r="K434" s="961" t="s">
        <v>1373</v>
      </c>
      <c r="L434" s="555" t="str">
        <f t="shared" ca="1" si="56"/>
        <v/>
      </c>
      <c r="M434" s="494" t="s">
        <v>1446</v>
      </c>
      <c r="N434" s="555" t="str">
        <f t="shared" ca="1" si="57"/>
        <v/>
      </c>
      <c r="O434" s="494" t="s">
        <v>1447</v>
      </c>
      <c r="P434" s="555" t="str">
        <f t="shared" ca="1" si="58"/>
        <v/>
      </c>
      <c r="Q434" s="494" t="s">
        <v>1448</v>
      </c>
      <c r="R434" s="494" t="str">
        <f t="shared" si="55"/>
        <v>H434</v>
      </c>
      <c r="S434" s="494" t="s">
        <v>1449</v>
      </c>
      <c r="T434" s="494">
        <v>10</v>
      </c>
      <c r="U434" s="556" t="str">
        <f t="shared" ca="1" si="59"/>
        <v/>
      </c>
      <c r="V434" s="494">
        <v>11</v>
      </c>
      <c r="W434" s="556" t="str">
        <f t="shared" ca="1" si="60"/>
        <v/>
      </c>
      <c r="X434" s="494" t="s">
        <v>1450</v>
      </c>
      <c r="Y434" s="547" t="str">
        <f t="shared" ca="1" si="61"/>
        <v/>
      </c>
      <c r="Z434" s="494" t="s">
        <v>1451</v>
      </c>
      <c r="AA434" s="547" t="str">
        <f t="shared" ca="1" si="62"/>
        <v/>
      </c>
      <c r="AB434" s="494" t="s">
        <v>1452</v>
      </c>
      <c r="AC434" s="547" t="str">
        <f t="shared" ca="1" si="63"/>
        <v/>
      </c>
      <c r="AD434" s="557"/>
      <c r="AE434" s="958"/>
    </row>
    <row r="435" spans="1:31" ht="15" customHeight="1">
      <c r="A435" s="957">
        <v>54</v>
      </c>
      <c r="B435" s="566" t="s">
        <v>489</v>
      </c>
      <c r="C435" s="567" t="s">
        <v>1443</v>
      </c>
      <c r="D435" s="958">
        <v>1</v>
      </c>
      <c r="E435" s="959" t="s">
        <v>335</v>
      </c>
      <c r="F435" s="558" t="s">
        <v>1455</v>
      </c>
      <c r="G435" s="558">
        <v>715</v>
      </c>
      <c r="H435" s="558" t="s">
        <v>343</v>
      </c>
      <c r="I435" s="559" t="s">
        <v>505</v>
      </c>
      <c r="J435" s="567" t="s">
        <v>1445</v>
      </c>
      <c r="K435" s="961" t="s">
        <v>1373</v>
      </c>
      <c r="L435" s="555" t="str">
        <f t="shared" ca="1" si="56"/>
        <v/>
      </c>
      <c r="M435" s="494" t="s">
        <v>1446</v>
      </c>
      <c r="N435" s="555" t="str">
        <f t="shared" ca="1" si="57"/>
        <v/>
      </c>
      <c r="O435" s="494" t="s">
        <v>1447</v>
      </c>
      <c r="P435" s="555" t="str">
        <f t="shared" ca="1" si="58"/>
        <v/>
      </c>
      <c r="Q435" s="494" t="s">
        <v>1448</v>
      </c>
      <c r="R435" s="494" t="str">
        <f t="shared" si="55"/>
        <v>H435</v>
      </c>
      <c r="S435" s="494" t="s">
        <v>1449</v>
      </c>
      <c r="T435" s="494">
        <v>10</v>
      </c>
      <c r="U435" s="556" t="str">
        <f t="shared" ca="1" si="59"/>
        <v/>
      </c>
      <c r="V435" s="494">
        <v>11</v>
      </c>
      <c r="W435" s="556" t="str">
        <f t="shared" ca="1" si="60"/>
        <v/>
      </c>
      <c r="X435" s="494" t="s">
        <v>1450</v>
      </c>
      <c r="Y435" s="547" t="str">
        <f t="shared" ca="1" si="61"/>
        <v/>
      </c>
      <c r="Z435" s="494" t="s">
        <v>1451</v>
      </c>
      <c r="AA435" s="547" t="str">
        <f t="shared" ca="1" si="62"/>
        <v/>
      </c>
      <c r="AB435" s="494" t="s">
        <v>1452</v>
      </c>
      <c r="AC435" s="547" t="str">
        <f t="shared" ca="1" si="63"/>
        <v/>
      </c>
      <c r="AD435" s="557"/>
      <c r="AE435" s="958"/>
    </row>
    <row r="436" spans="1:31" ht="15" customHeight="1">
      <c r="A436" s="957">
        <v>54</v>
      </c>
      <c r="B436" s="566" t="s">
        <v>489</v>
      </c>
      <c r="C436" s="567" t="s">
        <v>1443</v>
      </c>
      <c r="D436" s="958">
        <v>1</v>
      </c>
      <c r="E436" s="959" t="s">
        <v>345</v>
      </c>
      <c r="F436" s="558" t="s">
        <v>1484</v>
      </c>
      <c r="G436" s="558">
        <v>728</v>
      </c>
      <c r="H436" s="558" t="s">
        <v>1485</v>
      </c>
      <c r="I436" s="559" t="s">
        <v>265</v>
      </c>
      <c r="J436" s="567" t="s">
        <v>1445</v>
      </c>
      <c r="K436" s="961" t="s">
        <v>1373</v>
      </c>
      <c r="L436" s="555" t="str">
        <f t="shared" ca="1" si="56"/>
        <v/>
      </c>
      <c r="M436" s="494" t="s">
        <v>1446</v>
      </c>
      <c r="N436" s="555" t="str">
        <f t="shared" ca="1" si="57"/>
        <v/>
      </c>
      <c r="O436" s="494" t="s">
        <v>1447</v>
      </c>
      <c r="P436" s="555" t="str">
        <f t="shared" ca="1" si="58"/>
        <v/>
      </c>
      <c r="Q436" s="494" t="s">
        <v>1448</v>
      </c>
      <c r="R436" s="494" t="str">
        <f t="shared" si="55"/>
        <v>H436</v>
      </c>
      <c r="S436" s="494" t="s">
        <v>1449</v>
      </c>
      <c r="T436" s="494">
        <v>10</v>
      </c>
      <c r="U436" s="556" t="str">
        <f t="shared" ca="1" si="59"/>
        <v/>
      </c>
      <c r="V436" s="494">
        <v>11</v>
      </c>
      <c r="W436" s="556" t="str">
        <f t="shared" ca="1" si="60"/>
        <v/>
      </c>
      <c r="X436" s="494" t="s">
        <v>1450</v>
      </c>
      <c r="Y436" s="547" t="str">
        <f t="shared" ca="1" si="61"/>
        <v/>
      </c>
      <c r="Z436" s="494" t="s">
        <v>1451</v>
      </c>
      <c r="AA436" s="547" t="str">
        <f t="shared" ca="1" si="62"/>
        <v/>
      </c>
      <c r="AB436" s="494" t="s">
        <v>1452</v>
      </c>
      <c r="AC436" s="547" t="str">
        <f t="shared" ca="1" si="63"/>
        <v/>
      </c>
      <c r="AD436" s="557"/>
      <c r="AE436" s="958"/>
    </row>
    <row r="437" spans="1:31" ht="15" customHeight="1">
      <c r="A437" s="957">
        <v>54</v>
      </c>
      <c r="B437" s="566" t="s">
        <v>489</v>
      </c>
      <c r="C437" s="567" t="s">
        <v>1443</v>
      </c>
      <c r="D437" s="958">
        <v>1</v>
      </c>
      <c r="E437" s="959" t="s">
        <v>345</v>
      </c>
      <c r="F437" s="558" t="s">
        <v>1484</v>
      </c>
      <c r="G437" s="558">
        <v>728</v>
      </c>
      <c r="H437" s="558" t="s">
        <v>467</v>
      </c>
      <c r="I437" s="559" t="s">
        <v>348</v>
      </c>
      <c r="J437" s="567" t="s">
        <v>1445</v>
      </c>
      <c r="K437" s="961" t="s">
        <v>1373</v>
      </c>
      <c r="L437" s="555" t="str">
        <f t="shared" ca="1" si="56"/>
        <v/>
      </c>
      <c r="M437" s="494" t="s">
        <v>1446</v>
      </c>
      <c r="N437" s="555" t="str">
        <f t="shared" ca="1" si="57"/>
        <v/>
      </c>
      <c r="O437" s="494" t="s">
        <v>1447</v>
      </c>
      <c r="P437" s="555" t="str">
        <f t="shared" ca="1" si="58"/>
        <v/>
      </c>
      <c r="Q437" s="494" t="s">
        <v>1448</v>
      </c>
      <c r="R437" s="494" t="str">
        <f t="shared" si="55"/>
        <v>H437</v>
      </c>
      <c r="S437" s="494" t="s">
        <v>1449</v>
      </c>
      <c r="T437" s="494">
        <v>10</v>
      </c>
      <c r="U437" s="556" t="str">
        <f t="shared" ca="1" si="59"/>
        <v/>
      </c>
      <c r="V437" s="494">
        <v>11</v>
      </c>
      <c r="W437" s="556" t="str">
        <f t="shared" ca="1" si="60"/>
        <v/>
      </c>
      <c r="X437" s="494" t="s">
        <v>1450</v>
      </c>
      <c r="Y437" s="547" t="str">
        <f t="shared" ca="1" si="61"/>
        <v/>
      </c>
      <c r="Z437" s="494" t="s">
        <v>1451</v>
      </c>
      <c r="AA437" s="547" t="str">
        <f t="shared" ca="1" si="62"/>
        <v/>
      </c>
      <c r="AB437" s="494" t="s">
        <v>1452</v>
      </c>
      <c r="AC437" s="547" t="str">
        <f t="shared" ca="1" si="63"/>
        <v/>
      </c>
      <c r="AD437" s="557"/>
      <c r="AE437" s="958"/>
    </row>
    <row r="438" spans="1:31" ht="15" customHeight="1">
      <c r="A438" s="957">
        <v>54</v>
      </c>
      <c r="B438" s="566" t="s">
        <v>489</v>
      </c>
      <c r="C438" s="567" t="s">
        <v>1443</v>
      </c>
      <c r="D438" s="958">
        <v>1</v>
      </c>
      <c r="E438" s="959" t="s">
        <v>345</v>
      </c>
      <c r="F438" s="558" t="s">
        <v>1484</v>
      </c>
      <c r="G438" s="558">
        <v>728</v>
      </c>
      <c r="H438" s="558" t="s">
        <v>470</v>
      </c>
      <c r="I438" s="559" t="s">
        <v>349</v>
      </c>
      <c r="J438" s="567" t="s">
        <v>1445</v>
      </c>
      <c r="K438" s="961" t="s">
        <v>1373</v>
      </c>
      <c r="L438" s="555" t="str">
        <f t="shared" ca="1" si="56"/>
        <v/>
      </c>
      <c r="M438" s="494" t="s">
        <v>1446</v>
      </c>
      <c r="N438" s="555" t="str">
        <f t="shared" ca="1" si="57"/>
        <v/>
      </c>
      <c r="O438" s="494" t="s">
        <v>1447</v>
      </c>
      <c r="P438" s="555" t="str">
        <f t="shared" ca="1" si="58"/>
        <v/>
      </c>
      <c r="Q438" s="494" t="s">
        <v>1448</v>
      </c>
      <c r="R438" s="494" t="str">
        <f t="shared" si="55"/>
        <v>H438</v>
      </c>
      <c r="S438" s="494" t="s">
        <v>1449</v>
      </c>
      <c r="T438" s="494">
        <v>10</v>
      </c>
      <c r="U438" s="556" t="str">
        <f t="shared" ca="1" si="59"/>
        <v/>
      </c>
      <c r="V438" s="494">
        <v>11</v>
      </c>
      <c r="W438" s="556" t="str">
        <f t="shared" ca="1" si="60"/>
        <v/>
      </c>
      <c r="X438" s="494" t="s">
        <v>1450</v>
      </c>
      <c r="Y438" s="547" t="str">
        <f t="shared" ca="1" si="61"/>
        <v/>
      </c>
      <c r="Z438" s="494" t="s">
        <v>1451</v>
      </c>
      <c r="AA438" s="547" t="str">
        <f t="shared" ca="1" si="62"/>
        <v/>
      </c>
      <c r="AB438" s="494" t="s">
        <v>1452</v>
      </c>
      <c r="AC438" s="547" t="str">
        <f t="shared" ca="1" si="63"/>
        <v/>
      </c>
      <c r="AD438" s="557"/>
      <c r="AE438" s="958"/>
    </row>
    <row r="439" spans="1:31" ht="15" customHeight="1">
      <c r="A439" s="957">
        <v>54</v>
      </c>
      <c r="B439" s="566" t="s">
        <v>489</v>
      </c>
      <c r="C439" s="567" t="s">
        <v>1443</v>
      </c>
      <c r="D439" s="958">
        <v>1</v>
      </c>
      <c r="E439" s="959" t="s">
        <v>345</v>
      </c>
      <c r="F439" s="558" t="s">
        <v>1484</v>
      </c>
      <c r="G439" s="558">
        <v>728</v>
      </c>
      <c r="H439" s="558" t="s">
        <v>472</v>
      </c>
      <c r="I439" s="559" t="s">
        <v>350</v>
      </c>
      <c r="J439" s="567" t="s">
        <v>1445</v>
      </c>
      <c r="K439" s="961" t="s">
        <v>1373</v>
      </c>
      <c r="L439" s="555" t="str">
        <f t="shared" ca="1" si="56"/>
        <v/>
      </c>
      <c r="M439" s="494" t="s">
        <v>1446</v>
      </c>
      <c r="N439" s="555" t="str">
        <f t="shared" ca="1" si="57"/>
        <v/>
      </c>
      <c r="O439" s="494" t="s">
        <v>1447</v>
      </c>
      <c r="P439" s="555" t="str">
        <f t="shared" ca="1" si="58"/>
        <v/>
      </c>
      <c r="Q439" s="494" t="s">
        <v>1448</v>
      </c>
      <c r="R439" s="494" t="str">
        <f t="shared" si="55"/>
        <v>H439</v>
      </c>
      <c r="S439" s="494" t="s">
        <v>1449</v>
      </c>
      <c r="T439" s="494">
        <v>10</v>
      </c>
      <c r="U439" s="556" t="str">
        <f t="shared" ca="1" si="59"/>
        <v/>
      </c>
      <c r="V439" s="494">
        <v>11</v>
      </c>
      <c r="W439" s="556" t="str">
        <f t="shared" ca="1" si="60"/>
        <v/>
      </c>
      <c r="X439" s="494" t="s">
        <v>1450</v>
      </c>
      <c r="Y439" s="547" t="str">
        <f t="shared" ca="1" si="61"/>
        <v/>
      </c>
      <c r="Z439" s="494" t="s">
        <v>1451</v>
      </c>
      <c r="AA439" s="547" t="str">
        <f t="shared" ca="1" si="62"/>
        <v/>
      </c>
      <c r="AB439" s="494" t="s">
        <v>1452</v>
      </c>
      <c r="AC439" s="547" t="str">
        <f t="shared" ca="1" si="63"/>
        <v/>
      </c>
      <c r="AD439" s="557"/>
      <c r="AE439" s="958"/>
    </row>
    <row r="440" spans="1:31">
      <c r="A440" s="957">
        <v>54</v>
      </c>
      <c r="B440" s="566" t="s">
        <v>489</v>
      </c>
      <c r="C440" s="567" t="s">
        <v>1443</v>
      </c>
      <c r="D440" s="958">
        <v>1</v>
      </c>
      <c r="E440" s="959" t="s">
        <v>345</v>
      </c>
      <c r="F440" s="558" t="s">
        <v>1484</v>
      </c>
      <c r="G440" s="558">
        <v>728</v>
      </c>
      <c r="H440" s="558" t="s">
        <v>474</v>
      </c>
      <c r="I440" s="559" t="s">
        <v>351</v>
      </c>
      <c r="J440" s="567" t="s">
        <v>1445</v>
      </c>
      <c r="K440" s="961" t="s">
        <v>1373</v>
      </c>
      <c r="L440" s="555" t="str">
        <f t="shared" ca="1" si="56"/>
        <v/>
      </c>
      <c r="M440" s="494" t="s">
        <v>1446</v>
      </c>
      <c r="N440" s="555" t="str">
        <f t="shared" ca="1" si="57"/>
        <v/>
      </c>
      <c r="O440" s="494" t="s">
        <v>1447</v>
      </c>
      <c r="P440" s="555" t="str">
        <f t="shared" ca="1" si="58"/>
        <v/>
      </c>
      <c r="Q440" s="494" t="s">
        <v>1448</v>
      </c>
      <c r="R440" s="494" t="str">
        <f t="shared" si="55"/>
        <v>H440</v>
      </c>
      <c r="S440" s="494" t="s">
        <v>1449</v>
      </c>
      <c r="T440" s="494">
        <v>10</v>
      </c>
      <c r="U440" s="556" t="str">
        <f t="shared" ca="1" si="59"/>
        <v/>
      </c>
      <c r="V440" s="494">
        <v>11</v>
      </c>
      <c r="W440" s="556" t="str">
        <f t="shared" ca="1" si="60"/>
        <v/>
      </c>
      <c r="X440" s="494" t="s">
        <v>1450</v>
      </c>
      <c r="Y440" s="547" t="str">
        <f t="shared" ca="1" si="61"/>
        <v/>
      </c>
      <c r="Z440" s="494" t="s">
        <v>1451</v>
      </c>
      <c r="AA440" s="547" t="str">
        <f t="shared" ca="1" si="62"/>
        <v/>
      </c>
      <c r="AB440" s="494" t="s">
        <v>1452</v>
      </c>
      <c r="AC440" s="547" t="str">
        <f t="shared" ca="1" si="63"/>
        <v/>
      </c>
      <c r="AD440" s="557"/>
      <c r="AE440" s="958"/>
    </row>
    <row r="441" spans="1:31" ht="15" customHeight="1">
      <c r="A441" s="957">
        <v>54</v>
      </c>
      <c r="B441" s="566" t="s">
        <v>489</v>
      </c>
      <c r="C441" s="567" t="s">
        <v>1443</v>
      </c>
      <c r="D441" s="958">
        <v>1</v>
      </c>
      <c r="E441" s="959" t="s">
        <v>345</v>
      </c>
      <c r="F441" s="558" t="s">
        <v>1484</v>
      </c>
      <c r="G441" s="558">
        <v>728</v>
      </c>
      <c r="H441" s="558" t="s">
        <v>476</v>
      </c>
      <c r="I441" s="559" t="s">
        <v>352</v>
      </c>
      <c r="J441" s="567" t="s">
        <v>1445</v>
      </c>
      <c r="K441" s="961" t="s">
        <v>1373</v>
      </c>
      <c r="L441" s="555" t="str">
        <f t="shared" ca="1" si="56"/>
        <v/>
      </c>
      <c r="M441" s="494" t="s">
        <v>1446</v>
      </c>
      <c r="N441" s="555" t="str">
        <f t="shared" ca="1" si="57"/>
        <v/>
      </c>
      <c r="O441" s="494" t="s">
        <v>1447</v>
      </c>
      <c r="P441" s="555" t="str">
        <f t="shared" ca="1" si="58"/>
        <v/>
      </c>
      <c r="Q441" s="494" t="s">
        <v>1448</v>
      </c>
      <c r="R441" s="494" t="str">
        <f t="shared" si="55"/>
        <v>H441</v>
      </c>
      <c r="S441" s="494" t="s">
        <v>1449</v>
      </c>
      <c r="T441" s="494">
        <v>10</v>
      </c>
      <c r="U441" s="556" t="str">
        <f t="shared" ca="1" si="59"/>
        <v/>
      </c>
      <c r="V441" s="494">
        <v>11</v>
      </c>
      <c r="W441" s="556" t="str">
        <f t="shared" ca="1" si="60"/>
        <v/>
      </c>
      <c r="X441" s="494" t="s">
        <v>1450</v>
      </c>
      <c r="Y441" s="547" t="str">
        <f t="shared" ca="1" si="61"/>
        <v/>
      </c>
      <c r="Z441" s="494" t="s">
        <v>1451</v>
      </c>
      <c r="AA441" s="547" t="str">
        <f t="shared" ca="1" si="62"/>
        <v/>
      </c>
      <c r="AB441" s="494" t="s">
        <v>1452</v>
      </c>
      <c r="AC441" s="547" t="str">
        <f t="shared" ca="1" si="63"/>
        <v/>
      </c>
      <c r="AD441" s="557"/>
      <c r="AE441" s="958"/>
    </row>
    <row r="442" spans="1:31" ht="15" customHeight="1">
      <c r="A442" s="957">
        <v>54</v>
      </c>
      <c r="B442" s="566" t="s">
        <v>489</v>
      </c>
      <c r="C442" s="567" t="s">
        <v>1443</v>
      </c>
      <c r="D442" s="958">
        <v>1</v>
      </c>
      <c r="E442" s="959" t="s">
        <v>353</v>
      </c>
      <c r="F442" s="558" t="s">
        <v>1486</v>
      </c>
      <c r="G442" s="558">
        <v>729</v>
      </c>
      <c r="H442" s="558" t="s">
        <v>1487</v>
      </c>
      <c r="I442" s="559" t="s">
        <v>356</v>
      </c>
      <c r="J442" s="567" t="s">
        <v>1445</v>
      </c>
      <c r="K442" s="961" t="s">
        <v>1373</v>
      </c>
      <c r="L442" s="555" t="str">
        <f t="shared" ca="1" si="56"/>
        <v/>
      </c>
      <c r="M442" s="494" t="s">
        <v>1446</v>
      </c>
      <c r="N442" s="555" t="str">
        <f t="shared" ca="1" si="57"/>
        <v/>
      </c>
      <c r="O442" s="494" t="s">
        <v>1447</v>
      </c>
      <c r="P442" s="555" t="str">
        <f t="shared" ca="1" si="58"/>
        <v/>
      </c>
      <c r="Q442" s="494" t="s">
        <v>1448</v>
      </c>
      <c r="R442" s="494" t="str">
        <f t="shared" si="55"/>
        <v>H442</v>
      </c>
      <c r="S442" s="494" t="s">
        <v>1449</v>
      </c>
      <c r="T442" s="494">
        <v>10</v>
      </c>
      <c r="U442" s="556" t="str">
        <f t="shared" ca="1" si="59"/>
        <v/>
      </c>
      <c r="V442" s="494">
        <v>11</v>
      </c>
      <c r="W442" s="556" t="str">
        <f t="shared" ca="1" si="60"/>
        <v/>
      </c>
      <c r="X442" s="494" t="s">
        <v>1450</v>
      </c>
      <c r="Y442" s="547" t="str">
        <f t="shared" ca="1" si="61"/>
        <v/>
      </c>
      <c r="Z442" s="494" t="s">
        <v>1451</v>
      </c>
      <c r="AA442" s="547" t="str">
        <f t="shared" ca="1" si="62"/>
        <v/>
      </c>
      <c r="AB442" s="494" t="s">
        <v>1452</v>
      </c>
      <c r="AC442" s="547" t="str">
        <f t="shared" ca="1" si="63"/>
        <v/>
      </c>
      <c r="AD442" s="557"/>
      <c r="AE442" s="958"/>
    </row>
    <row r="443" spans="1:31" ht="15" customHeight="1">
      <c r="A443" s="957">
        <v>54</v>
      </c>
      <c r="B443" s="566" t="s">
        <v>489</v>
      </c>
      <c r="C443" s="567" t="s">
        <v>1443</v>
      </c>
      <c r="D443" s="958">
        <v>1</v>
      </c>
      <c r="E443" s="959" t="s">
        <v>353</v>
      </c>
      <c r="F443" s="558" t="s">
        <v>1486</v>
      </c>
      <c r="G443" s="558">
        <v>729</v>
      </c>
      <c r="H443" s="558" t="s">
        <v>357</v>
      </c>
      <c r="I443" s="559" t="s">
        <v>358</v>
      </c>
      <c r="J443" s="567" t="s">
        <v>1445</v>
      </c>
      <c r="K443" s="961" t="s">
        <v>1373</v>
      </c>
      <c r="L443" s="555" t="str">
        <f t="shared" ca="1" si="56"/>
        <v/>
      </c>
      <c r="M443" s="494" t="s">
        <v>1446</v>
      </c>
      <c r="N443" s="555" t="str">
        <f t="shared" ca="1" si="57"/>
        <v/>
      </c>
      <c r="O443" s="494" t="s">
        <v>1447</v>
      </c>
      <c r="P443" s="555" t="str">
        <f t="shared" ca="1" si="58"/>
        <v/>
      </c>
      <c r="Q443" s="494" t="s">
        <v>1448</v>
      </c>
      <c r="R443" s="494" t="str">
        <f t="shared" si="55"/>
        <v>H443</v>
      </c>
      <c r="S443" s="494" t="s">
        <v>1449</v>
      </c>
      <c r="T443" s="494">
        <v>10</v>
      </c>
      <c r="U443" s="556" t="str">
        <f t="shared" ca="1" si="59"/>
        <v/>
      </c>
      <c r="V443" s="494">
        <v>11</v>
      </c>
      <c r="W443" s="556" t="str">
        <f t="shared" ca="1" si="60"/>
        <v/>
      </c>
      <c r="X443" s="494" t="s">
        <v>1450</v>
      </c>
      <c r="Y443" s="547" t="str">
        <f t="shared" ca="1" si="61"/>
        <v/>
      </c>
      <c r="Z443" s="494" t="s">
        <v>1451</v>
      </c>
      <c r="AA443" s="547" t="str">
        <f t="shared" ca="1" si="62"/>
        <v/>
      </c>
      <c r="AB443" s="494" t="s">
        <v>1452</v>
      </c>
      <c r="AC443" s="547" t="str">
        <f t="shared" ca="1" si="63"/>
        <v/>
      </c>
      <c r="AD443" s="557"/>
      <c r="AE443" s="958"/>
    </row>
    <row r="444" spans="1:31">
      <c r="A444" s="957">
        <v>54</v>
      </c>
      <c r="B444" s="566" t="s">
        <v>489</v>
      </c>
      <c r="C444" s="567" t="s">
        <v>1443</v>
      </c>
      <c r="D444" s="958">
        <v>1</v>
      </c>
      <c r="E444" s="959" t="s">
        <v>353</v>
      </c>
      <c r="F444" s="558" t="s">
        <v>1486</v>
      </c>
      <c r="G444" s="558">
        <v>729</v>
      </c>
      <c r="H444" s="558" t="s">
        <v>359</v>
      </c>
      <c r="I444" s="559" t="s">
        <v>360</v>
      </c>
      <c r="J444" s="567" t="s">
        <v>1445</v>
      </c>
      <c r="K444" s="961" t="s">
        <v>1373</v>
      </c>
      <c r="L444" s="555" t="str">
        <f t="shared" ca="1" si="56"/>
        <v/>
      </c>
      <c r="M444" s="494" t="s">
        <v>1446</v>
      </c>
      <c r="N444" s="555" t="str">
        <f t="shared" ca="1" si="57"/>
        <v/>
      </c>
      <c r="O444" s="494" t="s">
        <v>1447</v>
      </c>
      <c r="P444" s="555" t="str">
        <f t="shared" ca="1" si="58"/>
        <v/>
      </c>
      <c r="Q444" s="494" t="s">
        <v>1448</v>
      </c>
      <c r="R444" s="494" t="str">
        <f t="shared" si="55"/>
        <v>H444</v>
      </c>
      <c r="S444" s="494" t="s">
        <v>1449</v>
      </c>
      <c r="T444" s="494">
        <v>10</v>
      </c>
      <c r="U444" s="556" t="str">
        <f t="shared" ca="1" si="59"/>
        <v/>
      </c>
      <c r="V444" s="494">
        <v>11</v>
      </c>
      <c r="W444" s="556" t="str">
        <f t="shared" ca="1" si="60"/>
        <v/>
      </c>
      <c r="X444" s="494" t="s">
        <v>1450</v>
      </c>
      <c r="Y444" s="547" t="str">
        <f t="shared" ca="1" si="61"/>
        <v/>
      </c>
      <c r="Z444" s="494" t="s">
        <v>1451</v>
      </c>
      <c r="AA444" s="547" t="str">
        <f t="shared" ca="1" si="62"/>
        <v/>
      </c>
      <c r="AB444" s="494" t="s">
        <v>1452</v>
      </c>
      <c r="AC444" s="547" t="str">
        <f t="shared" ca="1" si="63"/>
        <v/>
      </c>
      <c r="AD444" s="557"/>
      <c r="AE444" s="958"/>
    </row>
    <row r="445" spans="1:31" ht="15" customHeight="1">
      <c r="A445" s="957">
        <v>54</v>
      </c>
      <c r="B445" s="566" t="s">
        <v>489</v>
      </c>
      <c r="C445" s="567" t="s">
        <v>1443</v>
      </c>
      <c r="D445" s="958">
        <v>1</v>
      </c>
      <c r="E445" s="959" t="s">
        <v>353</v>
      </c>
      <c r="F445" s="558" t="s">
        <v>1486</v>
      </c>
      <c r="G445" s="558">
        <v>729</v>
      </c>
      <c r="H445" s="558" t="s">
        <v>361</v>
      </c>
      <c r="I445" s="559" t="s">
        <v>362</v>
      </c>
      <c r="J445" s="567" t="s">
        <v>1445</v>
      </c>
      <c r="K445" s="961" t="s">
        <v>1373</v>
      </c>
      <c r="L445" s="555" t="str">
        <f t="shared" ca="1" si="56"/>
        <v/>
      </c>
      <c r="M445" s="494" t="s">
        <v>1446</v>
      </c>
      <c r="N445" s="555" t="str">
        <f t="shared" ca="1" si="57"/>
        <v/>
      </c>
      <c r="O445" s="494" t="s">
        <v>1447</v>
      </c>
      <c r="P445" s="555" t="str">
        <f t="shared" ca="1" si="58"/>
        <v/>
      </c>
      <c r="Q445" s="494" t="s">
        <v>1448</v>
      </c>
      <c r="R445" s="494" t="str">
        <f t="shared" si="55"/>
        <v>H445</v>
      </c>
      <c r="S445" s="494" t="s">
        <v>1449</v>
      </c>
      <c r="T445" s="494">
        <v>10</v>
      </c>
      <c r="U445" s="556" t="str">
        <f t="shared" ca="1" si="59"/>
        <v/>
      </c>
      <c r="V445" s="494">
        <v>11</v>
      </c>
      <c r="W445" s="556" t="str">
        <f t="shared" ca="1" si="60"/>
        <v/>
      </c>
      <c r="X445" s="494" t="s">
        <v>1450</v>
      </c>
      <c r="Y445" s="547" t="str">
        <f t="shared" ca="1" si="61"/>
        <v/>
      </c>
      <c r="Z445" s="494" t="s">
        <v>1451</v>
      </c>
      <c r="AA445" s="547" t="str">
        <f t="shared" ca="1" si="62"/>
        <v/>
      </c>
      <c r="AB445" s="494" t="s">
        <v>1452</v>
      </c>
      <c r="AC445" s="547" t="str">
        <f t="shared" ca="1" si="63"/>
        <v/>
      </c>
      <c r="AD445" s="557"/>
      <c r="AE445" s="958"/>
    </row>
    <row r="446" spans="1:31" ht="15" customHeight="1">
      <c r="A446" s="957">
        <v>54</v>
      </c>
      <c r="B446" s="566" t="s">
        <v>489</v>
      </c>
      <c r="C446" s="567" t="s">
        <v>1443</v>
      </c>
      <c r="D446" s="958">
        <v>1</v>
      </c>
      <c r="E446" s="959" t="s">
        <v>353</v>
      </c>
      <c r="F446" s="558" t="s">
        <v>1486</v>
      </c>
      <c r="G446" s="558">
        <v>729</v>
      </c>
      <c r="H446" s="558" t="s">
        <v>363</v>
      </c>
      <c r="I446" s="559" t="s">
        <v>364</v>
      </c>
      <c r="J446" s="567" t="s">
        <v>1445</v>
      </c>
      <c r="K446" s="961" t="s">
        <v>1373</v>
      </c>
      <c r="L446" s="555" t="str">
        <f t="shared" ca="1" si="56"/>
        <v/>
      </c>
      <c r="M446" s="494" t="s">
        <v>1446</v>
      </c>
      <c r="N446" s="555" t="str">
        <f t="shared" ca="1" si="57"/>
        <v/>
      </c>
      <c r="O446" s="494" t="s">
        <v>1447</v>
      </c>
      <c r="P446" s="555" t="str">
        <f t="shared" ca="1" si="58"/>
        <v/>
      </c>
      <c r="Q446" s="494" t="s">
        <v>1448</v>
      </c>
      <c r="R446" s="494" t="str">
        <f t="shared" si="55"/>
        <v>H446</v>
      </c>
      <c r="S446" s="494" t="s">
        <v>1449</v>
      </c>
      <c r="T446" s="494">
        <v>10</v>
      </c>
      <c r="U446" s="556" t="str">
        <f t="shared" ca="1" si="59"/>
        <v/>
      </c>
      <c r="V446" s="494">
        <v>11</v>
      </c>
      <c r="W446" s="556" t="str">
        <f t="shared" ca="1" si="60"/>
        <v/>
      </c>
      <c r="X446" s="494" t="s">
        <v>1450</v>
      </c>
      <c r="Y446" s="547" t="str">
        <f t="shared" ca="1" si="61"/>
        <v/>
      </c>
      <c r="Z446" s="494" t="s">
        <v>1451</v>
      </c>
      <c r="AA446" s="547" t="str">
        <f t="shared" ca="1" si="62"/>
        <v/>
      </c>
      <c r="AB446" s="494" t="s">
        <v>1452</v>
      </c>
      <c r="AC446" s="547" t="str">
        <f t="shared" ca="1" si="63"/>
        <v/>
      </c>
      <c r="AD446" s="557"/>
      <c r="AE446" s="958"/>
    </row>
    <row r="447" spans="1:31" ht="15" customHeight="1">
      <c r="A447" s="957">
        <v>54</v>
      </c>
      <c r="B447" s="566" t="s">
        <v>489</v>
      </c>
      <c r="C447" s="567" t="s">
        <v>1443</v>
      </c>
      <c r="D447" s="958">
        <v>1</v>
      </c>
      <c r="E447" s="959" t="s">
        <v>353</v>
      </c>
      <c r="F447" s="558" t="s">
        <v>1486</v>
      </c>
      <c r="G447" s="558">
        <v>729</v>
      </c>
      <c r="H447" s="558" t="s">
        <v>365</v>
      </c>
      <c r="I447" s="559" t="s">
        <v>366</v>
      </c>
      <c r="J447" s="567" t="s">
        <v>1445</v>
      </c>
      <c r="K447" s="961" t="s">
        <v>1373</v>
      </c>
      <c r="L447" s="555" t="str">
        <f t="shared" ca="1" si="56"/>
        <v/>
      </c>
      <c r="M447" s="494" t="s">
        <v>1446</v>
      </c>
      <c r="N447" s="555" t="str">
        <f t="shared" ca="1" si="57"/>
        <v/>
      </c>
      <c r="O447" s="494" t="s">
        <v>1447</v>
      </c>
      <c r="P447" s="555" t="str">
        <f t="shared" ca="1" si="58"/>
        <v/>
      </c>
      <c r="Q447" s="494" t="s">
        <v>1448</v>
      </c>
      <c r="R447" s="494" t="str">
        <f t="shared" si="55"/>
        <v>H447</v>
      </c>
      <c r="S447" s="494" t="s">
        <v>1449</v>
      </c>
      <c r="T447" s="494">
        <v>10</v>
      </c>
      <c r="U447" s="556" t="str">
        <f t="shared" ca="1" si="59"/>
        <v/>
      </c>
      <c r="V447" s="494">
        <v>11</v>
      </c>
      <c r="W447" s="556" t="str">
        <f t="shared" ca="1" si="60"/>
        <v/>
      </c>
      <c r="X447" s="494" t="s">
        <v>1450</v>
      </c>
      <c r="Y447" s="547" t="str">
        <f t="shared" ca="1" si="61"/>
        <v/>
      </c>
      <c r="Z447" s="494" t="s">
        <v>1451</v>
      </c>
      <c r="AA447" s="547" t="str">
        <f t="shared" ca="1" si="62"/>
        <v/>
      </c>
      <c r="AB447" s="494" t="s">
        <v>1452</v>
      </c>
      <c r="AC447" s="547" t="str">
        <f t="shared" ca="1" si="63"/>
        <v/>
      </c>
      <c r="AD447" s="557"/>
      <c r="AE447" s="958"/>
    </row>
    <row r="448" spans="1:31" ht="15" customHeight="1">
      <c r="A448" s="957">
        <v>54</v>
      </c>
      <c r="B448" s="566" t="s">
        <v>489</v>
      </c>
      <c r="C448" s="567" t="s">
        <v>1443</v>
      </c>
      <c r="D448" s="958">
        <v>1</v>
      </c>
      <c r="E448" s="959" t="s">
        <v>367</v>
      </c>
      <c r="F448" s="558" t="s">
        <v>1488</v>
      </c>
      <c r="G448" s="558">
        <v>730</v>
      </c>
      <c r="H448" s="558" t="s">
        <v>370</v>
      </c>
      <c r="I448" s="559" t="s">
        <v>371</v>
      </c>
      <c r="J448" s="567" t="s">
        <v>1445</v>
      </c>
      <c r="K448" s="961" t="s">
        <v>1373</v>
      </c>
      <c r="L448" s="555" t="str">
        <f t="shared" ca="1" si="56"/>
        <v/>
      </c>
      <c r="M448" s="494" t="s">
        <v>1446</v>
      </c>
      <c r="N448" s="555" t="str">
        <f t="shared" ca="1" si="57"/>
        <v/>
      </c>
      <c r="O448" s="494" t="s">
        <v>1447</v>
      </c>
      <c r="P448" s="555" t="str">
        <f t="shared" ca="1" si="58"/>
        <v/>
      </c>
      <c r="Q448" s="494" t="s">
        <v>1448</v>
      </c>
      <c r="R448" s="494" t="str">
        <f t="shared" si="55"/>
        <v>H448</v>
      </c>
      <c r="S448" s="494" t="s">
        <v>1449</v>
      </c>
      <c r="T448" s="494">
        <v>10</v>
      </c>
      <c r="U448" s="556" t="str">
        <f t="shared" ca="1" si="59"/>
        <v/>
      </c>
      <c r="V448" s="494">
        <v>11</v>
      </c>
      <c r="W448" s="556" t="str">
        <f t="shared" ca="1" si="60"/>
        <v/>
      </c>
      <c r="X448" s="494" t="s">
        <v>1450</v>
      </c>
      <c r="Y448" s="547" t="str">
        <f t="shared" ca="1" si="61"/>
        <v/>
      </c>
      <c r="Z448" s="494" t="s">
        <v>1451</v>
      </c>
      <c r="AA448" s="547" t="str">
        <f t="shared" ca="1" si="62"/>
        <v/>
      </c>
      <c r="AB448" s="494" t="s">
        <v>1452</v>
      </c>
      <c r="AC448" s="547" t="str">
        <f t="shared" ca="1" si="63"/>
        <v/>
      </c>
      <c r="AD448" s="557"/>
      <c r="AE448" s="958"/>
    </row>
    <row r="449" spans="1:31" ht="15" customHeight="1">
      <c r="A449" s="957">
        <v>54</v>
      </c>
      <c r="B449" s="566" t="s">
        <v>489</v>
      </c>
      <c r="C449" s="567" t="s">
        <v>1443</v>
      </c>
      <c r="D449" s="958">
        <v>1</v>
      </c>
      <c r="E449" s="959" t="s">
        <v>367</v>
      </c>
      <c r="F449" s="558" t="s">
        <v>1488</v>
      </c>
      <c r="G449" s="558">
        <v>730</v>
      </c>
      <c r="H449" s="558" t="s">
        <v>373</v>
      </c>
      <c r="I449" s="559" t="s">
        <v>587</v>
      </c>
      <c r="J449" s="567" t="s">
        <v>1445</v>
      </c>
      <c r="K449" s="961" t="s">
        <v>1373</v>
      </c>
      <c r="L449" s="555" t="str">
        <f t="shared" ca="1" si="56"/>
        <v/>
      </c>
      <c r="M449" s="494" t="s">
        <v>1446</v>
      </c>
      <c r="N449" s="555" t="str">
        <f t="shared" ca="1" si="57"/>
        <v/>
      </c>
      <c r="O449" s="494" t="s">
        <v>1447</v>
      </c>
      <c r="P449" s="555" t="str">
        <f t="shared" ca="1" si="58"/>
        <v/>
      </c>
      <c r="Q449" s="494" t="s">
        <v>1448</v>
      </c>
      <c r="R449" s="494" t="str">
        <f t="shared" ref="R449:R514" si="64">CONCATENATE("H",ROW(J449))</f>
        <v>H449</v>
      </c>
      <c r="S449" s="494" t="s">
        <v>1449</v>
      </c>
      <c r="T449" s="494">
        <v>10</v>
      </c>
      <c r="U449" s="556" t="str">
        <f t="shared" ca="1" si="59"/>
        <v/>
      </c>
      <c r="V449" s="494">
        <v>11</v>
      </c>
      <c r="W449" s="556" t="str">
        <f t="shared" ca="1" si="60"/>
        <v/>
      </c>
      <c r="X449" s="494" t="s">
        <v>1450</v>
      </c>
      <c r="Y449" s="547" t="str">
        <f t="shared" ca="1" si="61"/>
        <v/>
      </c>
      <c r="Z449" s="494" t="s">
        <v>1451</v>
      </c>
      <c r="AA449" s="547" t="str">
        <f t="shared" ca="1" si="62"/>
        <v/>
      </c>
      <c r="AB449" s="494" t="s">
        <v>1452</v>
      </c>
      <c r="AC449" s="547" t="str">
        <f t="shared" ca="1" si="63"/>
        <v/>
      </c>
      <c r="AD449" s="557"/>
      <c r="AE449" s="958"/>
    </row>
    <row r="450" spans="1:31" ht="15" customHeight="1">
      <c r="A450" s="957">
        <v>54</v>
      </c>
      <c r="B450" s="566" t="s">
        <v>489</v>
      </c>
      <c r="C450" s="567" t="s">
        <v>1443</v>
      </c>
      <c r="D450" s="958">
        <v>1</v>
      </c>
      <c r="E450" s="959" t="s">
        <v>367</v>
      </c>
      <c r="F450" s="558" t="s">
        <v>1488</v>
      </c>
      <c r="G450" s="558">
        <v>730</v>
      </c>
      <c r="H450" s="558" t="s">
        <v>1489</v>
      </c>
      <c r="I450" s="559" t="s">
        <v>1490</v>
      </c>
      <c r="J450" s="567" t="s">
        <v>1445</v>
      </c>
      <c r="K450" s="961" t="s">
        <v>1373</v>
      </c>
      <c r="L450" s="555" t="str">
        <f t="shared" ref="L450:L513" ca="1" si="65">IF(AND(INDIRECT(CONCATENATE($J450,$K450,5))=$B450,ISNUMBER(SEARCH("Please",INDIRECT(CONCATENATE($J450,$K450,2)),1))=FALSE),SUMPRODUCT(MID(0&amp;INDIRECT(CONCATENATE($J450,$K450,2)), LARGE(INDEX(ISNUMBER(--MID(INDIRECT(CONCATENATE($J450,$K450,2)), ROW(INDIRECT("1:"&amp;LEN(INDIRECT(CONCATENATE($J450,$K450,2))))),1))*ROW(INDIRECT("1:"&amp;LEN(INDIRECT(CONCATENATE($J450,$K450,2))))),0), ROW(INDIRECT("1:"&amp;LEN(INDIRECT(CONCATENATE($J450,$K450,2))))))+1,1)*10^ROW(INDIRECT("1:"&amp;LEN(INDIRECT(CONCATENATE($J450,$K450,2)))))/10),"")</f>
        <v/>
      </c>
      <c r="M450" s="494" t="s">
        <v>1446</v>
      </c>
      <c r="N450" s="555" t="str">
        <f t="shared" ref="N450:N513" ca="1" si="66">IF(AND(INDIRECT(CONCATENATE($J450,$K450,5))=$B450,ISNUMBER(SEARCH("Select",INDIRECT(CONCATENATE($J450,$M450,6)),1))=FALSE),INDIRECT(CONCATENATE($J450,$M450,6)),"")</f>
        <v/>
      </c>
      <c r="O450" s="494" t="s">
        <v>1447</v>
      </c>
      <c r="P450" s="555" t="str">
        <f t="shared" ref="P450:P513" ca="1" si="67">IF(AND(INDIRECT(CONCATENATE($J450,$K450,5))=$B450,ISNUMBER(SEARCH("Select",INDIRECT(CONCATENATE($J450,$O450,6)),1))=FALSE),INDIRECT(CONCATENATE($J450,$O450,6)),"")</f>
        <v/>
      </c>
      <c r="Q450" s="494" t="s">
        <v>1448</v>
      </c>
      <c r="R450" s="494" t="str">
        <f t="shared" ref="R450:R456" si="68">CONCATENATE("I",ROW(J450))</f>
        <v>I450</v>
      </c>
      <c r="S450" s="494" t="s">
        <v>1491</v>
      </c>
      <c r="T450" s="494">
        <v>10</v>
      </c>
      <c r="U450" s="556" t="str">
        <f ca="1">IF(AND($B450=INDIRECT(CONCATENATE($J450,$K450,5)),ISBLANK(INDEX(INDIRECT(CONCATENATE($J450,$Q450)),MATCH(INDIRECT($R450),INDIRECT(CONCATENATE($J450,$S450)),0),T450))=FALSE),INDEX(INDIRECT(CONCATENATE($J450,$Q450)),MATCH(INDIRECT($R450),INDIRECT(CONCATENATE($J450,$S450)),0),T450),"")</f>
        <v/>
      </c>
      <c r="V450" s="494">
        <v>11</v>
      </c>
      <c r="W450" s="556" t="str">
        <f ca="1">IF(AND($B450=INDIRECT(CONCATENATE($J450,$K450,5)),ISBLANK(INDEX(INDIRECT(CONCATENATE($J450,$Q450)),MATCH(INDIRECT($R450),INDIRECT(CONCATENATE($J450,$S450)),0),V450))=FALSE),INDEX(INDIRECT(CONCATENATE($J450,$Q450)),MATCH(INDIRECT($R450),INDIRECT(CONCATENATE($J450,$S450)),0),V450),"")</f>
        <v/>
      </c>
      <c r="X450" s="494" t="s">
        <v>1450</v>
      </c>
      <c r="Y450" s="547" t="str">
        <f t="shared" ref="Y450:Y513" ca="1" si="69">IF(AND(INDIRECT(CONCATENATE($J450,$K450,5))=$B450,ISBLANK(INDIRECT(CONCATENATE($J450,X450)))=FALSE),INDIRECT(CONCATENATE($J450,X450)),"")</f>
        <v/>
      </c>
      <c r="Z450" s="494" t="s">
        <v>1451</v>
      </c>
      <c r="AA450" s="547" t="str">
        <f t="shared" ref="AA450:AA513" ca="1" si="70">IF(AND(INDIRECT(CONCATENATE($J450,$K450,"5"))=$B450,ISBLANK(INDIRECT(CONCATENATE($J450,Z450)))=FALSE),INDIRECT(CONCATENATE($J450,Z450)),"")</f>
        <v/>
      </c>
      <c r="AB450" s="494" t="s">
        <v>1452</v>
      </c>
      <c r="AC450" s="547" t="str">
        <f t="shared" ref="AC450:AC513" ca="1" si="71">IF(AND(INDIRECT(CONCATENATE($J450,$K450,"5"))=$B450,ISBLANK(INDIRECT(CONCATENATE($J450,AB450)))=FALSE),INDIRECT(CONCATENATE($J450,AB450)),"")</f>
        <v/>
      </c>
      <c r="AD450" s="557"/>
      <c r="AE450" s="958"/>
    </row>
    <row r="451" spans="1:31" ht="15" customHeight="1">
      <c r="A451" s="957">
        <v>54</v>
      </c>
      <c r="B451" s="566" t="s">
        <v>489</v>
      </c>
      <c r="C451" s="567" t="s">
        <v>1443</v>
      </c>
      <c r="D451" s="958">
        <v>1</v>
      </c>
      <c r="E451" s="959" t="s">
        <v>367</v>
      </c>
      <c r="F451" s="558" t="s">
        <v>1488</v>
      </c>
      <c r="G451" s="558">
        <v>730</v>
      </c>
      <c r="H451" s="558" t="s">
        <v>1492</v>
      </c>
      <c r="I451" s="559" t="s">
        <v>1493</v>
      </c>
      <c r="J451" s="567" t="s">
        <v>1445</v>
      </c>
      <c r="K451" s="961" t="s">
        <v>1373</v>
      </c>
      <c r="L451" s="555" t="str">
        <f t="shared" ca="1" si="65"/>
        <v/>
      </c>
      <c r="M451" s="494" t="s">
        <v>1446</v>
      </c>
      <c r="N451" s="555" t="str">
        <f t="shared" ca="1" si="66"/>
        <v/>
      </c>
      <c r="O451" s="494" t="s">
        <v>1447</v>
      </c>
      <c r="P451" s="555" t="str">
        <f t="shared" ca="1" si="67"/>
        <v/>
      </c>
      <c r="Q451" s="494" t="s">
        <v>1448</v>
      </c>
      <c r="R451" s="494" t="str">
        <f t="shared" si="68"/>
        <v>I451</v>
      </c>
      <c r="S451" s="494" t="s">
        <v>1491</v>
      </c>
      <c r="T451" s="494">
        <v>10</v>
      </c>
      <c r="U451" s="556" t="str">
        <f ca="1">IF(AND($B451=INDIRECT(CONCATENATE($J451,$K451,5)),ISBLANK(INDEX(INDIRECT(CONCATENATE($J451,$Q451)),MATCH(INDIRECT($R451),INDIRECT(CONCATENATE($J451,$S451)),0),T451))=FALSE),INDEX(INDIRECT(CONCATENATE($J451,$Q451)),MATCH(INDIRECT($R451),INDIRECT(CONCATENATE($J451,$S451)),0),T451),"")</f>
        <v/>
      </c>
      <c r="V451" s="494">
        <v>11</v>
      </c>
      <c r="W451" s="556" t="str">
        <f ca="1">IF(AND($B451=INDIRECT(CONCATENATE($J451,$K451,5)),ISBLANK(INDEX(INDIRECT(CONCATENATE($J451,$Q451)),MATCH(INDIRECT($R451),INDIRECT(CONCATENATE($J451,$S451)),0),V451))=FALSE),INDEX(INDIRECT(CONCATENATE($J451,$Q451)),MATCH(INDIRECT($R451),INDIRECT(CONCATENATE($J451,$S451)),0),V451),"")</f>
        <v/>
      </c>
      <c r="X451" s="494" t="s">
        <v>1450</v>
      </c>
      <c r="Y451" s="547" t="str">
        <f t="shared" ca="1" si="69"/>
        <v/>
      </c>
      <c r="Z451" s="494" t="s">
        <v>1451</v>
      </c>
      <c r="AA451" s="547" t="str">
        <f t="shared" ca="1" si="70"/>
        <v/>
      </c>
      <c r="AB451" s="494" t="s">
        <v>1452</v>
      </c>
      <c r="AC451" s="547" t="str">
        <f t="shared" ca="1" si="71"/>
        <v/>
      </c>
      <c r="AD451" s="557"/>
      <c r="AE451" s="958"/>
    </row>
    <row r="452" spans="1:31" ht="15" customHeight="1">
      <c r="A452" s="957">
        <v>54</v>
      </c>
      <c r="B452" s="566" t="s">
        <v>489</v>
      </c>
      <c r="C452" s="567" t="s">
        <v>1443</v>
      </c>
      <c r="D452" s="958">
        <v>1</v>
      </c>
      <c r="E452" s="959" t="s">
        <v>367</v>
      </c>
      <c r="F452" s="558" t="s">
        <v>1488</v>
      </c>
      <c r="G452" s="558">
        <v>730</v>
      </c>
      <c r="H452" s="558" t="s">
        <v>1494</v>
      </c>
      <c r="I452" s="559" t="s">
        <v>1495</v>
      </c>
      <c r="J452" s="567" t="s">
        <v>1445</v>
      </c>
      <c r="K452" s="961" t="s">
        <v>1373</v>
      </c>
      <c r="L452" s="555" t="str">
        <f t="shared" ca="1" si="65"/>
        <v/>
      </c>
      <c r="M452" s="494" t="s">
        <v>1446</v>
      </c>
      <c r="N452" s="555" t="str">
        <f t="shared" ca="1" si="66"/>
        <v/>
      </c>
      <c r="O452" s="494" t="s">
        <v>1447</v>
      </c>
      <c r="P452" s="555" t="str">
        <f t="shared" ca="1" si="67"/>
        <v/>
      </c>
      <c r="Q452" s="494" t="s">
        <v>1448</v>
      </c>
      <c r="R452" s="494" t="str">
        <f t="shared" si="68"/>
        <v>I452</v>
      </c>
      <c r="S452" s="494" t="s">
        <v>1491</v>
      </c>
      <c r="T452" s="494">
        <v>10</v>
      </c>
      <c r="U452" s="556" t="str">
        <f ca="1">IF(AND($B452=INDIRECT(CONCATENATE($J452,$K452,5)),ISBLANK(INDEX(INDIRECT(CONCATENATE($J452,$Q452)),MATCH(INDIRECT($R452),INDIRECT(CONCATENATE($J452,$S452)),0),T452))=FALSE),INDEX(INDIRECT(CONCATENATE($J452,$Q452)),MATCH(INDIRECT($R452),INDIRECT(CONCATENATE($J452,$S452)),0),T452),"")</f>
        <v/>
      </c>
      <c r="V452" s="494">
        <v>11</v>
      </c>
      <c r="W452" s="556" t="str">
        <f ca="1">IF(AND($B452=INDIRECT(CONCATENATE($J452,$K452,5)),ISBLANK(INDEX(INDIRECT(CONCATENATE($J452,$Q452)),MATCH(INDIRECT($R452),INDIRECT(CONCATENATE($J452,$S452)),0),V452))=FALSE),INDEX(INDIRECT(CONCATENATE($J452,$Q452)),MATCH(INDIRECT($R452),INDIRECT(CONCATENATE($J452,$S452)),0),V452),"")</f>
        <v/>
      </c>
      <c r="X452" s="494" t="s">
        <v>1450</v>
      </c>
      <c r="Y452" s="547" t="str">
        <f t="shared" ca="1" si="69"/>
        <v/>
      </c>
      <c r="Z452" s="494" t="s">
        <v>1451</v>
      </c>
      <c r="AA452" s="547" t="str">
        <f t="shared" ca="1" si="70"/>
        <v/>
      </c>
      <c r="AB452" s="494" t="s">
        <v>1452</v>
      </c>
      <c r="AC452" s="547" t="str">
        <f t="shared" ca="1" si="71"/>
        <v/>
      </c>
      <c r="AD452" s="557"/>
      <c r="AE452" s="958"/>
    </row>
    <row r="453" spans="1:31" ht="15" customHeight="1">
      <c r="A453" s="957">
        <v>54</v>
      </c>
      <c r="B453" s="566" t="s">
        <v>489</v>
      </c>
      <c r="C453" s="567" t="s">
        <v>1443</v>
      </c>
      <c r="D453" s="958">
        <v>1</v>
      </c>
      <c r="E453" s="959" t="s">
        <v>367</v>
      </c>
      <c r="F453" s="558" t="s">
        <v>1488</v>
      </c>
      <c r="G453" s="558">
        <v>730</v>
      </c>
      <c r="H453" s="558" t="s">
        <v>377</v>
      </c>
      <c r="I453" s="559" t="s">
        <v>508</v>
      </c>
      <c r="J453" s="567" t="s">
        <v>1445</v>
      </c>
      <c r="K453" s="961" t="s">
        <v>1373</v>
      </c>
      <c r="L453" s="555" t="str">
        <f t="shared" ca="1" si="65"/>
        <v/>
      </c>
      <c r="M453" s="494" t="s">
        <v>1446</v>
      </c>
      <c r="N453" s="555" t="str">
        <f t="shared" ca="1" si="66"/>
        <v/>
      </c>
      <c r="O453" s="494" t="s">
        <v>1447</v>
      </c>
      <c r="P453" s="555" t="str">
        <f t="shared" ca="1" si="67"/>
        <v/>
      </c>
      <c r="Q453" s="494" t="s">
        <v>1448</v>
      </c>
      <c r="R453" s="494" t="str">
        <f t="shared" si="68"/>
        <v>I453</v>
      </c>
      <c r="S453" s="494" t="s">
        <v>1491</v>
      </c>
      <c r="T453" s="494">
        <v>10</v>
      </c>
      <c r="U453" s="556" t="str">
        <f ca="1">_xlfn.IFNA(IF(AND($B453=INDIRECT(CONCATENATE($J453,$K453,5)),ISBLANK(INDEX(INDIRECT(CONCATENATE($J453,$Q453)),MATCH(INDIRECT($R453),INDIRECT(CONCATENATE($J453,$S453)),0),T453))=FALSE),INDEX(INDIRECT(CONCATENATE($J453,$Q453)),MATCH(INDIRECT($R453),INDIRECT(CONCATENATE($J453,$S453)),0),T453),""),"")</f>
        <v/>
      </c>
      <c r="V453" s="494">
        <v>11</v>
      </c>
      <c r="W453" s="556" t="str">
        <f ca="1">_xlfn.IFNA(IF(AND($B453=INDIRECT(CONCATENATE($J453,$K453,5)),ISBLANK(INDEX(INDIRECT(CONCATENATE($J453,$Q453)),MATCH(INDIRECT($R453),INDIRECT(CONCATENATE($J453,$S453)),0),V453))=FALSE),INDEX(INDIRECT(CONCATENATE($J453,$Q453)),MATCH(INDIRECT($R453),INDIRECT(CONCATENATE($J453,$S453)),0),V453),""),"")</f>
        <v/>
      </c>
      <c r="X453" s="494" t="s">
        <v>1450</v>
      </c>
      <c r="Y453" s="547" t="str">
        <f t="shared" ca="1" si="69"/>
        <v/>
      </c>
      <c r="Z453" s="494" t="s">
        <v>1451</v>
      </c>
      <c r="AA453" s="547" t="str">
        <f t="shared" ca="1" si="70"/>
        <v/>
      </c>
      <c r="AB453" s="494" t="s">
        <v>1452</v>
      </c>
      <c r="AC453" s="547" t="str">
        <f t="shared" ca="1" si="71"/>
        <v/>
      </c>
      <c r="AD453" s="557"/>
      <c r="AE453" s="958"/>
    </row>
    <row r="454" spans="1:31" ht="15" customHeight="1">
      <c r="A454" s="957">
        <v>54</v>
      </c>
      <c r="B454" s="566" t="s">
        <v>489</v>
      </c>
      <c r="C454" s="567" t="s">
        <v>1443</v>
      </c>
      <c r="D454" s="958">
        <v>1</v>
      </c>
      <c r="E454" s="959" t="s">
        <v>367</v>
      </c>
      <c r="F454" s="558" t="s">
        <v>1488</v>
      </c>
      <c r="G454" s="558">
        <v>730</v>
      </c>
      <c r="H454" s="558" t="s">
        <v>377</v>
      </c>
      <c r="I454" s="559" t="s">
        <v>509</v>
      </c>
      <c r="J454" s="567" t="s">
        <v>1445</v>
      </c>
      <c r="K454" s="961" t="s">
        <v>1373</v>
      </c>
      <c r="L454" s="555" t="str">
        <f t="shared" ca="1" si="65"/>
        <v/>
      </c>
      <c r="M454" s="494" t="s">
        <v>1446</v>
      </c>
      <c r="N454" s="555" t="str">
        <f t="shared" ca="1" si="66"/>
        <v/>
      </c>
      <c r="O454" s="494" t="s">
        <v>1447</v>
      </c>
      <c r="P454" s="555" t="str">
        <f t="shared" ca="1" si="67"/>
        <v/>
      </c>
      <c r="Q454" s="494" t="s">
        <v>1448</v>
      </c>
      <c r="R454" s="494" t="str">
        <f t="shared" si="68"/>
        <v>I454</v>
      </c>
      <c r="S454" s="494" t="s">
        <v>1491</v>
      </c>
      <c r="T454" s="494">
        <v>10</v>
      </c>
      <c r="U454" s="556" t="str">
        <f ca="1">_xlfn.IFNA(IF(AND($B454=INDIRECT(CONCATENATE($J454,$K454,5)),ISBLANK(INDEX(INDIRECT(CONCATENATE($J454,$Q454)),MATCH(INDIRECT($R454),INDIRECT(CONCATENATE($J454,$S454)),0),T454))=FALSE),INDEX(INDIRECT(CONCATENATE($J454,$Q454)),MATCH(INDIRECT($R454),INDIRECT(CONCATENATE($J454,$S454)),0),T454),""),"")</f>
        <v/>
      </c>
      <c r="V454" s="494">
        <v>11</v>
      </c>
      <c r="W454" s="556" t="str">
        <f ca="1">_xlfn.IFNA(IF(AND($B454=INDIRECT(CONCATENATE($J454,$K454,5)),ISBLANK(INDEX(INDIRECT(CONCATENATE($J454,$Q454)),MATCH(INDIRECT($R454),INDIRECT(CONCATENATE($J454,$S454)),0),V454))=FALSE),INDEX(INDIRECT(CONCATENATE($J454,$Q454)),MATCH(INDIRECT($R454),INDIRECT(CONCATENATE($J454,$S454)),0),V454),""),"")</f>
        <v/>
      </c>
      <c r="X454" s="494" t="s">
        <v>1450</v>
      </c>
      <c r="Y454" s="547" t="str">
        <f t="shared" ca="1" si="69"/>
        <v/>
      </c>
      <c r="Z454" s="494" t="s">
        <v>1451</v>
      </c>
      <c r="AA454" s="547" t="str">
        <f t="shared" ca="1" si="70"/>
        <v/>
      </c>
      <c r="AB454" s="494" t="s">
        <v>1452</v>
      </c>
      <c r="AC454" s="547" t="str">
        <f t="shared" ca="1" si="71"/>
        <v/>
      </c>
      <c r="AD454" s="557"/>
      <c r="AE454" s="958"/>
    </row>
    <row r="455" spans="1:31" ht="15" customHeight="1">
      <c r="A455" s="957">
        <v>54</v>
      </c>
      <c r="B455" s="566" t="s">
        <v>489</v>
      </c>
      <c r="C455" s="567" t="s">
        <v>1443</v>
      </c>
      <c r="D455" s="958">
        <v>1</v>
      </c>
      <c r="E455" s="959" t="s">
        <v>367</v>
      </c>
      <c r="F455" s="558" t="s">
        <v>1488</v>
      </c>
      <c r="G455" s="558">
        <v>730</v>
      </c>
      <c r="H455" s="558" t="s">
        <v>379</v>
      </c>
      <c r="I455" s="559" t="s">
        <v>1496</v>
      </c>
      <c r="J455" s="567" t="s">
        <v>1445</v>
      </c>
      <c r="K455" s="961" t="s">
        <v>1373</v>
      </c>
      <c r="L455" s="555" t="str">
        <f t="shared" ca="1" si="65"/>
        <v/>
      </c>
      <c r="M455" s="494" t="s">
        <v>1446</v>
      </c>
      <c r="N455" s="555" t="str">
        <f t="shared" ca="1" si="66"/>
        <v/>
      </c>
      <c r="O455" s="494" t="s">
        <v>1447</v>
      </c>
      <c r="P455" s="555" t="str">
        <f t="shared" ca="1" si="67"/>
        <v/>
      </c>
      <c r="Q455" s="494" t="s">
        <v>1448</v>
      </c>
      <c r="R455" s="494" t="str">
        <f t="shared" si="68"/>
        <v>I455</v>
      </c>
      <c r="S455" s="494" t="s">
        <v>1491</v>
      </c>
      <c r="T455" s="494">
        <v>10</v>
      </c>
      <c r="U455" s="556" t="str">
        <f t="shared" ref="U455:U486" ca="1" si="72">IF(AND($B455=INDIRECT(CONCATENATE($J455,$K455,5)),ISBLANK(INDEX(INDIRECT(CONCATENATE($J455,$Q455)),MATCH(INDIRECT($R455),INDIRECT(CONCATENATE($J455,$S455)),0),T455))=FALSE),INDEX(INDIRECT(CONCATENATE($J455,$Q455)),MATCH(INDIRECT($R455),INDIRECT(CONCATENATE($J455,$S455)),0),T455),"")</f>
        <v/>
      </c>
      <c r="V455" s="494">
        <v>11</v>
      </c>
      <c r="W455" s="556" t="str">
        <f t="shared" ref="W455:W486" ca="1" si="73">IF(AND($B455=INDIRECT(CONCATENATE($J455,$K455,5)),ISBLANK(INDEX(INDIRECT(CONCATENATE($J455,$Q455)),MATCH(INDIRECT($R455),INDIRECT(CONCATENATE($J455,$S455)),0),V455))=FALSE),INDEX(INDIRECT(CONCATENATE($J455,$Q455)),MATCH(INDIRECT($R455),INDIRECT(CONCATENATE($J455,$S455)),0),V455),"")</f>
        <v/>
      </c>
      <c r="X455" s="494" t="s">
        <v>1450</v>
      </c>
      <c r="Y455" s="547" t="str">
        <f t="shared" ca="1" si="69"/>
        <v/>
      </c>
      <c r="Z455" s="494" t="s">
        <v>1451</v>
      </c>
      <c r="AA455" s="547" t="str">
        <f t="shared" ca="1" si="70"/>
        <v/>
      </c>
      <c r="AB455" s="494" t="s">
        <v>1452</v>
      </c>
      <c r="AC455" s="547" t="str">
        <f t="shared" ca="1" si="71"/>
        <v/>
      </c>
      <c r="AD455" s="557"/>
      <c r="AE455" s="958"/>
    </row>
    <row r="456" spans="1:31" ht="15" customHeight="1">
      <c r="A456" s="957">
        <v>54</v>
      </c>
      <c r="B456" s="566" t="s">
        <v>489</v>
      </c>
      <c r="C456" s="567" t="s">
        <v>1443</v>
      </c>
      <c r="D456" s="958">
        <v>1</v>
      </c>
      <c r="E456" s="959" t="s">
        <v>367</v>
      </c>
      <c r="F456" s="558" t="s">
        <v>1488</v>
      </c>
      <c r="G456" s="558">
        <v>730</v>
      </c>
      <c r="H456" s="558" t="s">
        <v>379</v>
      </c>
      <c r="I456" s="559" t="s">
        <v>1497</v>
      </c>
      <c r="J456" s="567" t="s">
        <v>1445</v>
      </c>
      <c r="K456" s="961" t="s">
        <v>1373</v>
      </c>
      <c r="L456" s="555" t="str">
        <f t="shared" ca="1" si="65"/>
        <v/>
      </c>
      <c r="M456" s="494" t="s">
        <v>1446</v>
      </c>
      <c r="N456" s="555" t="str">
        <f t="shared" ca="1" si="66"/>
        <v/>
      </c>
      <c r="O456" s="494" t="s">
        <v>1447</v>
      </c>
      <c r="P456" s="555" t="str">
        <f t="shared" ca="1" si="67"/>
        <v/>
      </c>
      <c r="Q456" s="494" t="s">
        <v>1448</v>
      </c>
      <c r="R456" s="494" t="str">
        <f t="shared" si="68"/>
        <v>I456</v>
      </c>
      <c r="S456" s="494" t="s">
        <v>1491</v>
      </c>
      <c r="T456" s="494">
        <v>10</v>
      </c>
      <c r="U456" s="556" t="str">
        <f t="shared" ca="1" si="72"/>
        <v/>
      </c>
      <c r="V456" s="494">
        <v>11</v>
      </c>
      <c r="W456" s="556" t="str">
        <f t="shared" ca="1" si="73"/>
        <v/>
      </c>
      <c r="X456" s="494" t="s">
        <v>1450</v>
      </c>
      <c r="Y456" s="547" t="str">
        <f t="shared" ca="1" si="69"/>
        <v/>
      </c>
      <c r="Z456" s="494" t="s">
        <v>1451</v>
      </c>
      <c r="AA456" s="547" t="str">
        <f t="shared" ca="1" si="70"/>
        <v/>
      </c>
      <c r="AB456" s="494" t="s">
        <v>1452</v>
      </c>
      <c r="AC456" s="547" t="str">
        <f t="shared" ca="1" si="71"/>
        <v/>
      </c>
      <c r="AD456" s="557"/>
      <c r="AE456" s="958"/>
    </row>
    <row r="457" spans="1:31" ht="15" customHeight="1">
      <c r="A457" s="957">
        <v>54</v>
      </c>
      <c r="B457" s="566" t="s">
        <v>489</v>
      </c>
      <c r="C457" s="567" t="s">
        <v>1443</v>
      </c>
      <c r="D457" s="958">
        <v>1</v>
      </c>
      <c r="E457" s="959" t="s">
        <v>367</v>
      </c>
      <c r="F457" s="558" t="s">
        <v>1488</v>
      </c>
      <c r="G457" s="558">
        <v>731</v>
      </c>
      <c r="H457" s="558">
        <v>20.100000000000001</v>
      </c>
      <c r="I457" s="559" t="s">
        <v>385</v>
      </c>
      <c r="J457" s="567" t="s">
        <v>1445</v>
      </c>
      <c r="K457" s="961" t="s">
        <v>1373</v>
      </c>
      <c r="L457" s="555" t="str">
        <f t="shared" ca="1" si="65"/>
        <v/>
      </c>
      <c r="M457" s="494" t="s">
        <v>1446</v>
      </c>
      <c r="N457" s="555" t="str">
        <f t="shared" ca="1" si="66"/>
        <v/>
      </c>
      <c r="O457" s="494" t="s">
        <v>1447</v>
      </c>
      <c r="P457" s="555" t="str">
        <f t="shared" ca="1" si="67"/>
        <v/>
      </c>
      <c r="Q457" s="494" t="s">
        <v>1448</v>
      </c>
      <c r="R457" s="494" t="str">
        <f t="shared" si="64"/>
        <v>H457</v>
      </c>
      <c r="S457" s="494" t="s">
        <v>1449</v>
      </c>
      <c r="T457" s="494">
        <v>10</v>
      </c>
      <c r="U457" s="556" t="str">
        <f t="shared" ca="1" si="72"/>
        <v/>
      </c>
      <c r="V457" s="494">
        <v>11</v>
      </c>
      <c r="W457" s="556" t="str">
        <f t="shared" ca="1" si="73"/>
        <v/>
      </c>
      <c r="X457" s="494" t="s">
        <v>1450</v>
      </c>
      <c r="Y457" s="547" t="str">
        <f t="shared" ca="1" si="69"/>
        <v/>
      </c>
      <c r="Z457" s="494" t="s">
        <v>1451</v>
      </c>
      <c r="AA457" s="547" t="str">
        <f t="shared" ca="1" si="70"/>
        <v/>
      </c>
      <c r="AB457" s="494" t="s">
        <v>1452</v>
      </c>
      <c r="AC457" s="547" t="str">
        <f t="shared" ca="1" si="71"/>
        <v/>
      </c>
      <c r="AD457" s="557"/>
      <c r="AE457" s="958"/>
    </row>
    <row r="458" spans="1:31" ht="15" customHeight="1">
      <c r="A458" s="957">
        <v>54</v>
      </c>
      <c r="B458" s="566" t="s">
        <v>489</v>
      </c>
      <c r="C458" s="567" t="s">
        <v>1443</v>
      </c>
      <c r="D458" s="958">
        <v>1</v>
      </c>
      <c r="E458" s="959" t="s">
        <v>367</v>
      </c>
      <c r="F458" s="558" t="s">
        <v>1488</v>
      </c>
      <c r="G458" s="558">
        <v>732</v>
      </c>
      <c r="H458" s="558">
        <v>20.2</v>
      </c>
      <c r="I458" s="559" t="s">
        <v>511</v>
      </c>
      <c r="J458" s="567" t="s">
        <v>1445</v>
      </c>
      <c r="K458" s="961" t="s">
        <v>1373</v>
      </c>
      <c r="L458" s="555" t="str">
        <f t="shared" ca="1" si="65"/>
        <v/>
      </c>
      <c r="M458" s="494" t="s">
        <v>1446</v>
      </c>
      <c r="N458" s="555" t="str">
        <f t="shared" ca="1" si="66"/>
        <v/>
      </c>
      <c r="O458" s="494" t="s">
        <v>1447</v>
      </c>
      <c r="P458" s="555" t="str">
        <f t="shared" ca="1" si="67"/>
        <v/>
      </c>
      <c r="Q458" s="494" t="s">
        <v>1448</v>
      </c>
      <c r="R458" s="494" t="str">
        <f t="shared" si="64"/>
        <v>H458</v>
      </c>
      <c r="S458" s="494" t="s">
        <v>1449</v>
      </c>
      <c r="T458" s="494">
        <v>10</v>
      </c>
      <c r="U458" s="556" t="str">
        <f t="shared" ca="1" si="72"/>
        <v/>
      </c>
      <c r="V458" s="494">
        <v>11</v>
      </c>
      <c r="W458" s="556" t="str">
        <f t="shared" ca="1" si="73"/>
        <v/>
      </c>
      <c r="X458" s="494" t="s">
        <v>1450</v>
      </c>
      <c r="Y458" s="547" t="str">
        <f t="shared" ca="1" si="69"/>
        <v/>
      </c>
      <c r="Z458" s="494" t="s">
        <v>1451</v>
      </c>
      <c r="AA458" s="547" t="str">
        <f t="shared" ca="1" si="70"/>
        <v/>
      </c>
      <c r="AB458" s="494" t="s">
        <v>1452</v>
      </c>
      <c r="AC458" s="547" t="str">
        <f t="shared" ca="1" si="71"/>
        <v/>
      </c>
      <c r="AD458" s="557"/>
      <c r="AE458" s="958"/>
    </row>
    <row r="459" spans="1:31" ht="15" customHeight="1">
      <c r="A459" s="957">
        <v>54</v>
      </c>
      <c r="B459" s="566" t="s">
        <v>489</v>
      </c>
      <c r="C459" s="567" t="s">
        <v>1443</v>
      </c>
      <c r="D459" s="958">
        <v>1</v>
      </c>
      <c r="E459" s="959" t="s">
        <v>367</v>
      </c>
      <c r="F459" s="558" t="s">
        <v>1488</v>
      </c>
      <c r="G459" s="558">
        <v>733</v>
      </c>
      <c r="H459" s="558">
        <v>20.3</v>
      </c>
      <c r="I459" s="559" t="s">
        <v>387</v>
      </c>
      <c r="J459" s="567" t="s">
        <v>1445</v>
      </c>
      <c r="K459" s="961" t="s">
        <v>1373</v>
      </c>
      <c r="L459" s="555" t="str">
        <f t="shared" ca="1" si="65"/>
        <v/>
      </c>
      <c r="M459" s="494" t="s">
        <v>1446</v>
      </c>
      <c r="N459" s="555" t="str">
        <f t="shared" ca="1" si="66"/>
        <v/>
      </c>
      <c r="O459" s="494" t="s">
        <v>1447</v>
      </c>
      <c r="P459" s="555" t="str">
        <f t="shared" ca="1" si="67"/>
        <v/>
      </c>
      <c r="Q459" s="494" t="s">
        <v>1448</v>
      </c>
      <c r="R459" s="494" t="str">
        <f t="shared" si="64"/>
        <v>H459</v>
      </c>
      <c r="S459" s="494" t="s">
        <v>1449</v>
      </c>
      <c r="T459" s="494">
        <v>10</v>
      </c>
      <c r="U459" s="556" t="str">
        <f t="shared" ca="1" si="72"/>
        <v/>
      </c>
      <c r="V459" s="494">
        <v>11</v>
      </c>
      <c r="W459" s="556" t="str">
        <f t="shared" ca="1" si="73"/>
        <v/>
      </c>
      <c r="X459" s="494" t="s">
        <v>1450</v>
      </c>
      <c r="Y459" s="547" t="str">
        <f t="shared" ca="1" si="69"/>
        <v/>
      </c>
      <c r="Z459" s="494" t="s">
        <v>1451</v>
      </c>
      <c r="AA459" s="547" t="str">
        <f t="shared" ca="1" si="70"/>
        <v/>
      </c>
      <c r="AB459" s="494" t="s">
        <v>1452</v>
      </c>
      <c r="AC459" s="547" t="str">
        <f t="shared" ca="1" si="71"/>
        <v/>
      </c>
      <c r="AD459" s="557"/>
      <c r="AE459" s="958"/>
    </row>
    <row r="460" spans="1:31" ht="15" customHeight="1">
      <c r="A460" s="957">
        <v>54</v>
      </c>
      <c r="B460" s="566" t="s">
        <v>489</v>
      </c>
      <c r="C460" s="567" t="s">
        <v>1443</v>
      </c>
      <c r="D460" s="958">
        <v>1</v>
      </c>
      <c r="E460" s="959" t="s">
        <v>367</v>
      </c>
      <c r="F460" s="558" t="s">
        <v>1488</v>
      </c>
      <c r="G460" s="558">
        <v>734</v>
      </c>
      <c r="H460" s="558">
        <v>21.1</v>
      </c>
      <c r="I460" s="559" t="s">
        <v>390</v>
      </c>
      <c r="J460" s="567" t="s">
        <v>1445</v>
      </c>
      <c r="K460" s="961" t="s">
        <v>1373</v>
      </c>
      <c r="L460" s="555" t="str">
        <f t="shared" ca="1" si="65"/>
        <v/>
      </c>
      <c r="M460" s="494" t="s">
        <v>1446</v>
      </c>
      <c r="N460" s="555" t="str">
        <f t="shared" ca="1" si="66"/>
        <v/>
      </c>
      <c r="O460" s="494" t="s">
        <v>1447</v>
      </c>
      <c r="P460" s="555" t="str">
        <f t="shared" ca="1" si="67"/>
        <v/>
      </c>
      <c r="Q460" s="494" t="s">
        <v>1448</v>
      </c>
      <c r="R460" s="494" t="str">
        <f t="shared" si="64"/>
        <v>H460</v>
      </c>
      <c r="S460" s="494" t="s">
        <v>1449</v>
      </c>
      <c r="T460" s="494">
        <v>10</v>
      </c>
      <c r="U460" s="556" t="str">
        <f t="shared" ca="1" si="72"/>
        <v/>
      </c>
      <c r="V460" s="494">
        <v>11</v>
      </c>
      <c r="W460" s="556" t="str">
        <f t="shared" ca="1" si="73"/>
        <v/>
      </c>
      <c r="X460" s="494" t="s">
        <v>1450</v>
      </c>
      <c r="Y460" s="547" t="str">
        <f t="shared" ca="1" si="69"/>
        <v/>
      </c>
      <c r="Z460" s="494" t="s">
        <v>1451</v>
      </c>
      <c r="AA460" s="547" t="str">
        <f t="shared" ca="1" si="70"/>
        <v/>
      </c>
      <c r="AB460" s="494" t="s">
        <v>1452</v>
      </c>
      <c r="AC460" s="547" t="str">
        <f t="shared" ca="1" si="71"/>
        <v/>
      </c>
      <c r="AD460" s="557"/>
      <c r="AE460" s="958"/>
    </row>
    <row r="461" spans="1:31">
      <c r="A461" s="957">
        <v>54</v>
      </c>
      <c r="B461" s="566" t="s">
        <v>489</v>
      </c>
      <c r="C461" s="567" t="s">
        <v>1443</v>
      </c>
      <c r="D461" s="958">
        <v>1</v>
      </c>
      <c r="E461" s="959" t="s">
        <v>367</v>
      </c>
      <c r="F461" s="558" t="s">
        <v>1488</v>
      </c>
      <c r="G461" s="558">
        <v>735</v>
      </c>
      <c r="H461" s="558" t="s">
        <v>393</v>
      </c>
      <c r="I461" s="559" t="s">
        <v>394</v>
      </c>
      <c r="J461" s="567" t="s">
        <v>1445</v>
      </c>
      <c r="K461" s="961" t="s">
        <v>1373</v>
      </c>
      <c r="L461" s="555" t="str">
        <f t="shared" ca="1" si="65"/>
        <v/>
      </c>
      <c r="M461" s="494" t="s">
        <v>1446</v>
      </c>
      <c r="N461" s="555" t="str">
        <f t="shared" ca="1" si="66"/>
        <v/>
      </c>
      <c r="O461" s="494" t="s">
        <v>1447</v>
      </c>
      <c r="P461" s="555" t="str">
        <f t="shared" ca="1" si="67"/>
        <v/>
      </c>
      <c r="Q461" s="494" t="s">
        <v>1448</v>
      </c>
      <c r="R461" s="494" t="str">
        <f t="shared" si="64"/>
        <v>H461</v>
      </c>
      <c r="S461" s="494" t="s">
        <v>1449</v>
      </c>
      <c r="T461" s="494">
        <v>10</v>
      </c>
      <c r="U461" s="556" t="str">
        <f t="shared" ca="1" si="72"/>
        <v/>
      </c>
      <c r="V461" s="494">
        <v>11</v>
      </c>
      <c r="W461" s="556" t="str">
        <f t="shared" ca="1" si="73"/>
        <v/>
      </c>
      <c r="X461" s="494" t="s">
        <v>1450</v>
      </c>
      <c r="Y461" s="547" t="str">
        <f t="shared" ca="1" si="69"/>
        <v/>
      </c>
      <c r="Z461" s="494" t="s">
        <v>1451</v>
      </c>
      <c r="AA461" s="547" t="str">
        <f t="shared" ca="1" si="70"/>
        <v/>
      </c>
      <c r="AB461" s="494" t="s">
        <v>1452</v>
      </c>
      <c r="AC461" s="547" t="str">
        <f t="shared" ca="1" si="71"/>
        <v/>
      </c>
      <c r="AD461" s="557"/>
      <c r="AE461" s="958"/>
    </row>
    <row r="462" spans="1:31">
      <c r="A462" s="957">
        <v>54</v>
      </c>
      <c r="B462" s="566" t="s">
        <v>489</v>
      </c>
      <c r="C462" s="567" t="s">
        <v>1443</v>
      </c>
      <c r="D462" s="958">
        <v>1</v>
      </c>
      <c r="E462" s="959" t="s">
        <v>367</v>
      </c>
      <c r="F462" s="558" t="s">
        <v>1488</v>
      </c>
      <c r="G462" s="558">
        <v>735</v>
      </c>
      <c r="H462" s="558" t="s">
        <v>395</v>
      </c>
      <c r="I462" s="559" t="s">
        <v>392</v>
      </c>
      <c r="J462" s="567" t="s">
        <v>1445</v>
      </c>
      <c r="K462" s="961" t="s">
        <v>1373</v>
      </c>
      <c r="L462" s="555" t="str">
        <f t="shared" ca="1" si="65"/>
        <v/>
      </c>
      <c r="M462" s="494" t="s">
        <v>1446</v>
      </c>
      <c r="N462" s="555" t="str">
        <f t="shared" ca="1" si="66"/>
        <v/>
      </c>
      <c r="O462" s="494" t="s">
        <v>1447</v>
      </c>
      <c r="P462" s="555" t="str">
        <f t="shared" ca="1" si="67"/>
        <v/>
      </c>
      <c r="Q462" s="494" t="s">
        <v>1448</v>
      </c>
      <c r="R462" s="494" t="str">
        <f t="shared" si="64"/>
        <v>H462</v>
      </c>
      <c r="S462" s="494" t="s">
        <v>1449</v>
      </c>
      <c r="T462" s="494">
        <v>10</v>
      </c>
      <c r="U462" s="556" t="str">
        <f t="shared" ca="1" si="72"/>
        <v/>
      </c>
      <c r="V462" s="494">
        <v>11</v>
      </c>
      <c r="W462" s="556" t="str">
        <f t="shared" ca="1" si="73"/>
        <v/>
      </c>
      <c r="X462" s="494" t="s">
        <v>1450</v>
      </c>
      <c r="Y462" s="547" t="str">
        <f t="shared" ca="1" si="69"/>
        <v/>
      </c>
      <c r="Z462" s="494" t="s">
        <v>1451</v>
      </c>
      <c r="AA462" s="547" t="str">
        <f t="shared" ca="1" si="70"/>
        <v/>
      </c>
      <c r="AB462" s="494" t="s">
        <v>1452</v>
      </c>
      <c r="AC462" s="547" t="str">
        <f t="shared" ca="1" si="71"/>
        <v/>
      </c>
      <c r="AD462" s="557"/>
      <c r="AE462" s="958"/>
    </row>
    <row r="463" spans="1:31" ht="15" customHeight="1">
      <c r="A463" s="957">
        <v>54</v>
      </c>
      <c r="B463" s="566" t="s">
        <v>489</v>
      </c>
      <c r="C463" s="567" t="s">
        <v>1443</v>
      </c>
      <c r="D463" s="958">
        <v>1</v>
      </c>
      <c r="E463" s="959" t="s">
        <v>396</v>
      </c>
      <c r="F463" s="558" t="s">
        <v>1498</v>
      </c>
      <c r="G463" s="558">
        <v>445</v>
      </c>
      <c r="H463" s="558">
        <v>23</v>
      </c>
      <c r="I463" s="559" t="s">
        <v>513</v>
      </c>
      <c r="J463" s="567" t="s">
        <v>1445</v>
      </c>
      <c r="K463" s="961" t="s">
        <v>1373</v>
      </c>
      <c r="L463" s="555" t="str">
        <f t="shared" ca="1" si="65"/>
        <v/>
      </c>
      <c r="M463" s="494" t="s">
        <v>1446</v>
      </c>
      <c r="N463" s="555" t="str">
        <f t="shared" ca="1" si="66"/>
        <v/>
      </c>
      <c r="O463" s="494" t="s">
        <v>1447</v>
      </c>
      <c r="P463" s="555" t="str">
        <f t="shared" ca="1" si="67"/>
        <v/>
      </c>
      <c r="Q463" s="494" t="s">
        <v>1448</v>
      </c>
      <c r="R463" s="494" t="str">
        <f t="shared" si="64"/>
        <v>H463</v>
      </c>
      <c r="S463" s="494" t="s">
        <v>1449</v>
      </c>
      <c r="T463" s="494">
        <v>10</v>
      </c>
      <c r="U463" s="556" t="str">
        <f t="shared" ca="1" si="72"/>
        <v/>
      </c>
      <c r="V463" s="494">
        <v>11</v>
      </c>
      <c r="W463" s="556" t="str">
        <f t="shared" ca="1" si="73"/>
        <v/>
      </c>
      <c r="X463" s="494" t="s">
        <v>1450</v>
      </c>
      <c r="Y463" s="547" t="str">
        <f t="shared" ca="1" si="69"/>
        <v/>
      </c>
      <c r="Z463" s="494" t="s">
        <v>1451</v>
      </c>
      <c r="AA463" s="547" t="str">
        <f t="shared" ca="1" si="70"/>
        <v/>
      </c>
      <c r="AB463" s="494" t="s">
        <v>1452</v>
      </c>
      <c r="AC463" s="547" t="str">
        <f t="shared" ca="1" si="71"/>
        <v/>
      </c>
      <c r="AD463" s="557"/>
      <c r="AE463" s="958"/>
    </row>
    <row r="464" spans="1:31" ht="15" customHeight="1">
      <c r="A464" s="957">
        <v>54</v>
      </c>
      <c r="B464" s="566" t="s">
        <v>489</v>
      </c>
      <c r="C464" s="567" t="s">
        <v>1443</v>
      </c>
      <c r="D464" s="958">
        <v>1</v>
      </c>
      <c r="E464" s="959" t="s">
        <v>396</v>
      </c>
      <c r="F464" s="558" t="s">
        <v>1498</v>
      </c>
      <c r="G464" s="558">
        <v>446</v>
      </c>
      <c r="H464" s="558">
        <v>23.1</v>
      </c>
      <c r="I464" s="559" t="s">
        <v>397</v>
      </c>
      <c r="J464" s="567" t="s">
        <v>1445</v>
      </c>
      <c r="K464" s="961" t="s">
        <v>1373</v>
      </c>
      <c r="L464" s="555" t="str">
        <f t="shared" ca="1" si="65"/>
        <v/>
      </c>
      <c r="M464" s="494" t="s">
        <v>1446</v>
      </c>
      <c r="N464" s="555" t="str">
        <f t="shared" ca="1" si="66"/>
        <v/>
      </c>
      <c r="O464" s="494" t="s">
        <v>1447</v>
      </c>
      <c r="P464" s="555" t="str">
        <f t="shared" ca="1" si="67"/>
        <v/>
      </c>
      <c r="Q464" s="494" t="s">
        <v>1448</v>
      </c>
      <c r="R464" s="494" t="str">
        <f t="shared" si="64"/>
        <v>H464</v>
      </c>
      <c r="S464" s="494" t="s">
        <v>1449</v>
      </c>
      <c r="T464" s="494">
        <v>10</v>
      </c>
      <c r="U464" s="556" t="str">
        <f t="shared" ca="1" si="72"/>
        <v/>
      </c>
      <c r="V464" s="494">
        <v>11</v>
      </c>
      <c r="W464" s="556" t="str">
        <f t="shared" ca="1" si="73"/>
        <v/>
      </c>
      <c r="X464" s="494" t="s">
        <v>1450</v>
      </c>
      <c r="Y464" s="547" t="str">
        <f t="shared" ca="1" si="69"/>
        <v/>
      </c>
      <c r="Z464" s="494" t="s">
        <v>1451</v>
      </c>
      <c r="AA464" s="547" t="str">
        <f t="shared" ca="1" si="70"/>
        <v/>
      </c>
      <c r="AB464" s="494" t="s">
        <v>1452</v>
      </c>
      <c r="AC464" s="547" t="str">
        <f t="shared" ca="1" si="71"/>
        <v/>
      </c>
      <c r="AD464" s="557"/>
      <c r="AE464" s="958"/>
    </row>
    <row r="465" spans="1:31" ht="15" customHeight="1">
      <c r="A465" s="957">
        <v>54</v>
      </c>
      <c r="B465" s="566" t="s">
        <v>489</v>
      </c>
      <c r="C465" s="567" t="s">
        <v>1443</v>
      </c>
      <c r="D465" s="958">
        <v>1</v>
      </c>
      <c r="E465" s="959" t="s">
        <v>396</v>
      </c>
      <c r="F465" s="558" t="s">
        <v>1498</v>
      </c>
      <c r="G465" s="558">
        <v>442</v>
      </c>
      <c r="H465" s="558">
        <v>24</v>
      </c>
      <c r="I465" s="559" t="s">
        <v>338</v>
      </c>
      <c r="J465" s="567" t="s">
        <v>1445</v>
      </c>
      <c r="K465" s="961" t="s">
        <v>1373</v>
      </c>
      <c r="L465" s="555" t="str">
        <f t="shared" ca="1" si="65"/>
        <v/>
      </c>
      <c r="M465" s="494" t="s">
        <v>1446</v>
      </c>
      <c r="N465" s="555" t="str">
        <f t="shared" ca="1" si="66"/>
        <v/>
      </c>
      <c r="O465" s="494" t="s">
        <v>1447</v>
      </c>
      <c r="P465" s="555" t="str">
        <f t="shared" ca="1" si="67"/>
        <v/>
      </c>
      <c r="Q465" s="494" t="s">
        <v>1448</v>
      </c>
      <c r="R465" s="494" t="str">
        <f t="shared" si="64"/>
        <v>H465</v>
      </c>
      <c r="S465" s="494" t="s">
        <v>1449</v>
      </c>
      <c r="T465" s="494">
        <v>10</v>
      </c>
      <c r="U465" s="556" t="str">
        <f t="shared" ca="1" si="72"/>
        <v/>
      </c>
      <c r="V465" s="494">
        <v>11</v>
      </c>
      <c r="W465" s="556" t="str">
        <f t="shared" ca="1" si="73"/>
        <v/>
      </c>
      <c r="X465" s="494" t="s">
        <v>1450</v>
      </c>
      <c r="Y465" s="547" t="str">
        <f t="shared" ca="1" si="69"/>
        <v/>
      </c>
      <c r="Z465" s="494" t="s">
        <v>1451</v>
      </c>
      <c r="AA465" s="547" t="str">
        <f t="shared" ca="1" si="70"/>
        <v/>
      </c>
      <c r="AB465" s="494" t="s">
        <v>1452</v>
      </c>
      <c r="AC465" s="547" t="str">
        <f t="shared" ca="1" si="71"/>
        <v/>
      </c>
      <c r="AD465" s="557"/>
      <c r="AE465" s="958"/>
    </row>
    <row r="466" spans="1:31" ht="15" customHeight="1">
      <c r="A466" s="957">
        <v>54</v>
      </c>
      <c r="B466" s="566" t="s">
        <v>489</v>
      </c>
      <c r="C466" s="567" t="s">
        <v>1443</v>
      </c>
      <c r="D466" s="958">
        <v>1</v>
      </c>
      <c r="E466" s="959" t="s">
        <v>396</v>
      </c>
      <c r="F466" s="558" t="s">
        <v>1498</v>
      </c>
      <c r="G466" s="558">
        <v>443</v>
      </c>
      <c r="H466" s="558">
        <v>24.1</v>
      </c>
      <c r="I466" s="559" t="s">
        <v>402</v>
      </c>
      <c r="J466" s="567" t="s">
        <v>1445</v>
      </c>
      <c r="K466" s="961" t="s">
        <v>1373</v>
      </c>
      <c r="L466" s="555" t="str">
        <f t="shared" ca="1" si="65"/>
        <v/>
      </c>
      <c r="M466" s="494" t="s">
        <v>1446</v>
      </c>
      <c r="N466" s="555" t="str">
        <f t="shared" ca="1" si="66"/>
        <v/>
      </c>
      <c r="O466" s="494" t="s">
        <v>1447</v>
      </c>
      <c r="P466" s="555" t="str">
        <f t="shared" ca="1" si="67"/>
        <v/>
      </c>
      <c r="Q466" s="494" t="s">
        <v>1448</v>
      </c>
      <c r="R466" s="494" t="str">
        <f t="shared" si="64"/>
        <v>H466</v>
      </c>
      <c r="S466" s="494" t="s">
        <v>1449</v>
      </c>
      <c r="T466" s="494">
        <v>10</v>
      </c>
      <c r="U466" s="556" t="str">
        <f t="shared" ca="1" si="72"/>
        <v/>
      </c>
      <c r="V466" s="494">
        <v>11</v>
      </c>
      <c r="W466" s="556" t="str">
        <f t="shared" ca="1" si="73"/>
        <v/>
      </c>
      <c r="X466" s="494" t="s">
        <v>1450</v>
      </c>
      <c r="Y466" s="547" t="str">
        <f t="shared" ca="1" si="69"/>
        <v/>
      </c>
      <c r="Z466" s="494" t="s">
        <v>1451</v>
      </c>
      <c r="AA466" s="547" t="str">
        <f t="shared" ca="1" si="70"/>
        <v/>
      </c>
      <c r="AB466" s="494" t="s">
        <v>1452</v>
      </c>
      <c r="AC466" s="547" t="str">
        <f t="shared" ca="1" si="71"/>
        <v/>
      </c>
      <c r="AD466" s="557"/>
      <c r="AE466" s="958"/>
    </row>
    <row r="467" spans="1:31" ht="15" customHeight="1">
      <c r="A467" s="957">
        <v>54</v>
      </c>
      <c r="B467" s="566" t="s">
        <v>489</v>
      </c>
      <c r="C467" s="567" t="s">
        <v>1443</v>
      </c>
      <c r="D467" s="958">
        <v>1</v>
      </c>
      <c r="E467" s="959" t="s">
        <v>396</v>
      </c>
      <c r="F467" s="558" t="s">
        <v>1498</v>
      </c>
      <c r="G467" s="558">
        <v>444</v>
      </c>
      <c r="H467" s="558">
        <v>24.2</v>
      </c>
      <c r="I467" s="559" t="s">
        <v>403</v>
      </c>
      <c r="J467" s="567" t="s">
        <v>1445</v>
      </c>
      <c r="K467" s="961" t="s">
        <v>1373</v>
      </c>
      <c r="L467" s="555" t="str">
        <f t="shared" ca="1" si="65"/>
        <v/>
      </c>
      <c r="M467" s="494" t="s">
        <v>1446</v>
      </c>
      <c r="N467" s="555" t="str">
        <f t="shared" ca="1" si="66"/>
        <v/>
      </c>
      <c r="O467" s="494" t="s">
        <v>1447</v>
      </c>
      <c r="P467" s="555" t="str">
        <f t="shared" ca="1" si="67"/>
        <v/>
      </c>
      <c r="Q467" s="494" t="s">
        <v>1448</v>
      </c>
      <c r="R467" s="494" t="str">
        <f t="shared" si="64"/>
        <v>H467</v>
      </c>
      <c r="S467" s="494" t="s">
        <v>1449</v>
      </c>
      <c r="T467" s="494">
        <v>10</v>
      </c>
      <c r="U467" s="556" t="str">
        <f t="shared" ca="1" si="72"/>
        <v/>
      </c>
      <c r="V467" s="494">
        <v>11</v>
      </c>
      <c r="W467" s="556" t="str">
        <f t="shared" ca="1" si="73"/>
        <v/>
      </c>
      <c r="X467" s="494" t="s">
        <v>1450</v>
      </c>
      <c r="Y467" s="547" t="str">
        <f t="shared" ca="1" si="69"/>
        <v/>
      </c>
      <c r="Z467" s="494" t="s">
        <v>1451</v>
      </c>
      <c r="AA467" s="547" t="str">
        <f t="shared" ca="1" si="70"/>
        <v/>
      </c>
      <c r="AB467" s="494" t="s">
        <v>1452</v>
      </c>
      <c r="AC467" s="547" t="str">
        <f t="shared" ca="1" si="71"/>
        <v/>
      </c>
      <c r="AD467" s="557"/>
      <c r="AE467" s="958"/>
    </row>
    <row r="468" spans="1:31" ht="15" customHeight="1">
      <c r="A468" s="957">
        <v>54</v>
      </c>
      <c r="B468" s="566" t="s">
        <v>489</v>
      </c>
      <c r="C468" s="567" t="s">
        <v>1443</v>
      </c>
      <c r="D468" s="958">
        <v>1</v>
      </c>
      <c r="E468" s="959" t="s">
        <v>396</v>
      </c>
      <c r="F468" s="558" t="s">
        <v>1498</v>
      </c>
      <c r="G468" s="558">
        <v>447</v>
      </c>
      <c r="H468" s="558">
        <v>25</v>
      </c>
      <c r="I468" s="559" t="s">
        <v>517</v>
      </c>
      <c r="J468" s="567" t="s">
        <v>1445</v>
      </c>
      <c r="K468" s="961" t="s">
        <v>1373</v>
      </c>
      <c r="L468" s="555" t="str">
        <f t="shared" ca="1" si="65"/>
        <v/>
      </c>
      <c r="M468" s="494" t="s">
        <v>1446</v>
      </c>
      <c r="N468" s="555" t="str">
        <f t="shared" ca="1" si="66"/>
        <v/>
      </c>
      <c r="O468" s="494" t="s">
        <v>1447</v>
      </c>
      <c r="P468" s="555" t="str">
        <f t="shared" ca="1" si="67"/>
        <v/>
      </c>
      <c r="Q468" s="494" t="s">
        <v>1448</v>
      </c>
      <c r="R468" s="494" t="str">
        <f t="shared" si="64"/>
        <v>H468</v>
      </c>
      <c r="S468" s="494" t="s">
        <v>1449</v>
      </c>
      <c r="T468" s="494">
        <v>10</v>
      </c>
      <c r="U468" s="556" t="str">
        <f t="shared" ca="1" si="72"/>
        <v/>
      </c>
      <c r="V468" s="494">
        <v>11</v>
      </c>
      <c r="W468" s="556" t="str">
        <f t="shared" ca="1" si="73"/>
        <v/>
      </c>
      <c r="X468" s="494" t="s">
        <v>1450</v>
      </c>
      <c r="Y468" s="547" t="str">
        <f t="shared" ca="1" si="69"/>
        <v/>
      </c>
      <c r="Z468" s="494" t="s">
        <v>1451</v>
      </c>
      <c r="AA468" s="547" t="str">
        <f t="shared" ca="1" si="70"/>
        <v/>
      </c>
      <c r="AB468" s="494" t="s">
        <v>1452</v>
      </c>
      <c r="AC468" s="547" t="str">
        <f t="shared" ca="1" si="71"/>
        <v/>
      </c>
      <c r="AD468" s="557"/>
      <c r="AE468" s="958"/>
    </row>
    <row r="469" spans="1:31" ht="15" customHeight="1">
      <c r="A469" s="957">
        <v>54</v>
      </c>
      <c r="B469" s="566" t="s">
        <v>489</v>
      </c>
      <c r="C469" s="567" t="s">
        <v>1443</v>
      </c>
      <c r="D469" s="958">
        <v>1</v>
      </c>
      <c r="E469" s="959" t="s">
        <v>404</v>
      </c>
      <c r="F469" s="558" t="s">
        <v>1499</v>
      </c>
      <c r="G469" s="558">
        <v>448</v>
      </c>
      <c r="H469" s="558">
        <v>26.1</v>
      </c>
      <c r="I469" s="559" t="s">
        <v>1420</v>
      </c>
      <c r="J469" s="567" t="s">
        <v>1445</v>
      </c>
      <c r="K469" s="961" t="s">
        <v>1373</v>
      </c>
      <c r="L469" s="555" t="str">
        <f t="shared" ca="1" si="65"/>
        <v/>
      </c>
      <c r="M469" s="494" t="s">
        <v>1446</v>
      </c>
      <c r="N469" s="555" t="str">
        <f t="shared" ca="1" si="66"/>
        <v/>
      </c>
      <c r="O469" s="494" t="s">
        <v>1447</v>
      </c>
      <c r="P469" s="555" t="str">
        <f t="shared" ca="1" si="67"/>
        <v/>
      </c>
      <c r="Q469" s="494" t="s">
        <v>1448</v>
      </c>
      <c r="R469" s="494" t="str">
        <f t="shared" si="64"/>
        <v>H469</v>
      </c>
      <c r="S469" s="494" t="s">
        <v>1449</v>
      </c>
      <c r="T469" s="494">
        <v>10</v>
      </c>
      <c r="U469" s="556" t="str">
        <f t="shared" ca="1" si="72"/>
        <v/>
      </c>
      <c r="V469" s="494">
        <v>11</v>
      </c>
      <c r="W469" s="556" t="str">
        <f t="shared" ca="1" si="73"/>
        <v/>
      </c>
      <c r="X469" s="494" t="s">
        <v>1450</v>
      </c>
      <c r="Y469" s="547" t="str">
        <f t="shared" ca="1" si="69"/>
        <v/>
      </c>
      <c r="Z469" s="494" t="s">
        <v>1451</v>
      </c>
      <c r="AA469" s="547" t="str">
        <f t="shared" ca="1" si="70"/>
        <v/>
      </c>
      <c r="AB469" s="494" t="s">
        <v>1452</v>
      </c>
      <c r="AC469" s="547" t="str">
        <f t="shared" ca="1" si="71"/>
        <v/>
      </c>
      <c r="AD469" s="557"/>
      <c r="AE469" s="958"/>
    </row>
    <row r="470" spans="1:31" ht="15" customHeight="1">
      <c r="A470" s="957">
        <v>54</v>
      </c>
      <c r="B470" s="566" t="s">
        <v>489</v>
      </c>
      <c r="C470" s="567" t="s">
        <v>1443</v>
      </c>
      <c r="D470" s="958">
        <v>1</v>
      </c>
      <c r="E470" s="959" t="s">
        <v>404</v>
      </c>
      <c r="F470" s="558" t="s">
        <v>1499</v>
      </c>
      <c r="G470" s="558">
        <v>449</v>
      </c>
      <c r="H470" s="558">
        <v>26.2</v>
      </c>
      <c r="I470" s="559" t="s">
        <v>1500</v>
      </c>
      <c r="J470" s="567" t="s">
        <v>1445</v>
      </c>
      <c r="K470" s="961" t="s">
        <v>1373</v>
      </c>
      <c r="L470" s="555" t="str">
        <f t="shared" ca="1" si="65"/>
        <v/>
      </c>
      <c r="M470" s="494" t="s">
        <v>1446</v>
      </c>
      <c r="N470" s="555" t="str">
        <f t="shared" ca="1" si="66"/>
        <v/>
      </c>
      <c r="O470" s="494" t="s">
        <v>1447</v>
      </c>
      <c r="P470" s="555" t="str">
        <f t="shared" ca="1" si="67"/>
        <v/>
      </c>
      <c r="Q470" s="494" t="s">
        <v>1448</v>
      </c>
      <c r="R470" s="494" t="str">
        <f t="shared" si="64"/>
        <v>H470</v>
      </c>
      <c r="S470" s="494" t="s">
        <v>1449</v>
      </c>
      <c r="T470" s="494">
        <v>10</v>
      </c>
      <c r="U470" s="556" t="str">
        <f t="shared" ca="1" si="72"/>
        <v/>
      </c>
      <c r="V470" s="494">
        <v>11</v>
      </c>
      <c r="W470" s="556" t="str">
        <f t="shared" ca="1" si="73"/>
        <v/>
      </c>
      <c r="X470" s="494" t="s">
        <v>1450</v>
      </c>
      <c r="Y470" s="547" t="str">
        <f t="shared" ca="1" si="69"/>
        <v/>
      </c>
      <c r="Z470" s="494" t="s">
        <v>1451</v>
      </c>
      <c r="AA470" s="547" t="str">
        <f t="shared" ca="1" si="70"/>
        <v/>
      </c>
      <c r="AB470" s="494" t="s">
        <v>1452</v>
      </c>
      <c r="AC470" s="547" t="str">
        <f t="shared" ca="1" si="71"/>
        <v/>
      </c>
      <c r="AD470" s="557"/>
      <c r="AE470" s="958"/>
    </row>
    <row r="471" spans="1:31" ht="15" customHeight="1">
      <c r="A471" s="957">
        <v>54</v>
      </c>
      <c r="B471" s="566" t="s">
        <v>489</v>
      </c>
      <c r="C471" s="567" t="s">
        <v>1443</v>
      </c>
      <c r="D471" s="958">
        <v>1</v>
      </c>
      <c r="E471" s="959" t="s">
        <v>404</v>
      </c>
      <c r="F471" s="558" t="s">
        <v>1499</v>
      </c>
      <c r="G471" s="558">
        <v>736</v>
      </c>
      <c r="H471" s="558">
        <v>27</v>
      </c>
      <c r="I471" s="559" t="s">
        <v>411</v>
      </c>
      <c r="J471" s="567" t="s">
        <v>1445</v>
      </c>
      <c r="K471" s="961" t="s">
        <v>1373</v>
      </c>
      <c r="L471" s="555" t="str">
        <f t="shared" ca="1" si="65"/>
        <v/>
      </c>
      <c r="M471" s="494" t="s">
        <v>1446</v>
      </c>
      <c r="N471" s="555" t="str">
        <f t="shared" ca="1" si="66"/>
        <v/>
      </c>
      <c r="O471" s="494" t="s">
        <v>1447</v>
      </c>
      <c r="P471" s="555" t="str">
        <f t="shared" ca="1" si="67"/>
        <v/>
      </c>
      <c r="Q471" s="494" t="s">
        <v>1448</v>
      </c>
      <c r="R471" s="494" t="str">
        <f t="shared" si="64"/>
        <v>H471</v>
      </c>
      <c r="S471" s="494" t="s">
        <v>1449</v>
      </c>
      <c r="T471" s="494">
        <v>10</v>
      </c>
      <c r="U471" s="556" t="str">
        <f t="shared" ca="1" si="72"/>
        <v/>
      </c>
      <c r="V471" s="494">
        <v>11</v>
      </c>
      <c r="W471" s="556" t="str">
        <f t="shared" ca="1" si="73"/>
        <v/>
      </c>
      <c r="X471" s="494" t="s">
        <v>1450</v>
      </c>
      <c r="Y471" s="547" t="str">
        <f t="shared" ca="1" si="69"/>
        <v/>
      </c>
      <c r="Z471" s="494" t="s">
        <v>1451</v>
      </c>
      <c r="AA471" s="547" t="str">
        <f t="shared" ca="1" si="70"/>
        <v/>
      </c>
      <c r="AB471" s="494" t="s">
        <v>1452</v>
      </c>
      <c r="AC471" s="547" t="str">
        <f t="shared" ca="1" si="71"/>
        <v/>
      </c>
      <c r="AD471" s="557"/>
      <c r="AE471" s="958"/>
    </row>
    <row r="472" spans="1:31" ht="15" customHeight="1">
      <c r="A472" s="957">
        <v>54</v>
      </c>
      <c r="B472" s="566" t="s">
        <v>489</v>
      </c>
      <c r="C472" s="567" t="s">
        <v>1443</v>
      </c>
      <c r="D472" s="958">
        <v>1</v>
      </c>
      <c r="E472" s="959" t="s">
        <v>404</v>
      </c>
      <c r="F472" s="558" t="s">
        <v>1499</v>
      </c>
      <c r="G472" s="558">
        <v>737</v>
      </c>
      <c r="H472" s="558">
        <v>27.1</v>
      </c>
      <c r="I472" s="559" t="s">
        <v>412</v>
      </c>
      <c r="J472" s="567" t="s">
        <v>1445</v>
      </c>
      <c r="K472" s="961" t="s">
        <v>1373</v>
      </c>
      <c r="L472" s="555" t="str">
        <f t="shared" ca="1" si="65"/>
        <v/>
      </c>
      <c r="M472" s="494" t="s">
        <v>1446</v>
      </c>
      <c r="N472" s="555" t="str">
        <f t="shared" ca="1" si="66"/>
        <v/>
      </c>
      <c r="O472" s="494" t="s">
        <v>1447</v>
      </c>
      <c r="P472" s="555" t="str">
        <f t="shared" ca="1" si="67"/>
        <v/>
      </c>
      <c r="Q472" s="494" t="s">
        <v>1448</v>
      </c>
      <c r="R472" s="494" t="str">
        <f t="shared" si="64"/>
        <v>H472</v>
      </c>
      <c r="S472" s="494" t="s">
        <v>1449</v>
      </c>
      <c r="T472" s="494">
        <v>10</v>
      </c>
      <c r="U472" s="556" t="str">
        <f t="shared" ca="1" si="72"/>
        <v/>
      </c>
      <c r="V472" s="494">
        <v>11</v>
      </c>
      <c r="W472" s="556" t="str">
        <f t="shared" ca="1" si="73"/>
        <v/>
      </c>
      <c r="X472" s="494" t="s">
        <v>1450</v>
      </c>
      <c r="Y472" s="547" t="str">
        <f t="shared" ca="1" si="69"/>
        <v/>
      </c>
      <c r="Z472" s="494" t="s">
        <v>1451</v>
      </c>
      <c r="AA472" s="547" t="str">
        <f t="shared" ca="1" si="70"/>
        <v/>
      </c>
      <c r="AB472" s="494" t="s">
        <v>1452</v>
      </c>
      <c r="AC472" s="547" t="str">
        <f t="shared" ca="1" si="71"/>
        <v/>
      </c>
      <c r="AD472" s="557"/>
      <c r="AE472" s="958"/>
    </row>
    <row r="473" spans="1:31" ht="15" customHeight="1">
      <c r="A473" s="957">
        <v>54</v>
      </c>
      <c r="B473" s="566" t="s">
        <v>489</v>
      </c>
      <c r="C473" s="567" t="s">
        <v>1443</v>
      </c>
      <c r="D473" s="958">
        <v>1</v>
      </c>
      <c r="E473" s="959" t="s">
        <v>404</v>
      </c>
      <c r="F473" s="558" t="s">
        <v>1499</v>
      </c>
      <c r="G473" s="558">
        <v>453</v>
      </c>
      <c r="H473" s="558">
        <v>28</v>
      </c>
      <c r="I473" s="559" t="s">
        <v>415</v>
      </c>
      <c r="J473" s="567" t="s">
        <v>1445</v>
      </c>
      <c r="K473" s="961" t="s">
        <v>1373</v>
      </c>
      <c r="L473" s="555" t="str">
        <f t="shared" ca="1" si="65"/>
        <v/>
      </c>
      <c r="M473" s="494" t="s">
        <v>1446</v>
      </c>
      <c r="N473" s="555" t="str">
        <f t="shared" ca="1" si="66"/>
        <v/>
      </c>
      <c r="O473" s="494" t="s">
        <v>1447</v>
      </c>
      <c r="P473" s="555" t="str">
        <f t="shared" ca="1" si="67"/>
        <v/>
      </c>
      <c r="Q473" s="494" t="s">
        <v>1448</v>
      </c>
      <c r="R473" s="494" t="str">
        <f t="shared" si="64"/>
        <v>H473</v>
      </c>
      <c r="S473" s="494" t="s">
        <v>1449</v>
      </c>
      <c r="T473" s="494">
        <v>10</v>
      </c>
      <c r="U473" s="556" t="str">
        <f t="shared" ca="1" si="72"/>
        <v/>
      </c>
      <c r="V473" s="494">
        <v>11</v>
      </c>
      <c r="W473" s="556" t="str">
        <f t="shared" ca="1" si="73"/>
        <v/>
      </c>
      <c r="X473" s="494" t="s">
        <v>1450</v>
      </c>
      <c r="Y473" s="547" t="str">
        <f t="shared" ca="1" si="69"/>
        <v/>
      </c>
      <c r="Z473" s="494" t="s">
        <v>1451</v>
      </c>
      <c r="AA473" s="547" t="str">
        <f t="shared" ca="1" si="70"/>
        <v/>
      </c>
      <c r="AB473" s="494" t="s">
        <v>1452</v>
      </c>
      <c r="AC473" s="547" t="str">
        <f t="shared" ca="1" si="71"/>
        <v/>
      </c>
      <c r="AD473" s="557"/>
      <c r="AE473" s="958"/>
    </row>
    <row r="474" spans="1:31" ht="15" customHeight="1">
      <c r="A474" s="957">
        <v>54</v>
      </c>
      <c r="B474" s="566" t="s">
        <v>489</v>
      </c>
      <c r="C474" s="567" t="s">
        <v>1443</v>
      </c>
      <c r="D474" s="958">
        <v>1</v>
      </c>
      <c r="E474" s="959" t="s">
        <v>404</v>
      </c>
      <c r="F474" s="558" t="s">
        <v>1499</v>
      </c>
      <c r="G474" s="558">
        <v>738</v>
      </c>
      <c r="H474" s="558">
        <v>29</v>
      </c>
      <c r="I474" s="559" t="s">
        <v>418</v>
      </c>
      <c r="J474" s="567" t="s">
        <v>1445</v>
      </c>
      <c r="K474" s="961" t="s">
        <v>1373</v>
      </c>
      <c r="L474" s="555" t="str">
        <f t="shared" ca="1" si="65"/>
        <v/>
      </c>
      <c r="M474" s="494" t="s">
        <v>1446</v>
      </c>
      <c r="N474" s="555" t="str">
        <f t="shared" ca="1" si="66"/>
        <v/>
      </c>
      <c r="O474" s="494" t="s">
        <v>1447</v>
      </c>
      <c r="P474" s="555" t="str">
        <f t="shared" ca="1" si="67"/>
        <v/>
      </c>
      <c r="Q474" s="494" t="s">
        <v>1448</v>
      </c>
      <c r="R474" s="494" t="str">
        <f t="shared" si="64"/>
        <v>H474</v>
      </c>
      <c r="S474" s="494" t="s">
        <v>1449</v>
      </c>
      <c r="T474" s="494">
        <v>10</v>
      </c>
      <c r="U474" s="556" t="str">
        <f t="shared" ca="1" si="72"/>
        <v/>
      </c>
      <c r="V474" s="494">
        <v>11</v>
      </c>
      <c r="W474" s="556" t="str">
        <f t="shared" ca="1" si="73"/>
        <v/>
      </c>
      <c r="X474" s="494" t="s">
        <v>1450</v>
      </c>
      <c r="Y474" s="547" t="str">
        <f t="shared" ca="1" si="69"/>
        <v/>
      </c>
      <c r="Z474" s="494" t="s">
        <v>1451</v>
      </c>
      <c r="AA474" s="547" t="str">
        <f t="shared" ca="1" si="70"/>
        <v/>
      </c>
      <c r="AB474" s="494" t="s">
        <v>1452</v>
      </c>
      <c r="AC474" s="547" t="str">
        <f t="shared" ca="1" si="71"/>
        <v/>
      </c>
      <c r="AD474" s="557"/>
      <c r="AE474" s="958"/>
    </row>
    <row r="475" spans="1:31" ht="15" customHeight="1">
      <c r="A475" s="957">
        <v>54</v>
      </c>
      <c r="B475" s="566" t="s">
        <v>489</v>
      </c>
      <c r="C475" s="567" t="s">
        <v>1443</v>
      </c>
      <c r="D475" s="958">
        <v>1</v>
      </c>
      <c r="E475" s="959" t="s">
        <v>419</v>
      </c>
      <c r="F475" s="558" t="s">
        <v>1501</v>
      </c>
      <c r="G475" s="558">
        <v>739</v>
      </c>
      <c r="H475" s="558" t="s">
        <v>522</v>
      </c>
      <c r="I475" s="559" t="s">
        <v>420</v>
      </c>
      <c r="J475" s="567" t="s">
        <v>1445</v>
      </c>
      <c r="K475" s="961" t="s">
        <v>1373</v>
      </c>
      <c r="L475" s="555" t="str">
        <f t="shared" ca="1" si="65"/>
        <v/>
      </c>
      <c r="M475" s="494" t="s">
        <v>1446</v>
      </c>
      <c r="N475" s="555" t="str">
        <f t="shared" ca="1" si="66"/>
        <v/>
      </c>
      <c r="O475" s="494" t="s">
        <v>1447</v>
      </c>
      <c r="P475" s="555" t="str">
        <f t="shared" ca="1" si="67"/>
        <v/>
      </c>
      <c r="Q475" s="494" t="s">
        <v>1448</v>
      </c>
      <c r="R475" s="494" t="str">
        <f t="shared" si="64"/>
        <v>H475</v>
      </c>
      <c r="S475" s="494" t="s">
        <v>1449</v>
      </c>
      <c r="T475" s="494">
        <v>10</v>
      </c>
      <c r="U475" s="556" t="str">
        <f t="shared" ca="1" si="72"/>
        <v/>
      </c>
      <c r="V475" s="494">
        <v>11</v>
      </c>
      <c r="W475" s="556" t="str">
        <f t="shared" ca="1" si="73"/>
        <v/>
      </c>
      <c r="X475" s="494" t="s">
        <v>1450</v>
      </c>
      <c r="Y475" s="547" t="str">
        <f t="shared" ca="1" si="69"/>
        <v/>
      </c>
      <c r="Z475" s="494" t="s">
        <v>1451</v>
      </c>
      <c r="AA475" s="547" t="str">
        <f t="shared" ca="1" si="70"/>
        <v/>
      </c>
      <c r="AB475" s="494" t="s">
        <v>1452</v>
      </c>
      <c r="AC475" s="547" t="str">
        <f t="shared" ca="1" si="71"/>
        <v/>
      </c>
      <c r="AD475" s="557"/>
      <c r="AE475" s="958"/>
    </row>
    <row r="476" spans="1:31" ht="15" customHeight="1">
      <c r="A476" s="957">
        <v>54</v>
      </c>
      <c r="B476" s="566" t="s">
        <v>489</v>
      </c>
      <c r="C476" s="567" t="s">
        <v>1443</v>
      </c>
      <c r="D476" s="958">
        <v>1</v>
      </c>
      <c r="E476" s="959" t="s">
        <v>419</v>
      </c>
      <c r="F476" s="558" t="s">
        <v>1501</v>
      </c>
      <c r="G476" s="558">
        <v>740</v>
      </c>
      <c r="H476" s="558" t="s">
        <v>524</v>
      </c>
      <c r="I476" s="559" t="s">
        <v>422</v>
      </c>
      <c r="J476" s="567" t="s">
        <v>1445</v>
      </c>
      <c r="K476" s="961" t="s">
        <v>1373</v>
      </c>
      <c r="L476" s="555" t="str">
        <f t="shared" ca="1" si="65"/>
        <v/>
      </c>
      <c r="M476" s="494" t="s">
        <v>1446</v>
      </c>
      <c r="N476" s="555" t="str">
        <f t="shared" ca="1" si="66"/>
        <v/>
      </c>
      <c r="O476" s="494" t="s">
        <v>1447</v>
      </c>
      <c r="P476" s="555" t="str">
        <f t="shared" ca="1" si="67"/>
        <v/>
      </c>
      <c r="Q476" s="494" t="s">
        <v>1448</v>
      </c>
      <c r="R476" s="494" t="str">
        <f t="shared" si="64"/>
        <v>H476</v>
      </c>
      <c r="S476" s="494" t="s">
        <v>1449</v>
      </c>
      <c r="T476" s="494">
        <v>10</v>
      </c>
      <c r="U476" s="556" t="str">
        <f t="shared" ca="1" si="72"/>
        <v/>
      </c>
      <c r="V476" s="494">
        <v>11</v>
      </c>
      <c r="W476" s="556" t="str">
        <f t="shared" ca="1" si="73"/>
        <v/>
      </c>
      <c r="X476" s="494" t="s">
        <v>1450</v>
      </c>
      <c r="Y476" s="547" t="str">
        <f t="shared" ca="1" si="69"/>
        <v/>
      </c>
      <c r="Z476" s="494" t="s">
        <v>1451</v>
      </c>
      <c r="AA476" s="547" t="str">
        <f t="shared" ca="1" si="70"/>
        <v/>
      </c>
      <c r="AB476" s="494" t="s">
        <v>1452</v>
      </c>
      <c r="AC476" s="547" t="str">
        <f t="shared" ca="1" si="71"/>
        <v/>
      </c>
      <c r="AD476" s="557"/>
      <c r="AE476" s="958"/>
    </row>
    <row r="477" spans="1:31" ht="15" customHeight="1">
      <c r="A477" s="957">
        <v>54</v>
      </c>
      <c r="B477" s="566" t="s">
        <v>489</v>
      </c>
      <c r="C477" s="567" t="s">
        <v>1443</v>
      </c>
      <c r="D477" s="958">
        <v>1</v>
      </c>
      <c r="E477" s="959" t="s">
        <v>419</v>
      </c>
      <c r="F477" s="558" t="s">
        <v>1501</v>
      </c>
      <c r="G477" s="558">
        <v>741</v>
      </c>
      <c r="H477" s="558" t="s">
        <v>526</v>
      </c>
      <c r="I477" s="559" t="s">
        <v>424</v>
      </c>
      <c r="J477" s="567" t="s">
        <v>1445</v>
      </c>
      <c r="K477" s="961" t="s">
        <v>1373</v>
      </c>
      <c r="L477" s="555" t="str">
        <f t="shared" ca="1" si="65"/>
        <v/>
      </c>
      <c r="M477" s="494" t="s">
        <v>1446</v>
      </c>
      <c r="N477" s="555" t="str">
        <f t="shared" ca="1" si="66"/>
        <v/>
      </c>
      <c r="O477" s="494" t="s">
        <v>1447</v>
      </c>
      <c r="P477" s="555" t="str">
        <f t="shared" ca="1" si="67"/>
        <v/>
      </c>
      <c r="Q477" s="494" t="s">
        <v>1448</v>
      </c>
      <c r="R477" s="494" t="str">
        <f t="shared" si="64"/>
        <v>H477</v>
      </c>
      <c r="S477" s="494" t="s">
        <v>1449</v>
      </c>
      <c r="T477" s="494">
        <v>10</v>
      </c>
      <c r="U477" s="556" t="str">
        <f t="shared" ca="1" si="72"/>
        <v/>
      </c>
      <c r="V477" s="494">
        <v>11</v>
      </c>
      <c r="W477" s="556" t="str">
        <f t="shared" ca="1" si="73"/>
        <v/>
      </c>
      <c r="X477" s="494" t="s">
        <v>1450</v>
      </c>
      <c r="Y477" s="547" t="str">
        <f t="shared" ca="1" si="69"/>
        <v/>
      </c>
      <c r="Z477" s="494" t="s">
        <v>1451</v>
      </c>
      <c r="AA477" s="547" t="str">
        <f t="shared" ca="1" si="70"/>
        <v/>
      </c>
      <c r="AB477" s="494" t="s">
        <v>1452</v>
      </c>
      <c r="AC477" s="547" t="str">
        <f t="shared" ca="1" si="71"/>
        <v/>
      </c>
      <c r="AD477" s="557"/>
      <c r="AE477" s="958"/>
    </row>
    <row r="478" spans="1:31" ht="15" customHeight="1">
      <c r="A478" s="957">
        <v>54</v>
      </c>
      <c r="B478" s="566" t="s">
        <v>489</v>
      </c>
      <c r="C478" s="567" t="s">
        <v>1443</v>
      </c>
      <c r="D478" s="958">
        <v>1</v>
      </c>
      <c r="E478" s="959" t="s">
        <v>419</v>
      </c>
      <c r="F478" s="558" t="s">
        <v>1501</v>
      </c>
      <c r="G478" s="558">
        <v>742</v>
      </c>
      <c r="H478" s="558" t="s">
        <v>528</v>
      </c>
      <c r="I478" s="559" t="s">
        <v>426</v>
      </c>
      <c r="J478" s="567" t="s">
        <v>1445</v>
      </c>
      <c r="K478" s="961" t="s">
        <v>1373</v>
      </c>
      <c r="L478" s="555" t="str">
        <f t="shared" ca="1" si="65"/>
        <v/>
      </c>
      <c r="M478" s="494" t="s">
        <v>1446</v>
      </c>
      <c r="N478" s="555" t="str">
        <f t="shared" ca="1" si="66"/>
        <v/>
      </c>
      <c r="O478" s="494" t="s">
        <v>1447</v>
      </c>
      <c r="P478" s="555" t="str">
        <f t="shared" ca="1" si="67"/>
        <v/>
      </c>
      <c r="Q478" s="494" t="s">
        <v>1448</v>
      </c>
      <c r="R478" s="494" t="str">
        <f t="shared" si="64"/>
        <v>H478</v>
      </c>
      <c r="S478" s="494" t="s">
        <v>1449</v>
      </c>
      <c r="T478" s="494">
        <v>10</v>
      </c>
      <c r="U478" s="556" t="str">
        <f t="shared" ca="1" si="72"/>
        <v/>
      </c>
      <c r="V478" s="494">
        <v>11</v>
      </c>
      <c r="W478" s="556" t="str">
        <f t="shared" ca="1" si="73"/>
        <v/>
      </c>
      <c r="X478" s="494" t="s">
        <v>1450</v>
      </c>
      <c r="Y478" s="547" t="str">
        <f t="shared" ca="1" si="69"/>
        <v/>
      </c>
      <c r="Z478" s="494" t="s">
        <v>1451</v>
      </c>
      <c r="AA478" s="547" t="str">
        <f t="shared" ca="1" si="70"/>
        <v/>
      </c>
      <c r="AB478" s="494" t="s">
        <v>1452</v>
      </c>
      <c r="AC478" s="547" t="str">
        <f t="shared" ca="1" si="71"/>
        <v/>
      </c>
      <c r="AD478" s="557"/>
      <c r="AE478" s="958"/>
    </row>
    <row r="479" spans="1:31" ht="15" customHeight="1">
      <c r="A479" s="957">
        <v>54</v>
      </c>
      <c r="B479" s="566" t="s">
        <v>489</v>
      </c>
      <c r="C479" s="567" t="s">
        <v>1443</v>
      </c>
      <c r="D479" s="958">
        <v>1</v>
      </c>
      <c r="E479" s="959" t="s">
        <v>419</v>
      </c>
      <c r="F479" s="558" t="s">
        <v>1501</v>
      </c>
      <c r="G479" s="558">
        <v>744</v>
      </c>
      <c r="H479" s="558" t="s">
        <v>530</v>
      </c>
      <c r="I479" s="559" t="s">
        <v>428</v>
      </c>
      <c r="J479" s="567" t="s">
        <v>1445</v>
      </c>
      <c r="K479" s="961" t="s">
        <v>1373</v>
      </c>
      <c r="L479" s="555" t="str">
        <f t="shared" ca="1" si="65"/>
        <v/>
      </c>
      <c r="M479" s="494" t="s">
        <v>1446</v>
      </c>
      <c r="N479" s="555" t="str">
        <f t="shared" ca="1" si="66"/>
        <v/>
      </c>
      <c r="O479" s="494" t="s">
        <v>1447</v>
      </c>
      <c r="P479" s="555" t="str">
        <f t="shared" ca="1" si="67"/>
        <v/>
      </c>
      <c r="Q479" s="494" t="s">
        <v>1448</v>
      </c>
      <c r="R479" s="494" t="str">
        <f t="shared" si="64"/>
        <v>H479</v>
      </c>
      <c r="S479" s="494" t="s">
        <v>1449</v>
      </c>
      <c r="T479" s="494">
        <v>10</v>
      </c>
      <c r="U479" s="556" t="str">
        <f t="shared" ca="1" si="72"/>
        <v/>
      </c>
      <c r="V479" s="494">
        <v>11</v>
      </c>
      <c r="W479" s="556" t="str">
        <f t="shared" ca="1" si="73"/>
        <v/>
      </c>
      <c r="X479" s="494" t="s">
        <v>1450</v>
      </c>
      <c r="Y479" s="547" t="str">
        <f t="shared" ca="1" si="69"/>
        <v/>
      </c>
      <c r="Z479" s="494" t="s">
        <v>1451</v>
      </c>
      <c r="AA479" s="547" t="str">
        <f t="shared" ca="1" si="70"/>
        <v/>
      </c>
      <c r="AB479" s="494" t="s">
        <v>1452</v>
      </c>
      <c r="AC479" s="547" t="str">
        <f t="shared" ca="1" si="71"/>
        <v/>
      </c>
      <c r="AD479" s="557"/>
      <c r="AE479" s="958"/>
    </row>
    <row r="480" spans="1:31" ht="15" customHeight="1">
      <c r="A480" s="957">
        <v>63</v>
      </c>
      <c r="B480" s="566" t="s">
        <v>490</v>
      </c>
      <c r="C480" s="567" t="s">
        <v>1443</v>
      </c>
      <c r="D480" s="958">
        <v>1.1000000000000001</v>
      </c>
      <c r="E480" s="959" t="s">
        <v>254</v>
      </c>
      <c r="F480" s="558" t="s">
        <v>1444</v>
      </c>
      <c r="G480" s="558">
        <v>388</v>
      </c>
      <c r="H480" s="558">
        <v>1</v>
      </c>
      <c r="I480" s="559" t="s">
        <v>492</v>
      </c>
      <c r="J480" s="567" t="s">
        <v>1445</v>
      </c>
      <c r="K480" s="961" t="s">
        <v>1373</v>
      </c>
      <c r="L480" s="555" t="str">
        <f t="shared" ca="1" si="65"/>
        <v/>
      </c>
      <c r="M480" s="494" t="s">
        <v>1446</v>
      </c>
      <c r="N480" s="555" t="str">
        <f t="shared" ca="1" si="66"/>
        <v/>
      </c>
      <c r="O480" s="494" t="s">
        <v>1447</v>
      </c>
      <c r="P480" s="555" t="str">
        <f t="shared" ca="1" si="67"/>
        <v/>
      </c>
      <c r="Q480" s="494" t="s">
        <v>1448</v>
      </c>
      <c r="R480" s="494" t="str">
        <f t="shared" si="64"/>
        <v>H480</v>
      </c>
      <c r="S480" s="494" t="s">
        <v>1449</v>
      </c>
      <c r="T480" s="494">
        <v>10</v>
      </c>
      <c r="U480" s="556" t="str">
        <f t="shared" ca="1" si="72"/>
        <v/>
      </c>
      <c r="V480" s="494">
        <v>11</v>
      </c>
      <c r="W480" s="556" t="str">
        <f t="shared" ca="1" si="73"/>
        <v/>
      </c>
      <c r="X480" s="494" t="s">
        <v>1450</v>
      </c>
      <c r="Y480" s="547" t="str">
        <f t="shared" ca="1" si="69"/>
        <v/>
      </c>
      <c r="Z480" s="494" t="s">
        <v>1451</v>
      </c>
      <c r="AA480" s="547" t="str">
        <f t="shared" ca="1" si="70"/>
        <v/>
      </c>
      <c r="AB480" s="494" t="s">
        <v>1452</v>
      </c>
      <c r="AC480" s="547" t="str">
        <f t="shared" ca="1" si="71"/>
        <v/>
      </c>
      <c r="AD480" s="557"/>
      <c r="AE480" s="958"/>
    </row>
    <row r="481" spans="1:31" ht="15" customHeight="1">
      <c r="A481" s="957">
        <v>63</v>
      </c>
      <c r="B481" s="566" t="s">
        <v>490</v>
      </c>
      <c r="C481" s="567" t="s">
        <v>1443</v>
      </c>
      <c r="D481" s="958">
        <v>1.1000000000000001</v>
      </c>
      <c r="E481" s="959" t="s">
        <v>254</v>
      </c>
      <c r="F481" s="558" t="s">
        <v>1444</v>
      </c>
      <c r="G481" s="558">
        <v>809</v>
      </c>
      <c r="H481" s="558">
        <v>2</v>
      </c>
      <c r="I481" s="559" t="s">
        <v>263</v>
      </c>
      <c r="J481" s="567" t="s">
        <v>1445</v>
      </c>
      <c r="K481" s="961" t="s">
        <v>1373</v>
      </c>
      <c r="L481" s="555" t="str">
        <f t="shared" ca="1" si="65"/>
        <v/>
      </c>
      <c r="M481" s="494" t="s">
        <v>1446</v>
      </c>
      <c r="N481" s="555" t="str">
        <f t="shared" ca="1" si="66"/>
        <v/>
      </c>
      <c r="O481" s="494" t="s">
        <v>1447</v>
      </c>
      <c r="P481" s="555" t="str">
        <f t="shared" ca="1" si="67"/>
        <v/>
      </c>
      <c r="Q481" s="494" t="s">
        <v>1448</v>
      </c>
      <c r="R481" s="494" t="str">
        <f t="shared" si="64"/>
        <v>H481</v>
      </c>
      <c r="S481" s="494" t="s">
        <v>1449</v>
      </c>
      <c r="T481" s="494">
        <v>10</v>
      </c>
      <c r="U481" s="556" t="str">
        <f t="shared" ca="1" si="72"/>
        <v/>
      </c>
      <c r="V481" s="494">
        <v>11</v>
      </c>
      <c r="W481" s="556" t="str">
        <f t="shared" ca="1" si="73"/>
        <v/>
      </c>
      <c r="X481" s="494" t="s">
        <v>1450</v>
      </c>
      <c r="Y481" s="547" t="str">
        <f t="shared" ca="1" si="69"/>
        <v/>
      </c>
      <c r="Z481" s="494" t="s">
        <v>1451</v>
      </c>
      <c r="AA481" s="547" t="str">
        <f t="shared" ca="1" si="70"/>
        <v/>
      </c>
      <c r="AB481" s="494" t="s">
        <v>1452</v>
      </c>
      <c r="AC481" s="547" t="str">
        <f t="shared" ca="1" si="71"/>
        <v/>
      </c>
      <c r="AD481" s="557"/>
      <c r="AE481" s="958"/>
    </row>
    <row r="482" spans="1:31" ht="15" customHeight="1">
      <c r="A482" s="957">
        <v>63</v>
      </c>
      <c r="B482" s="566" t="s">
        <v>490</v>
      </c>
      <c r="C482" s="567" t="s">
        <v>1443</v>
      </c>
      <c r="D482" s="958">
        <v>1.1000000000000001</v>
      </c>
      <c r="E482" s="959" t="s">
        <v>254</v>
      </c>
      <c r="F482" s="558" t="s">
        <v>1444</v>
      </c>
      <c r="G482" s="558">
        <v>390</v>
      </c>
      <c r="H482" s="558">
        <v>2.1</v>
      </c>
      <c r="I482" s="559" t="s">
        <v>270</v>
      </c>
      <c r="J482" s="567" t="s">
        <v>1445</v>
      </c>
      <c r="K482" s="961" t="s">
        <v>1373</v>
      </c>
      <c r="L482" s="555" t="str">
        <f t="shared" ca="1" si="65"/>
        <v/>
      </c>
      <c r="M482" s="494" t="s">
        <v>1446</v>
      </c>
      <c r="N482" s="555" t="str">
        <f t="shared" ca="1" si="66"/>
        <v/>
      </c>
      <c r="O482" s="494" t="s">
        <v>1447</v>
      </c>
      <c r="P482" s="555" t="str">
        <f t="shared" ca="1" si="67"/>
        <v/>
      </c>
      <c r="Q482" s="494" t="s">
        <v>1448</v>
      </c>
      <c r="R482" s="494" t="str">
        <f t="shared" si="64"/>
        <v>H482</v>
      </c>
      <c r="S482" s="494" t="s">
        <v>1449</v>
      </c>
      <c r="T482" s="494">
        <v>10</v>
      </c>
      <c r="U482" s="556" t="str">
        <f t="shared" ca="1" si="72"/>
        <v/>
      </c>
      <c r="V482" s="494">
        <v>11</v>
      </c>
      <c r="W482" s="556" t="str">
        <f t="shared" ca="1" si="73"/>
        <v/>
      </c>
      <c r="X482" s="494" t="s">
        <v>1450</v>
      </c>
      <c r="Y482" s="547" t="str">
        <f t="shared" ca="1" si="69"/>
        <v/>
      </c>
      <c r="Z482" s="494" t="s">
        <v>1451</v>
      </c>
      <c r="AA482" s="547" t="str">
        <f t="shared" ca="1" si="70"/>
        <v/>
      </c>
      <c r="AB482" s="494" t="s">
        <v>1452</v>
      </c>
      <c r="AC482" s="547" t="str">
        <f t="shared" ca="1" si="71"/>
        <v/>
      </c>
      <c r="AD482" s="557"/>
      <c r="AE482" s="958"/>
    </row>
    <row r="483" spans="1:31" ht="15" customHeight="1">
      <c r="A483" s="957">
        <v>63</v>
      </c>
      <c r="B483" s="566" t="s">
        <v>490</v>
      </c>
      <c r="C483" s="567" t="s">
        <v>1443</v>
      </c>
      <c r="D483" s="958">
        <v>1.1000000000000001</v>
      </c>
      <c r="E483" s="959" t="s">
        <v>254</v>
      </c>
      <c r="F483" s="558" t="s">
        <v>1444</v>
      </c>
      <c r="G483" s="558">
        <v>391</v>
      </c>
      <c r="H483" s="558">
        <v>2.2000000000000002</v>
      </c>
      <c r="I483" s="559" t="s">
        <v>275</v>
      </c>
      <c r="J483" s="567" t="s">
        <v>1445</v>
      </c>
      <c r="K483" s="961" t="s">
        <v>1373</v>
      </c>
      <c r="L483" s="555" t="str">
        <f t="shared" ca="1" si="65"/>
        <v/>
      </c>
      <c r="M483" s="494" t="s">
        <v>1446</v>
      </c>
      <c r="N483" s="555" t="str">
        <f t="shared" ca="1" si="66"/>
        <v/>
      </c>
      <c r="O483" s="494" t="s">
        <v>1447</v>
      </c>
      <c r="P483" s="555" t="str">
        <f t="shared" ca="1" si="67"/>
        <v/>
      </c>
      <c r="Q483" s="494" t="s">
        <v>1448</v>
      </c>
      <c r="R483" s="494" t="str">
        <f t="shared" si="64"/>
        <v>H483</v>
      </c>
      <c r="S483" s="494" t="s">
        <v>1449</v>
      </c>
      <c r="T483" s="494">
        <v>10</v>
      </c>
      <c r="U483" s="556" t="str">
        <f t="shared" ca="1" si="72"/>
        <v/>
      </c>
      <c r="V483" s="494">
        <v>11</v>
      </c>
      <c r="W483" s="556" t="str">
        <f t="shared" ca="1" si="73"/>
        <v/>
      </c>
      <c r="X483" s="494" t="s">
        <v>1450</v>
      </c>
      <c r="Y483" s="547" t="str">
        <f t="shared" ca="1" si="69"/>
        <v/>
      </c>
      <c r="Z483" s="494" t="s">
        <v>1451</v>
      </c>
      <c r="AA483" s="547" t="str">
        <f t="shared" ca="1" si="70"/>
        <v/>
      </c>
      <c r="AB483" s="494" t="s">
        <v>1452</v>
      </c>
      <c r="AC483" s="547" t="str">
        <f t="shared" ca="1" si="71"/>
        <v/>
      </c>
      <c r="AD483" s="557"/>
      <c r="AE483" s="958"/>
    </row>
    <row r="484" spans="1:31" ht="15" customHeight="1">
      <c r="A484" s="957">
        <v>63</v>
      </c>
      <c r="B484" s="566" t="s">
        <v>490</v>
      </c>
      <c r="C484" s="567" t="s">
        <v>1443</v>
      </c>
      <c r="D484" s="958">
        <v>1.1000000000000001</v>
      </c>
      <c r="E484" s="959" t="s">
        <v>254</v>
      </c>
      <c r="F484" s="558" t="s">
        <v>1444</v>
      </c>
      <c r="G484" s="558">
        <v>392</v>
      </c>
      <c r="H484" s="558">
        <v>2.2999999999999998</v>
      </c>
      <c r="I484" s="559" t="s">
        <v>278</v>
      </c>
      <c r="J484" s="567" t="s">
        <v>1445</v>
      </c>
      <c r="K484" s="961" t="s">
        <v>1373</v>
      </c>
      <c r="L484" s="555" t="str">
        <f t="shared" ca="1" si="65"/>
        <v/>
      </c>
      <c r="M484" s="494" t="s">
        <v>1446</v>
      </c>
      <c r="N484" s="555" t="str">
        <f t="shared" ca="1" si="66"/>
        <v/>
      </c>
      <c r="O484" s="494" t="s">
        <v>1447</v>
      </c>
      <c r="P484" s="555" t="str">
        <f t="shared" ca="1" si="67"/>
        <v/>
      </c>
      <c r="Q484" s="494" t="s">
        <v>1448</v>
      </c>
      <c r="R484" s="494" t="str">
        <f t="shared" si="64"/>
        <v>H484</v>
      </c>
      <c r="S484" s="494" t="s">
        <v>1449</v>
      </c>
      <c r="T484" s="494">
        <v>10</v>
      </c>
      <c r="U484" s="556" t="str">
        <f t="shared" ca="1" si="72"/>
        <v/>
      </c>
      <c r="V484" s="494">
        <v>11</v>
      </c>
      <c r="W484" s="556" t="str">
        <f t="shared" ca="1" si="73"/>
        <v/>
      </c>
      <c r="X484" s="494" t="s">
        <v>1450</v>
      </c>
      <c r="Y484" s="547" t="str">
        <f t="shared" ca="1" si="69"/>
        <v/>
      </c>
      <c r="Z484" s="494" t="s">
        <v>1451</v>
      </c>
      <c r="AA484" s="547" t="str">
        <f t="shared" ca="1" si="70"/>
        <v/>
      </c>
      <c r="AB484" s="494" t="s">
        <v>1452</v>
      </c>
      <c r="AC484" s="547" t="str">
        <f t="shared" ca="1" si="71"/>
        <v/>
      </c>
      <c r="AD484" s="557"/>
      <c r="AE484" s="958"/>
    </row>
    <row r="485" spans="1:31" ht="15" customHeight="1">
      <c r="A485" s="957">
        <v>63</v>
      </c>
      <c r="B485" s="566" t="s">
        <v>490</v>
      </c>
      <c r="C485" s="567" t="s">
        <v>1443</v>
      </c>
      <c r="D485" s="958">
        <v>1.1000000000000001</v>
      </c>
      <c r="E485" s="959" t="s">
        <v>254</v>
      </c>
      <c r="F485" s="558" t="s">
        <v>1444</v>
      </c>
      <c r="G485" s="558">
        <v>393</v>
      </c>
      <c r="H485" s="558">
        <v>2.4</v>
      </c>
      <c r="I485" s="559" t="s">
        <v>281</v>
      </c>
      <c r="J485" s="567" t="s">
        <v>1445</v>
      </c>
      <c r="K485" s="961" t="s">
        <v>1373</v>
      </c>
      <c r="L485" s="555" t="str">
        <f t="shared" ca="1" si="65"/>
        <v/>
      </c>
      <c r="M485" s="494" t="s">
        <v>1446</v>
      </c>
      <c r="N485" s="555" t="str">
        <f t="shared" ca="1" si="66"/>
        <v/>
      </c>
      <c r="O485" s="494" t="s">
        <v>1447</v>
      </c>
      <c r="P485" s="555" t="str">
        <f t="shared" ca="1" si="67"/>
        <v/>
      </c>
      <c r="Q485" s="494" t="s">
        <v>1448</v>
      </c>
      <c r="R485" s="494" t="str">
        <f t="shared" si="64"/>
        <v>H485</v>
      </c>
      <c r="S485" s="494" t="s">
        <v>1449</v>
      </c>
      <c r="T485" s="494">
        <v>10</v>
      </c>
      <c r="U485" s="556" t="str">
        <f t="shared" ca="1" si="72"/>
        <v/>
      </c>
      <c r="V485" s="494">
        <v>11</v>
      </c>
      <c r="W485" s="556" t="str">
        <f t="shared" ca="1" si="73"/>
        <v/>
      </c>
      <c r="X485" s="494" t="s">
        <v>1450</v>
      </c>
      <c r="Y485" s="547" t="str">
        <f t="shared" ca="1" si="69"/>
        <v/>
      </c>
      <c r="Z485" s="494" t="s">
        <v>1451</v>
      </c>
      <c r="AA485" s="547" t="str">
        <f t="shared" ca="1" si="70"/>
        <v/>
      </c>
      <c r="AB485" s="494" t="s">
        <v>1452</v>
      </c>
      <c r="AC485" s="547" t="str">
        <f t="shared" ca="1" si="71"/>
        <v/>
      </c>
      <c r="AD485" s="557"/>
      <c r="AE485" s="958"/>
    </row>
    <row r="486" spans="1:31" ht="15" customHeight="1">
      <c r="A486" s="957">
        <v>63</v>
      </c>
      <c r="B486" s="566" t="s">
        <v>490</v>
      </c>
      <c r="C486" s="567" t="s">
        <v>1443</v>
      </c>
      <c r="D486" s="958">
        <v>1.1000000000000001</v>
      </c>
      <c r="E486" s="959" t="s">
        <v>254</v>
      </c>
      <c r="F486" s="558" t="s">
        <v>1444</v>
      </c>
      <c r="G486" s="558">
        <v>407</v>
      </c>
      <c r="H486" s="558">
        <v>3.1</v>
      </c>
      <c r="I486" s="559" t="s">
        <v>285</v>
      </c>
      <c r="J486" s="567" t="s">
        <v>1445</v>
      </c>
      <c r="K486" s="961" t="s">
        <v>1373</v>
      </c>
      <c r="L486" s="555" t="str">
        <f t="shared" ca="1" si="65"/>
        <v/>
      </c>
      <c r="M486" s="494" t="s">
        <v>1446</v>
      </c>
      <c r="N486" s="555" t="str">
        <f t="shared" ca="1" si="66"/>
        <v/>
      </c>
      <c r="O486" s="494" t="s">
        <v>1447</v>
      </c>
      <c r="P486" s="555" t="str">
        <f t="shared" ca="1" si="67"/>
        <v/>
      </c>
      <c r="Q486" s="494" t="s">
        <v>1448</v>
      </c>
      <c r="R486" s="494" t="str">
        <f t="shared" si="64"/>
        <v>H486</v>
      </c>
      <c r="S486" s="494" t="s">
        <v>1449</v>
      </c>
      <c r="T486" s="494">
        <v>10</v>
      </c>
      <c r="U486" s="556" t="str">
        <f t="shared" ca="1" si="72"/>
        <v/>
      </c>
      <c r="V486" s="494">
        <v>11</v>
      </c>
      <c r="W486" s="556" t="str">
        <f t="shared" ca="1" si="73"/>
        <v/>
      </c>
      <c r="X486" s="494" t="s">
        <v>1450</v>
      </c>
      <c r="Y486" s="547" t="str">
        <f t="shared" ca="1" si="69"/>
        <v/>
      </c>
      <c r="Z486" s="494" t="s">
        <v>1451</v>
      </c>
      <c r="AA486" s="547" t="str">
        <f t="shared" ca="1" si="70"/>
        <v/>
      </c>
      <c r="AB486" s="494" t="s">
        <v>1452</v>
      </c>
      <c r="AC486" s="547" t="str">
        <f t="shared" ca="1" si="71"/>
        <v/>
      </c>
      <c r="AD486" s="557"/>
      <c r="AE486" s="958"/>
    </row>
    <row r="487" spans="1:31" ht="15" customHeight="1">
      <c r="A487" s="957">
        <v>63</v>
      </c>
      <c r="B487" s="566" t="s">
        <v>490</v>
      </c>
      <c r="C487" s="567" t="s">
        <v>1443</v>
      </c>
      <c r="D487" s="958">
        <v>1.1000000000000001</v>
      </c>
      <c r="E487" s="959" t="s">
        <v>254</v>
      </c>
      <c r="F487" s="558" t="s">
        <v>1444</v>
      </c>
      <c r="G487" s="558">
        <v>394</v>
      </c>
      <c r="H487" s="558">
        <v>4.0999999999999996</v>
      </c>
      <c r="I487" s="559" t="s">
        <v>34</v>
      </c>
      <c r="J487" s="567" t="s">
        <v>1445</v>
      </c>
      <c r="K487" s="961" t="s">
        <v>1373</v>
      </c>
      <c r="L487" s="555" t="str">
        <f t="shared" ca="1" si="65"/>
        <v/>
      </c>
      <c r="M487" s="494" t="s">
        <v>1446</v>
      </c>
      <c r="N487" s="555" t="str">
        <f t="shared" ca="1" si="66"/>
        <v/>
      </c>
      <c r="O487" s="494" t="s">
        <v>1447</v>
      </c>
      <c r="P487" s="555" t="str">
        <f t="shared" ca="1" si="67"/>
        <v/>
      </c>
      <c r="Q487" s="494" t="s">
        <v>1448</v>
      </c>
      <c r="R487" s="494" t="str">
        <f t="shared" si="64"/>
        <v>H487</v>
      </c>
      <c r="S487" s="494" t="s">
        <v>1449</v>
      </c>
      <c r="T487" s="494">
        <v>10</v>
      </c>
      <c r="U487" s="556" t="str">
        <f t="shared" ref="U487:U518" ca="1" si="74">IF(AND($B487=INDIRECT(CONCATENATE($J487,$K487,5)),ISBLANK(INDEX(INDIRECT(CONCATENATE($J487,$Q487)),MATCH(INDIRECT($R487),INDIRECT(CONCATENATE($J487,$S487)),0),T487))=FALSE),INDEX(INDIRECT(CONCATENATE($J487,$Q487)),MATCH(INDIRECT($R487),INDIRECT(CONCATENATE($J487,$S487)),0),T487),"")</f>
        <v/>
      </c>
      <c r="V487" s="494">
        <v>11</v>
      </c>
      <c r="W487" s="556" t="str">
        <f t="shared" ref="W487:W518" ca="1" si="75">IF(AND($B487=INDIRECT(CONCATENATE($J487,$K487,5)),ISBLANK(INDEX(INDIRECT(CONCATENATE($J487,$Q487)),MATCH(INDIRECT($R487),INDIRECT(CONCATENATE($J487,$S487)),0),V487))=FALSE),INDEX(INDIRECT(CONCATENATE($J487,$Q487)),MATCH(INDIRECT($R487),INDIRECT(CONCATENATE($J487,$S487)),0),V487),"")</f>
        <v/>
      </c>
      <c r="X487" s="494" t="s">
        <v>1450</v>
      </c>
      <c r="Y487" s="547" t="str">
        <f t="shared" ca="1" si="69"/>
        <v/>
      </c>
      <c r="Z487" s="494" t="s">
        <v>1451</v>
      </c>
      <c r="AA487" s="547" t="str">
        <f t="shared" ca="1" si="70"/>
        <v/>
      </c>
      <c r="AB487" s="494" t="s">
        <v>1452</v>
      </c>
      <c r="AC487" s="547" t="str">
        <f t="shared" ca="1" si="71"/>
        <v/>
      </c>
      <c r="AD487" s="557"/>
      <c r="AE487" s="958"/>
    </row>
    <row r="488" spans="1:31" ht="15" customHeight="1">
      <c r="A488" s="957">
        <v>63</v>
      </c>
      <c r="B488" s="566" t="s">
        <v>490</v>
      </c>
      <c r="C488" s="567" t="s">
        <v>1443</v>
      </c>
      <c r="D488" s="958">
        <v>1.1000000000000001</v>
      </c>
      <c r="E488" s="959" t="s">
        <v>254</v>
      </c>
      <c r="F488" s="558" t="s">
        <v>1444</v>
      </c>
      <c r="G488" s="558">
        <v>395</v>
      </c>
      <c r="H488" s="558">
        <v>4.2</v>
      </c>
      <c r="I488" s="559" t="s">
        <v>1453</v>
      </c>
      <c r="J488" s="567" t="s">
        <v>1445</v>
      </c>
      <c r="K488" s="961" t="s">
        <v>1373</v>
      </c>
      <c r="L488" s="555" t="str">
        <f t="shared" ca="1" si="65"/>
        <v/>
      </c>
      <c r="M488" s="494" t="s">
        <v>1446</v>
      </c>
      <c r="N488" s="555" t="str">
        <f t="shared" ca="1" si="66"/>
        <v/>
      </c>
      <c r="O488" s="494" t="s">
        <v>1447</v>
      </c>
      <c r="P488" s="555" t="str">
        <f t="shared" ca="1" si="67"/>
        <v/>
      </c>
      <c r="Q488" s="494" t="s">
        <v>1448</v>
      </c>
      <c r="R488" s="494" t="str">
        <f t="shared" si="64"/>
        <v>H488</v>
      </c>
      <c r="S488" s="494" t="s">
        <v>1449</v>
      </c>
      <c r="T488" s="494">
        <v>10</v>
      </c>
      <c r="U488" s="556" t="str">
        <f t="shared" ca="1" si="74"/>
        <v/>
      </c>
      <c r="V488" s="494">
        <v>11</v>
      </c>
      <c r="W488" s="556" t="str">
        <f t="shared" ca="1" si="75"/>
        <v/>
      </c>
      <c r="X488" s="494" t="s">
        <v>1450</v>
      </c>
      <c r="Y488" s="547" t="str">
        <f t="shared" ca="1" si="69"/>
        <v/>
      </c>
      <c r="Z488" s="494" t="s">
        <v>1451</v>
      </c>
      <c r="AA488" s="547" t="str">
        <f t="shared" ca="1" si="70"/>
        <v/>
      </c>
      <c r="AB488" s="494" t="s">
        <v>1452</v>
      </c>
      <c r="AC488" s="547" t="str">
        <f t="shared" ca="1" si="71"/>
        <v/>
      </c>
      <c r="AD488" s="557"/>
      <c r="AE488" s="958"/>
    </row>
    <row r="489" spans="1:31" ht="15" customHeight="1">
      <c r="A489" s="957">
        <v>63</v>
      </c>
      <c r="B489" s="566" t="s">
        <v>490</v>
      </c>
      <c r="C489" s="567" t="s">
        <v>1443</v>
      </c>
      <c r="D489" s="958">
        <v>1.1000000000000001</v>
      </c>
      <c r="E489" s="959" t="s">
        <v>254</v>
      </c>
      <c r="F489" s="558" t="s">
        <v>1444</v>
      </c>
      <c r="G489" s="558">
        <v>399</v>
      </c>
      <c r="H489" s="558">
        <v>5.0999999999999996</v>
      </c>
      <c r="I489" s="559" t="s">
        <v>290</v>
      </c>
      <c r="J489" s="567" t="s">
        <v>1445</v>
      </c>
      <c r="K489" s="961" t="s">
        <v>1373</v>
      </c>
      <c r="L489" s="555" t="str">
        <f t="shared" ca="1" si="65"/>
        <v/>
      </c>
      <c r="M489" s="494" t="s">
        <v>1446</v>
      </c>
      <c r="N489" s="555" t="str">
        <f t="shared" ca="1" si="66"/>
        <v/>
      </c>
      <c r="O489" s="494" t="s">
        <v>1447</v>
      </c>
      <c r="P489" s="555" t="str">
        <f t="shared" ca="1" si="67"/>
        <v/>
      </c>
      <c r="Q489" s="494" t="s">
        <v>1448</v>
      </c>
      <c r="R489" s="494" t="str">
        <f t="shared" si="64"/>
        <v>H489</v>
      </c>
      <c r="S489" s="494" t="s">
        <v>1449</v>
      </c>
      <c r="T489" s="494">
        <v>10</v>
      </c>
      <c r="U489" s="556" t="str">
        <f t="shared" ca="1" si="74"/>
        <v/>
      </c>
      <c r="V489" s="494">
        <v>11</v>
      </c>
      <c r="W489" s="556" t="str">
        <f t="shared" ca="1" si="75"/>
        <v/>
      </c>
      <c r="X489" s="494" t="s">
        <v>1450</v>
      </c>
      <c r="Y489" s="547" t="str">
        <f t="shared" ca="1" si="69"/>
        <v/>
      </c>
      <c r="Z489" s="494" t="s">
        <v>1451</v>
      </c>
      <c r="AA489" s="547" t="str">
        <f t="shared" ca="1" si="70"/>
        <v/>
      </c>
      <c r="AB489" s="494" t="s">
        <v>1452</v>
      </c>
      <c r="AC489" s="547" t="str">
        <f t="shared" ca="1" si="71"/>
        <v/>
      </c>
      <c r="AD489" s="557"/>
      <c r="AE489" s="958"/>
    </row>
    <row r="490" spans="1:31" ht="15" customHeight="1">
      <c r="A490" s="957">
        <v>63</v>
      </c>
      <c r="B490" s="566" t="s">
        <v>490</v>
      </c>
      <c r="C490" s="567" t="s">
        <v>1443</v>
      </c>
      <c r="D490" s="958">
        <v>1.1000000000000001</v>
      </c>
      <c r="E490" s="959" t="s">
        <v>254</v>
      </c>
      <c r="F490" s="558" t="s">
        <v>1444</v>
      </c>
      <c r="G490" s="558">
        <v>400</v>
      </c>
      <c r="H490" s="558">
        <v>5.2</v>
      </c>
      <c r="I490" s="559" t="s">
        <v>291</v>
      </c>
      <c r="J490" s="567" t="s">
        <v>1445</v>
      </c>
      <c r="K490" s="961" t="s">
        <v>1373</v>
      </c>
      <c r="L490" s="555" t="str">
        <f t="shared" ca="1" si="65"/>
        <v/>
      </c>
      <c r="M490" s="494" t="s">
        <v>1446</v>
      </c>
      <c r="N490" s="555" t="str">
        <f t="shared" ca="1" si="66"/>
        <v/>
      </c>
      <c r="O490" s="494" t="s">
        <v>1447</v>
      </c>
      <c r="P490" s="555" t="str">
        <f t="shared" ca="1" si="67"/>
        <v/>
      </c>
      <c r="Q490" s="494" t="s">
        <v>1448</v>
      </c>
      <c r="R490" s="494" t="str">
        <f t="shared" si="64"/>
        <v>H490</v>
      </c>
      <c r="S490" s="494" t="s">
        <v>1449</v>
      </c>
      <c r="T490" s="494">
        <v>10</v>
      </c>
      <c r="U490" s="556" t="str">
        <f t="shared" ca="1" si="74"/>
        <v/>
      </c>
      <c r="V490" s="494">
        <v>11</v>
      </c>
      <c r="W490" s="556" t="str">
        <f t="shared" ca="1" si="75"/>
        <v/>
      </c>
      <c r="X490" s="494" t="s">
        <v>1450</v>
      </c>
      <c r="Y490" s="547" t="str">
        <f t="shared" ca="1" si="69"/>
        <v/>
      </c>
      <c r="Z490" s="494" t="s">
        <v>1451</v>
      </c>
      <c r="AA490" s="547" t="str">
        <f t="shared" ca="1" si="70"/>
        <v/>
      </c>
      <c r="AB490" s="494" t="s">
        <v>1452</v>
      </c>
      <c r="AC490" s="547" t="str">
        <f t="shared" ca="1" si="71"/>
        <v/>
      </c>
      <c r="AD490" s="557"/>
      <c r="AE490" s="958"/>
    </row>
    <row r="491" spans="1:31" ht="15" customHeight="1">
      <c r="A491" s="957">
        <v>63</v>
      </c>
      <c r="B491" s="566" t="s">
        <v>490</v>
      </c>
      <c r="C491" s="567" t="s">
        <v>1443</v>
      </c>
      <c r="D491" s="958">
        <v>1.1000000000000001</v>
      </c>
      <c r="E491" s="959" t="s">
        <v>254</v>
      </c>
      <c r="F491" s="558" t="s">
        <v>1444</v>
      </c>
      <c r="G491" s="558">
        <v>717</v>
      </c>
      <c r="H491" s="558">
        <v>6</v>
      </c>
      <c r="I491" s="559" t="s">
        <v>294</v>
      </c>
      <c r="J491" s="567" t="s">
        <v>1445</v>
      </c>
      <c r="K491" s="961" t="s">
        <v>1373</v>
      </c>
      <c r="L491" s="555" t="str">
        <f t="shared" ca="1" si="65"/>
        <v/>
      </c>
      <c r="M491" s="494" t="s">
        <v>1446</v>
      </c>
      <c r="N491" s="555" t="str">
        <f t="shared" ca="1" si="66"/>
        <v/>
      </c>
      <c r="O491" s="494" t="s">
        <v>1447</v>
      </c>
      <c r="P491" s="555" t="str">
        <f t="shared" ca="1" si="67"/>
        <v/>
      </c>
      <c r="Q491" s="494" t="s">
        <v>1448</v>
      </c>
      <c r="R491" s="494" t="str">
        <f t="shared" si="64"/>
        <v>H491</v>
      </c>
      <c r="S491" s="494" t="s">
        <v>1449</v>
      </c>
      <c r="T491" s="494">
        <v>10</v>
      </c>
      <c r="U491" s="556" t="str">
        <f t="shared" ca="1" si="74"/>
        <v/>
      </c>
      <c r="V491" s="494">
        <v>11</v>
      </c>
      <c r="W491" s="556" t="str">
        <f t="shared" ca="1" si="75"/>
        <v/>
      </c>
      <c r="X491" s="494" t="s">
        <v>1450</v>
      </c>
      <c r="Y491" s="547" t="str">
        <f t="shared" ca="1" si="69"/>
        <v/>
      </c>
      <c r="Z491" s="494" t="s">
        <v>1451</v>
      </c>
      <c r="AA491" s="547" t="str">
        <f t="shared" ca="1" si="70"/>
        <v/>
      </c>
      <c r="AB491" s="494" t="s">
        <v>1452</v>
      </c>
      <c r="AC491" s="547" t="str">
        <f t="shared" ca="1" si="71"/>
        <v/>
      </c>
      <c r="AD491" s="557"/>
      <c r="AE491" s="958"/>
    </row>
    <row r="492" spans="1:31" ht="15" customHeight="1">
      <c r="A492" s="957">
        <v>63</v>
      </c>
      <c r="B492" s="566" t="s">
        <v>490</v>
      </c>
      <c r="C492" s="567" t="s">
        <v>1443</v>
      </c>
      <c r="D492" s="958">
        <v>1.1000000000000001</v>
      </c>
      <c r="E492" s="959" t="s">
        <v>254</v>
      </c>
      <c r="F492" s="558" t="s">
        <v>1444</v>
      </c>
      <c r="G492" s="558">
        <v>718</v>
      </c>
      <c r="H492" s="558">
        <v>6.1</v>
      </c>
      <c r="I492" s="559" t="s">
        <v>295</v>
      </c>
      <c r="J492" s="567" t="s">
        <v>1445</v>
      </c>
      <c r="K492" s="961" t="s">
        <v>1373</v>
      </c>
      <c r="L492" s="555" t="str">
        <f t="shared" ca="1" si="65"/>
        <v/>
      </c>
      <c r="M492" s="494" t="s">
        <v>1446</v>
      </c>
      <c r="N492" s="555" t="str">
        <f t="shared" ca="1" si="66"/>
        <v/>
      </c>
      <c r="O492" s="494" t="s">
        <v>1447</v>
      </c>
      <c r="P492" s="555" t="str">
        <f t="shared" ca="1" si="67"/>
        <v/>
      </c>
      <c r="Q492" s="494" t="s">
        <v>1448</v>
      </c>
      <c r="R492" s="494" t="str">
        <f t="shared" si="64"/>
        <v>H492</v>
      </c>
      <c r="S492" s="494" t="s">
        <v>1449</v>
      </c>
      <c r="T492" s="494">
        <v>10</v>
      </c>
      <c r="U492" s="556" t="str">
        <f t="shared" ca="1" si="74"/>
        <v/>
      </c>
      <c r="V492" s="494">
        <v>11</v>
      </c>
      <c r="W492" s="556" t="str">
        <f t="shared" ca="1" si="75"/>
        <v/>
      </c>
      <c r="X492" s="494" t="s">
        <v>1450</v>
      </c>
      <c r="Y492" s="547" t="str">
        <f t="shared" ca="1" si="69"/>
        <v/>
      </c>
      <c r="Z492" s="494" t="s">
        <v>1451</v>
      </c>
      <c r="AA492" s="547" t="str">
        <f t="shared" ca="1" si="70"/>
        <v/>
      </c>
      <c r="AB492" s="494" t="s">
        <v>1452</v>
      </c>
      <c r="AC492" s="547" t="str">
        <f t="shared" ca="1" si="71"/>
        <v/>
      </c>
      <c r="AD492" s="557"/>
      <c r="AE492" s="958"/>
    </row>
    <row r="493" spans="1:31" ht="15" customHeight="1">
      <c r="A493" s="957">
        <v>63</v>
      </c>
      <c r="B493" s="566" t="s">
        <v>490</v>
      </c>
      <c r="C493" s="567" t="s">
        <v>1443</v>
      </c>
      <c r="D493" s="958">
        <v>1.1000000000000001</v>
      </c>
      <c r="E493" s="959" t="s">
        <v>254</v>
      </c>
      <c r="F493" s="558" t="s">
        <v>1444</v>
      </c>
      <c r="G493" s="558">
        <v>396</v>
      </c>
      <c r="H493" s="558">
        <v>7</v>
      </c>
      <c r="I493" s="559" t="s">
        <v>298</v>
      </c>
      <c r="J493" s="567" t="s">
        <v>1445</v>
      </c>
      <c r="K493" s="961" t="s">
        <v>1373</v>
      </c>
      <c r="L493" s="555" t="str">
        <f t="shared" ca="1" si="65"/>
        <v/>
      </c>
      <c r="M493" s="494" t="s">
        <v>1446</v>
      </c>
      <c r="N493" s="555" t="str">
        <f t="shared" ca="1" si="66"/>
        <v/>
      </c>
      <c r="O493" s="494" t="s">
        <v>1447</v>
      </c>
      <c r="P493" s="555" t="str">
        <f t="shared" ca="1" si="67"/>
        <v/>
      </c>
      <c r="Q493" s="494" t="s">
        <v>1448</v>
      </c>
      <c r="R493" s="494" t="str">
        <f t="shared" si="64"/>
        <v>H493</v>
      </c>
      <c r="S493" s="494" t="s">
        <v>1449</v>
      </c>
      <c r="T493" s="494">
        <v>10</v>
      </c>
      <c r="U493" s="556" t="str">
        <f t="shared" ca="1" si="74"/>
        <v/>
      </c>
      <c r="V493" s="494">
        <v>11</v>
      </c>
      <c r="W493" s="556" t="str">
        <f t="shared" ca="1" si="75"/>
        <v/>
      </c>
      <c r="X493" s="494" t="s">
        <v>1450</v>
      </c>
      <c r="Y493" s="547" t="str">
        <f t="shared" ca="1" si="69"/>
        <v/>
      </c>
      <c r="Z493" s="494" t="s">
        <v>1451</v>
      </c>
      <c r="AA493" s="547" t="str">
        <f t="shared" ca="1" si="70"/>
        <v/>
      </c>
      <c r="AB493" s="494" t="s">
        <v>1452</v>
      </c>
      <c r="AC493" s="547" t="str">
        <f t="shared" ca="1" si="71"/>
        <v/>
      </c>
      <c r="AD493" s="557"/>
      <c r="AE493" s="958"/>
    </row>
    <row r="494" spans="1:31" ht="15" customHeight="1">
      <c r="A494" s="957">
        <v>63</v>
      </c>
      <c r="B494" s="566" t="s">
        <v>490</v>
      </c>
      <c r="C494" s="567" t="s">
        <v>1443</v>
      </c>
      <c r="D494" s="958">
        <v>1.1000000000000001</v>
      </c>
      <c r="E494" s="959" t="s">
        <v>254</v>
      </c>
      <c r="F494" s="558" t="s">
        <v>1444</v>
      </c>
      <c r="G494" s="558">
        <v>397</v>
      </c>
      <c r="H494" s="558">
        <v>7.1</v>
      </c>
      <c r="I494" s="559" t="s">
        <v>299</v>
      </c>
      <c r="J494" s="567" t="s">
        <v>1445</v>
      </c>
      <c r="K494" s="961" t="s">
        <v>1373</v>
      </c>
      <c r="L494" s="555" t="str">
        <f t="shared" ca="1" si="65"/>
        <v/>
      </c>
      <c r="M494" s="494" t="s">
        <v>1446</v>
      </c>
      <c r="N494" s="555" t="str">
        <f t="shared" ca="1" si="66"/>
        <v/>
      </c>
      <c r="O494" s="494" t="s">
        <v>1447</v>
      </c>
      <c r="P494" s="555" t="str">
        <f t="shared" ca="1" si="67"/>
        <v/>
      </c>
      <c r="Q494" s="494" t="s">
        <v>1448</v>
      </c>
      <c r="R494" s="494" t="str">
        <f t="shared" si="64"/>
        <v>H494</v>
      </c>
      <c r="S494" s="494" t="s">
        <v>1449</v>
      </c>
      <c r="T494" s="494">
        <v>10</v>
      </c>
      <c r="U494" s="556" t="str">
        <f t="shared" ca="1" si="74"/>
        <v/>
      </c>
      <c r="V494" s="494">
        <v>11</v>
      </c>
      <c r="W494" s="556" t="str">
        <f t="shared" ca="1" si="75"/>
        <v/>
      </c>
      <c r="X494" s="494" t="s">
        <v>1450</v>
      </c>
      <c r="Y494" s="547" t="str">
        <f t="shared" ca="1" si="69"/>
        <v/>
      </c>
      <c r="Z494" s="494" t="s">
        <v>1451</v>
      </c>
      <c r="AA494" s="547" t="str">
        <f t="shared" ca="1" si="70"/>
        <v/>
      </c>
      <c r="AB494" s="494" t="s">
        <v>1452</v>
      </c>
      <c r="AC494" s="547" t="str">
        <f t="shared" ca="1" si="71"/>
        <v/>
      </c>
      <c r="AD494" s="557"/>
      <c r="AE494" s="958"/>
    </row>
    <row r="495" spans="1:31" ht="15" customHeight="1">
      <c r="A495" s="957">
        <v>63</v>
      </c>
      <c r="B495" s="566" t="s">
        <v>490</v>
      </c>
      <c r="C495" s="567" t="s">
        <v>1443</v>
      </c>
      <c r="D495" s="958">
        <v>1.1000000000000001</v>
      </c>
      <c r="E495" s="959" t="s">
        <v>254</v>
      </c>
      <c r="F495" s="558" t="s">
        <v>1444</v>
      </c>
      <c r="G495" s="558">
        <v>811</v>
      </c>
      <c r="H495" s="558" t="s">
        <v>301</v>
      </c>
      <c r="I495" s="559" t="s">
        <v>497</v>
      </c>
      <c r="J495" s="567" t="s">
        <v>1445</v>
      </c>
      <c r="K495" s="961" t="s">
        <v>1373</v>
      </c>
      <c r="L495" s="555" t="str">
        <f t="shared" ca="1" si="65"/>
        <v/>
      </c>
      <c r="M495" s="494" t="s">
        <v>1446</v>
      </c>
      <c r="N495" s="555" t="str">
        <f t="shared" ca="1" si="66"/>
        <v/>
      </c>
      <c r="O495" s="494" t="s">
        <v>1447</v>
      </c>
      <c r="P495" s="555" t="str">
        <f t="shared" ca="1" si="67"/>
        <v/>
      </c>
      <c r="Q495" s="494" t="s">
        <v>1448</v>
      </c>
      <c r="R495" s="494" t="str">
        <f t="shared" si="64"/>
        <v>H495</v>
      </c>
      <c r="S495" s="494" t="s">
        <v>1449</v>
      </c>
      <c r="T495" s="494">
        <v>10</v>
      </c>
      <c r="U495" s="556" t="str">
        <f t="shared" ca="1" si="74"/>
        <v/>
      </c>
      <c r="V495" s="494">
        <v>11</v>
      </c>
      <c r="W495" s="556" t="str">
        <f t="shared" ca="1" si="75"/>
        <v/>
      </c>
      <c r="X495" s="494" t="s">
        <v>1450</v>
      </c>
      <c r="Y495" s="547" t="str">
        <f t="shared" ca="1" si="69"/>
        <v/>
      </c>
      <c r="Z495" s="494" t="s">
        <v>1451</v>
      </c>
      <c r="AA495" s="547" t="str">
        <f t="shared" ca="1" si="70"/>
        <v/>
      </c>
      <c r="AB495" s="494" t="s">
        <v>1452</v>
      </c>
      <c r="AC495" s="547" t="str">
        <f t="shared" ca="1" si="71"/>
        <v/>
      </c>
      <c r="AD495" s="557"/>
      <c r="AE495" s="958"/>
    </row>
    <row r="496" spans="1:31" ht="15" customHeight="1">
      <c r="A496" s="957">
        <v>63</v>
      </c>
      <c r="B496" s="566" t="s">
        <v>490</v>
      </c>
      <c r="C496" s="567" t="s">
        <v>1443</v>
      </c>
      <c r="D496" s="958">
        <v>1.1000000000000001</v>
      </c>
      <c r="E496" s="959" t="s">
        <v>254</v>
      </c>
      <c r="F496" s="558" t="s">
        <v>1444</v>
      </c>
      <c r="G496" s="558">
        <v>716</v>
      </c>
      <c r="H496" s="558" t="s">
        <v>303</v>
      </c>
      <c r="I496" s="559" t="s">
        <v>499</v>
      </c>
      <c r="J496" s="567" t="s">
        <v>1445</v>
      </c>
      <c r="K496" s="961" t="s">
        <v>1373</v>
      </c>
      <c r="L496" s="555" t="str">
        <f t="shared" ca="1" si="65"/>
        <v/>
      </c>
      <c r="M496" s="494" t="s">
        <v>1446</v>
      </c>
      <c r="N496" s="555" t="str">
        <f t="shared" ca="1" si="66"/>
        <v/>
      </c>
      <c r="O496" s="494" t="s">
        <v>1447</v>
      </c>
      <c r="P496" s="555" t="str">
        <f t="shared" ca="1" si="67"/>
        <v/>
      </c>
      <c r="Q496" s="494" t="s">
        <v>1448</v>
      </c>
      <c r="R496" s="494" t="str">
        <f t="shared" si="64"/>
        <v>H496</v>
      </c>
      <c r="S496" s="494" t="s">
        <v>1449</v>
      </c>
      <c r="T496" s="494">
        <v>10</v>
      </c>
      <c r="U496" s="556" t="str">
        <f t="shared" ca="1" si="74"/>
        <v/>
      </c>
      <c r="V496" s="494">
        <v>11</v>
      </c>
      <c r="W496" s="556" t="str">
        <f t="shared" ca="1" si="75"/>
        <v/>
      </c>
      <c r="X496" s="494" t="s">
        <v>1450</v>
      </c>
      <c r="Y496" s="547" t="str">
        <f t="shared" ca="1" si="69"/>
        <v/>
      </c>
      <c r="Z496" s="494" t="s">
        <v>1451</v>
      </c>
      <c r="AA496" s="547" t="str">
        <f t="shared" ca="1" si="70"/>
        <v/>
      </c>
      <c r="AB496" s="494" t="s">
        <v>1452</v>
      </c>
      <c r="AC496" s="547" t="str">
        <f t="shared" ca="1" si="71"/>
        <v/>
      </c>
      <c r="AD496" s="557"/>
      <c r="AE496" s="958"/>
    </row>
    <row r="497" spans="1:31" ht="15" customHeight="1">
      <c r="A497" s="957">
        <v>63</v>
      </c>
      <c r="B497" s="566" t="s">
        <v>490</v>
      </c>
      <c r="C497" s="567" t="s">
        <v>1443</v>
      </c>
      <c r="D497" s="958">
        <v>1.1000000000000001</v>
      </c>
      <c r="E497" s="959" t="s">
        <v>306</v>
      </c>
      <c r="F497" s="558" t="s">
        <v>1454</v>
      </c>
      <c r="G497" s="558">
        <v>409</v>
      </c>
      <c r="H497" s="558">
        <v>9.1</v>
      </c>
      <c r="I497" s="559" t="s">
        <v>309</v>
      </c>
      <c r="J497" s="567" t="s">
        <v>1445</v>
      </c>
      <c r="K497" s="961" t="s">
        <v>1373</v>
      </c>
      <c r="L497" s="555" t="str">
        <f t="shared" ca="1" si="65"/>
        <v/>
      </c>
      <c r="M497" s="494" t="s">
        <v>1446</v>
      </c>
      <c r="N497" s="555" t="str">
        <f t="shared" ca="1" si="66"/>
        <v/>
      </c>
      <c r="O497" s="494" t="s">
        <v>1447</v>
      </c>
      <c r="P497" s="555" t="str">
        <f t="shared" ca="1" si="67"/>
        <v/>
      </c>
      <c r="Q497" s="494" t="s">
        <v>1448</v>
      </c>
      <c r="R497" s="494" t="str">
        <f t="shared" si="64"/>
        <v>H497</v>
      </c>
      <c r="S497" s="494" t="s">
        <v>1449</v>
      </c>
      <c r="T497" s="494">
        <v>10</v>
      </c>
      <c r="U497" s="556" t="str">
        <f t="shared" ca="1" si="74"/>
        <v/>
      </c>
      <c r="V497" s="494">
        <v>11</v>
      </c>
      <c r="W497" s="556" t="str">
        <f t="shared" ca="1" si="75"/>
        <v/>
      </c>
      <c r="X497" s="494" t="s">
        <v>1450</v>
      </c>
      <c r="Y497" s="547" t="str">
        <f t="shared" ca="1" si="69"/>
        <v/>
      </c>
      <c r="Z497" s="494" t="s">
        <v>1451</v>
      </c>
      <c r="AA497" s="547" t="str">
        <f t="shared" ca="1" si="70"/>
        <v/>
      </c>
      <c r="AB497" s="494" t="s">
        <v>1452</v>
      </c>
      <c r="AC497" s="547" t="str">
        <f t="shared" ca="1" si="71"/>
        <v/>
      </c>
      <c r="AD497" s="557"/>
      <c r="AE497" s="958"/>
    </row>
    <row r="498" spans="1:31" ht="15" customHeight="1">
      <c r="A498" s="957">
        <v>63</v>
      </c>
      <c r="B498" s="566" t="s">
        <v>490</v>
      </c>
      <c r="C498" s="567" t="s">
        <v>1443</v>
      </c>
      <c r="D498" s="958">
        <v>1.1000000000000001</v>
      </c>
      <c r="E498" s="959" t="s">
        <v>306</v>
      </c>
      <c r="F498" s="558" t="s">
        <v>1454</v>
      </c>
      <c r="G498" s="558">
        <v>410</v>
      </c>
      <c r="H498" s="558">
        <v>9.1999999999999993</v>
      </c>
      <c r="I498" s="559" t="s">
        <v>310</v>
      </c>
      <c r="J498" s="567" t="s">
        <v>1445</v>
      </c>
      <c r="K498" s="961" t="s">
        <v>1373</v>
      </c>
      <c r="L498" s="555" t="str">
        <f t="shared" ca="1" si="65"/>
        <v/>
      </c>
      <c r="M498" s="494" t="s">
        <v>1446</v>
      </c>
      <c r="N498" s="555" t="str">
        <f t="shared" ca="1" si="66"/>
        <v/>
      </c>
      <c r="O498" s="494" t="s">
        <v>1447</v>
      </c>
      <c r="P498" s="555" t="str">
        <f t="shared" ca="1" si="67"/>
        <v/>
      </c>
      <c r="Q498" s="494" t="s">
        <v>1448</v>
      </c>
      <c r="R498" s="494" t="str">
        <f t="shared" si="64"/>
        <v>H498</v>
      </c>
      <c r="S498" s="494" t="s">
        <v>1449</v>
      </c>
      <c r="T498" s="494">
        <v>10</v>
      </c>
      <c r="U498" s="556" t="str">
        <f t="shared" ca="1" si="74"/>
        <v/>
      </c>
      <c r="V498" s="494">
        <v>11</v>
      </c>
      <c r="W498" s="556" t="str">
        <f t="shared" ca="1" si="75"/>
        <v/>
      </c>
      <c r="X498" s="494" t="s">
        <v>1450</v>
      </c>
      <c r="Y498" s="547" t="str">
        <f t="shared" ca="1" si="69"/>
        <v/>
      </c>
      <c r="Z498" s="494" t="s">
        <v>1451</v>
      </c>
      <c r="AA498" s="547" t="str">
        <f t="shared" ca="1" si="70"/>
        <v/>
      </c>
      <c r="AB498" s="494" t="s">
        <v>1452</v>
      </c>
      <c r="AC498" s="547" t="str">
        <f t="shared" ca="1" si="71"/>
        <v/>
      </c>
      <c r="AD498" s="557"/>
      <c r="AE498" s="958"/>
    </row>
    <row r="499" spans="1:31" ht="15" customHeight="1">
      <c r="A499" s="957">
        <v>63</v>
      </c>
      <c r="B499" s="566" t="s">
        <v>490</v>
      </c>
      <c r="C499" s="567" t="s">
        <v>1443</v>
      </c>
      <c r="D499" s="958">
        <v>1.1000000000000001</v>
      </c>
      <c r="E499" s="959" t="s">
        <v>306</v>
      </c>
      <c r="F499" s="558" t="s">
        <v>1454</v>
      </c>
      <c r="G499" s="558">
        <v>411</v>
      </c>
      <c r="H499" s="558">
        <v>9.3000000000000007</v>
      </c>
      <c r="I499" s="559" t="s">
        <v>311</v>
      </c>
      <c r="J499" s="567" t="s">
        <v>1445</v>
      </c>
      <c r="K499" s="961" t="s">
        <v>1373</v>
      </c>
      <c r="L499" s="555" t="str">
        <f t="shared" ca="1" si="65"/>
        <v/>
      </c>
      <c r="M499" s="494" t="s">
        <v>1446</v>
      </c>
      <c r="N499" s="555" t="str">
        <f t="shared" ca="1" si="66"/>
        <v/>
      </c>
      <c r="O499" s="494" t="s">
        <v>1447</v>
      </c>
      <c r="P499" s="555" t="str">
        <f t="shared" ca="1" si="67"/>
        <v/>
      </c>
      <c r="Q499" s="494" t="s">
        <v>1448</v>
      </c>
      <c r="R499" s="494" t="str">
        <f t="shared" si="64"/>
        <v>H499</v>
      </c>
      <c r="S499" s="494" t="s">
        <v>1449</v>
      </c>
      <c r="T499" s="494">
        <v>10</v>
      </c>
      <c r="U499" s="556" t="str">
        <f t="shared" ca="1" si="74"/>
        <v/>
      </c>
      <c r="V499" s="494">
        <v>11</v>
      </c>
      <c r="W499" s="556" t="str">
        <f t="shared" ca="1" si="75"/>
        <v/>
      </c>
      <c r="X499" s="494" t="s">
        <v>1450</v>
      </c>
      <c r="Y499" s="547" t="str">
        <f t="shared" ca="1" si="69"/>
        <v/>
      </c>
      <c r="Z499" s="494" t="s">
        <v>1451</v>
      </c>
      <c r="AA499" s="547" t="str">
        <f t="shared" ca="1" si="70"/>
        <v/>
      </c>
      <c r="AB499" s="494" t="s">
        <v>1452</v>
      </c>
      <c r="AC499" s="547" t="str">
        <f t="shared" ca="1" si="71"/>
        <v/>
      </c>
      <c r="AD499" s="557"/>
      <c r="AE499" s="958"/>
    </row>
    <row r="500" spans="1:31" ht="15" customHeight="1">
      <c r="A500" s="957">
        <v>63</v>
      </c>
      <c r="B500" s="566" t="s">
        <v>490</v>
      </c>
      <c r="C500" s="567" t="s">
        <v>1443</v>
      </c>
      <c r="D500" s="958">
        <v>1.1000000000000001</v>
      </c>
      <c r="E500" s="959" t="s">
        <v>306</v>
      </c>
      <c r="F500" s="558" t="s">
        <v>1454</v>
      </c>
      <c r="G500" s="558">
        <v>419</v>
      </c>
      <c r="H500" s="558">
        <v>10.1</v>
      </c>
      <c r="I500" s="559" t="s">
        <v>314</v>
      </c>
      <c r="J500" s="567" t="s">
        <v>1445</v>
      </c>
      <c r="K500" s="961" t="s">
        <v>1373</v>
      </c>
      <c r="L500" s="555" t="str">
        <f t="shared" ca="1" si="65"/>
        <v/>
      </c>
      <c r="M500" s="494" t="s">
        <v>1446</v>
      </c>
      <c r="N500" s="555" t="str">
        <f t="shared" ca="1" si="66"/>
        <v/>
      </c>
      <c r="O500" s="494" t="s">
        <v>1447</v>
      </c>
      <c r="P500" s="555" t="str">
        <f t="shared" ca="1" si="67"/>
        <v/>
      </c>
      <c r="Q500" s="494" t="s">
        <v>1448</v>
      </c>
      <c r="R500" s="494" t="str">
        <f t="shared" si="64"/>
        <v>H500</v>
      </c>
      <c r="S500" s="494" t="s">
        <v>1449</v>
      </c>
      <c r="T500" s="494">
        <v>10</v>
      </c>
      <c r="U500" s="556" t="str">
        <f t="shared" ca="1" si="74"/>
        <v/>
      </c>
      <c r="V500" s="494">
        <v>11</v>
      </c>
      <c r="W500" s="556" t="str">
        <f t="shared" ca="1" si="75"/>
        <v/>
      </c>
      <c r="X500" s="494" t="s">
        <v>1450</v>
      </c>
      <c r="Y500" s="547" t="str">
        <f t="shared" ca="1" si="69"/>
        <v/>
      </c>
      <c r="Z500" s="494" t="s">
        <v>1451</v>
      </c>
      <c r="AA500" s="547" t="str">
        <f t="shared" ca="1" si="70"/>
        <v/>
      </c>
      <c r="AB500" s="494" t="s">
        <v>1452</v>
      </c>
      <c r="AC500" s="547" t="str">
        <f t="shared" ca="1" si="71"/>
        <v/>
      </c>
      <c r="AD500" s="557"/>
      <c r="AE500" s="958"/>
    </row>
    <row r="501" spans="1:31" ht="15" customHeight="1">
      <c r="A501" s="957">
        <v>63</v>
      </c>
      <c r="B501" s="566" t="s">
        <v>490</v>
      </c>
      <c r="C501" s="567" t="s">
        <v>1443</v>
      </c>
      <c r="D501" s="958">
        <v>1.1000000000000001</v>
      </c>
      <c r="E501" s="959" t="s">
        <v>306</v>
      </c>
      <c r="F501" s="558" t="s">
        <v>1454</v>
      </c>
      <c r="G501" s="558">
        <v>719</v>
      </c>
      <c r="H501" s="558">
        <v>10.199999999999999</v>
      </c>
      <c r="I501" s="559" t="s">
        <v>315</v>
      </c>
      <c r="J501" s="567" t="s">
        <v>1445</v>
      </c>
      <c r="K501" s="961" t="s">
        <v>1373</v>
      </c>
      <c r="L501" s="555" t="str">
        <f t="shared" ca="1" si="65"/>
        <v/>
      </c>
      <c r="M501" s="494" t="s">
        <v>1446</v>
      </c>
      <c r="N501" s="555" t="str">
        <f t="shared" ca="1" si="66"/>
        <v/>
      </c>
      <c r="O501" s="494" t="s">
        <v>1447</v>
      </c>
      <c r="P501" s="555" t="str">
        <f t="shared" ca="1" si="67"/>
        <v/>
      </c>
      <c r="Q501" s="494" t="s">
        <v>1448</v>
      </c>
      <c r="R501" s="494" t="str">
        <f t="shared" si="64"/>
        <v>H501</v>
      </c>
      <c r="S501" s="494" t="s">
        <v>1449</v>
      </c>
      <c r="T501" s="494">
        <v>10</v>
      </c>
      <c r="U501" s="556" t="str">
        <f t="shared" ca="1" si="74"/>
        <v/>
      </c>
      <c r="V501" s="494">
        <v>11</v>
      </c>
      <c r="W501" s="556" t="str">
        <f t="shared" ca="1" si="75"/>
        <v/>
      </c>
      <c r="X501" s="494" t="s">
        <v>1450</v>
      </c>
      <c r="Y501" s="547" t="str">
        <f t="shared" ca="1" si="69"/>
        <v/>
      </c>
      <c r="Z501" s="494" t="s">
        <v>1451</v>
      </c>
      <c r="AA501" s="547" t="str">
        <f t="shared" ca="1" si="70"/>
        <v/>
      </c>
      <c r="AB501" s="494" t="s">
        <v>1452</v>
      </c>
      <c r="AC501" s="547" t="str">
        <f t="shared" ca="1" si="71"/>
        <v/>
      </c>
      <c r="AD501" s="557"/>
      <c r="AE501" s="958"/>
    </row>
    <row r="502" spans="1:31" ht="15" customHeight="1">
      <c r="A502" s="957">
        <v>63</v>
      </c>
      <c r="B502" s="566" t="s">
        <v>490</v>
      </c>
      <c r="C502" s="567" t="s">
        <v>1443</v>
      </c>
      <c r="D502" s="958">
        <v>1.1000000000000001</v>
      </c>
      <c r="E502" s="959" t="s">
        <v>306</v>
      </c>
      <c r="F502" s="558" t="s">
        <v>1454</v>
      </c>
      <c r="G502" s="558">
        <v>720</v>
      </c>
      <c r="H502" s="558">
        <v>10.3</v>
      </c>
      <c r="I502" s="559" t="s">
        <v>316</v>
      </c>
      <c r="J502" s="567" t="s">
        <v>1445</v>
      </c>
      <c r="K502" s="961" t="s">
        <v>1373</v>
      </c>
      <c r="L502" s="555" t="str">
        <f t="shared" ca="1" si="65"/>
        <v/>
      </c>
      <c r="M502" s="494" t="s">
        <v>1446</v>
      </c>
      <c r="N502" s="555" t="str">
        <f t="shared" ca="1" si="66"/>
        <v/>
      </c>
      <c r="O502" s="494" t="s">
        <v>1447</v>
      </c>
      <c r="P502" s="555" t="str">
        <f t="shared" ca="1" si="67"/>
        <v/>
      </c>
      <c r="Q502" s="494" t="s">
        <v>1448</v>
      </c>
      <c r="R502" s="494" t="str">
        <f t="shared" si="64"/>
        <v>H502</v>
      </c>
      <c r="S502" s="494" t="s">
        <v>1449</v>
      </c>
      <c r="T502" s="494">
        <v>10</v>
      </c>
      <c r="U502" s="556" t="str">
        <f t="shared" ca="1" si="74"/>
        <v/>
      </c>
      <c r="V502" s="494">
        <v>11</v>
      </c>
      <c r="W502" s="556" t="str">
        <f t="shared" ca="1" si="75"/>
        <v/>
      </c>
      <c r="X502" s="494" t="s">
        <v>1450</v>
      </c>
      <c r="Y502" s="547" t="str">
        <f t="shared" ca="1" si="69"/>
        <v/>
      </c>
      <c r="Z502" s="494" t="s">
        <v>1451</v>
      </c>
      <c r="AA502" s="547" t="str">
        <f t="shared" ca="1" si="70"/>
        <v/>
      </c>
      <c r="AB502" s="494" t="s">
        <v>1452</v>
      </c>
      <c r="AC502" s="547" t="str">
        <f t="shared" ca="1" si="71"/>
        <v/>
      </c>
      <c r="AD502" s="557"/>
      <c r="AE502" s="958"/>
    </row>
    <row r="503" spans="1:31" ht="15" customHeight="1">
      <c r="A503" s="957">
        <v>63</v>
      </c>
      <c r="B503" s="566" t="s">
        <v>490</v>
      </c>
      <c r="C503" s="567" t="s">
        <v>1443</v>
      </c>
      <c r="D503" s="958">
        <v>1.1000000000000001</v>
      </c>
      <c r="E503" s="959" t="s">
        <v>306</v>
      </c>
      <c r="F503" s="558" t="s">
        <v>1454</v>
      </c>
      <c r="G503" s="558">
        <v>412</v>
      </c>
      <c r="H503" s="558">
        <v>11</v>
      </c>
      <c r="I503" s="559" t="s">
        <v>319</v>
      </c>
      <c r="J503" s="567" t="s">
        <v>1445</v>
      </c>
      <c r="K503" s="961" t="s">
        <v>1373</v>
      </c>
      <c r="L503" s="555" t="str">
        <f t="shared" ca="1" si="65"/>
        <v/>
      </c>
      <c r="M503" s="494" t="s">
        <v>1446</v>
      </c>
      <c r="N503" s="555" t="str">
        <f t="shared" ca="1" si="66"/>
        <v/>
      </c>
      <c r="O503" s="494" t="s">
        <v>1447</v>
      </c>
      <c r="P503" s="555" t="str">
        <f t="shared" ca="1" si="67"/>
        <v/>
      </c>
      <c r="Q503" s="494" t="s">
        <v>1448</v>
      </c>
      <c r="R503" s="494" t="str">
        <f t="shared" si="64"/>
        <v>H503</v>
      </c>
      <c r="S503" s="494" t="s">
        <v>1449</v>
      </c>
      <c r="T503" s="494">
        <v>10</v>
      </c>
      <c r="U503" s="556" t="str">
        <f t="shared" ca="1" si="74"/>
        <v/>
      </c>
      <c r="V503" s="494">
        <v>11</v>
      </c>
      <c r="W503" s="556" t="str">
        <f t="shared" ca="1" si="75"/>
        <v/>
      </c>
      <c r="X503" s="494" t="s">
        <v>1450</v>
      </c>
      <c r="Y503" s="547" t="str">
        <f t="shared" ca="1" si="69"/>
        <v/>
      </c>
      <c r="Z503" s="494" t="s">
        <v>1451</v>
      </c>
      <c r="AA503" s="547" t="str">
        <f t="shared" ca="1" si="70"/>
        <v/>
      </c>
      <c r="AB503" s="494" t="s">
        <v>1452</v>
      </c>
      <c r="AC503" s="547" t="str">
        <f t="shared" ca="1" si="71"/>
        <v/>
      </c>
      <c r="AD503" s="557"/>
      <c r="AE503" s="958"/>
    </row>
    <row r="504" spans="1:31" ht="15" customHeight="1">
      <c r="A504" s="957">
        <v>63</v>
      </c>
      <c r="B504" s="566" t="s">
        <v>490</v>
      </c>
      <c r="C504" s="567" t="s">
        <v>1443</v>
      </c>
      <c r="D504" s="958">
        <v>1.1000000000000001</v>
      </c>
      <c r="E504" s="959" t="s">
        <v>306</v>
      </c>
      <c r="F504" s="558" t="s">
        <v>1454</v>
      </c>
      <c r="G504" s="558">
        <v>413</v>
      </c>
      <c r="H504" s="558">
        <v>11.1</v>
      </c>
      <c r="I504" s="559" t="s">
        <v>320</v>
      </c>
      <c r="J504" s="567" t="s">
        <v>1445</v>
      </c>
      <c r="K504" s="961" t="s">
        <v>1373</v>
      </c>
      <c r="L504" s="555" t="str">
        <f t="shared" ca="1" si="65"/>
        <v/>
      </c>
      <c r="M504" s="494" t="s">
        <v>1446</v>
      </c>
      <c r="N504" s="555" t="str">
        <f t="shared" ca="1" si="66"/>
        <v/>
      </c>
      <c r="O504" s="494" t="s">
        <v>1447</v>
      </c>
      <c r="P504" s="555" t="str">
        <f t="shared" ca="1" si="67"/>
        <v/>
      </c>
      <c r="Q504" s="494" t="s">
        <v>1448</v>
      </c>
      <c r="R504" s="494" t="str">
        <f t="shared" si="64"/>
        <v>H504</v>
      </c>
      <c r="S504" s="494" t="s">
        <v>1449</v>
      </c>
      <c r="T504" s="494">
        <v>10</v>
      </c>
      <c r="U504" s="556" t="str">
        <f t="shared" ca="1" si="74"/>
        <v/>
      </c>
      <c r="V504" s="494">
        <v>11</v>
      </c>
      <c r="W504" s="556" t="str">
        <f t="shared" ca="1" si="75"/>
        <v/>
      </c>
      <c r="X504" s="494" t="s">
        <v>1450</v>
      </c>
      <c r="Y504" s="547" t="str">
        <f t="shared" ca="1" si="69"/>
        <v/>
      </c>
      <c r="Z504" s="494" t="s">
        <v>1451</v>
      </c>
      <c r="AA504" s="547" t="str">
        <f t="shared" ca="1" si="70"/>
        <v/>
      </c>
      <c r="AB504" s="494" t="s">
        <v>1452</v>
      </c>
      <c r="AC504" s="547" t="str">
        <f t="shared" ca="1" si="71"/>
        <v/>
      </c>
      <c r="AD504" s="557"/>
      <c r="AE504" s="958"/>
    </row>
    <row r="505" spans="1:31" ht="15" customHeight="1">
      <c r="A505" s="957">
        <v>63</v>
      </c>
      <c r="B505" s="566" t="s">
        <v>490</v>
      </c>
      <c r="C505" s="567" t="s">
        <v>1443</v>
      </c>
      <c r="D505" s="958">
        <v>1.1000000000000001</v>
      </c>
      <c r="E505" s="959" t="s">
        <v>306</v>
      </c>
      <c r="F505" s="558" t="s">
        <v>1454</v>
      </c>
      <c r="G505" s="558">
        <v>721</v>
      </c>
      <c r="H505" s="558">
        <v>11.2</v>
      </c>
      <c r="I505" s="559" t="s">
        <v>321</v>
      </c>
      <c r="J505" s="567" t="s">
        <v>1445</v>
      </c>
      <c r="K505" s="961" t="s">
        <v>1373</v>
      </c>
      <c r="L505" s="555" t="str">
        <f t="shared" ca="1" si="65"/>
        <v/>
      </c>
      <c r="M505" s="494" t="s">
        <v>1446</v>
      </c>
      <c r="N505" s="555" t="str">
        <f t="shared" ca="1" si="66"/>
        <v/>
      </c>
      <c r="O505" s="494" t="s">
        <v>1447</v>
      </c>
      <c r="P505" s="555" t="str">
        <f t="shared" ca="1" si="67"/>
        <v/>
      </c>
      <c r="Q505" s="494" t="s">
        <v>1448</v>
      </c>
      <c r="R505" s="494" t="str">
        <f t="shared" si="64"/>
        <v>H505</v>
      </c>
      <c r="S505" s="494" t="s">
        <v>1449</v>
      </c>
      <c r="T505" s="494">
        <v>10</v>
      </c>
      <c r="U505" s="556" t="str">
        <f t="shared" ca="1" si="74"/>
        <v/>
      </c>
      <c r="V505" s="494">
        <v>11</v>
      </c>
      <c r="W505" s="556" t="str">
        <f t="shared" ca="1" si="75"/>
        <v/>
      </c>
      <c r="X505" s="494" t="s">
        <v>1450</v>
      </c>
      <c r="Y505" s="547" t="str">
        <f t="shared" ca="1" si="69"/>
        <v/>
      </c>
      <c r="Z505" s="494" t="s">
        <v>1451</v>
      </c>
      <c r="AA505" s="547" t="str">
        <f t="shared" ca="1" si="70"/>
        <v/>
      </c>
      <c r="AB505" s="494" t="s">
        <v>1452</v>
      </c>
      <c r="AC505" s="547" t="str">
        <f t="shared" ca="1" si="71"/>
        <v/>
      </c>
      <c r="AD505" s="557"/>
      <c r="AE505" s="958"/>
    </row>
    <row r="506" spans="1:31" ht="15" customHeight="1">
      <c r="A506" s="957">
        <v>63</v>
      </c>
      <c r="B506" s="566" t="s">
        <v>490</v>
      </c>
      <c r="C506" s="567" t="s">
        <v>1443</v>
      </c>
      <c r="D506" s="958">
        <v>1.1000000000000001</v>
      </c>
      <c r="E506" s="959" t="s">
        <v>306</v>
      </c>
      <c r="F506" s="558" t="s">
        <v>1454</v>
      </c>
      <c r="G506" s="558">
        <v>722</v>
      </c>
      <c r="H506" s="558">
        <v>11.3</v>
      </c>
      <c r="I506" s="559" t="s">
        <v>322</v>
      </c>
      <c r="J506" s="567" t="s">
        <v>1445</v>
      </c>
      <c r="K506" s="961" t="s">
        <v>1373</v>
      </c>
      <c r="L506" s="555" t="str">
        <f t="shared" ca="1" si="65"/>
        <v/>
      </c>
      <c r="M506" s="494" t="s">
        <v>1446</v>
      </c>
      <c r="N506" s="555" t="str">
        <f t="shared" ca="1" si="66"/>
        <v/>
      </c>
      <c r="O506" s="494" t="s">
        <v>1447</v>
      </c>
      <c r="P506" s="555" t="str">
        <f t="shared" ca="1" si="67"/>
        <v/>
      </c>
      <c r="Q506" s="494" t="s">
        <v>1448</v>
      </c>
      <c r="R506" s="494" t="str">
        <f t="shared" si="64"/>
        <v>H506</v>
      </c>
      <c r="S506" s="494" t="s">
        <v>1449</v>
      </c>
      <c r="T506" s="494">
        <v>10</v>
      </c>
      <c r="U506" s="556" t="str">
        <f t="shared" ca="1" si="74"/>
        <v/>
      </c>
      <c r="V506" s="494">
        <v>11</v>
      </c>
      <c r="W506" s="556" t="str">
        <f t="shared" ca="1" si="75"/>
        <v/>
      </c>
      <c r="X506" s="494" t="s">
        <v>1450</v>
      </c>
      <c r="Y506" s="547" t="str">
        <f t="shared" ca="1" si="69"/>
        <v/>
      </c>
      <c r="Z506" s="494" t="s">
        <v>1451</v>
      </c>
      <c r="AA506" s="547" t="str">
        <f t="shared" ca="1" si="70"/>
        <v/>
      </c>
      <c r="AB506" s="494" t="s">
        <v>1452</v>
      </c>
      <c r="AC506" s="547" t="str">
        <f t="shared" ca="1" si="71"/>
        <v/>
      </c>
      <c r="AD506" s="557"/>
      <c r="AE506" s="958"/>
    </row>
    <row r="507" spans="1:31" ht="15" customHeight="1">
      <c r="A507" s="957">
        <v>63</v>
      </c>
      <c r="B507" s="566" t="s">
        <v>490</v>
      </c>
      <c r="C507" s="567" t="s">
        <v>1443</v>
      </c>
      <c r="D507" s="958">
        <v>1.1000000000000001</v>
      </c>
      <c r="E507" s="959" t="s">
        <v>306</v>
      </c>
      <c r="F507" s="558" t="s">
        <v>1454</v>
      </c>
      <c r="G507" s="558">
        <v>415</v>
      </c>
      <c r="H507" s="558">
        <v>12</v>
      </c>
      <c r="I507" s="559" t="s">
        <v>325</v>
      </c>
      <c r="J507" s="567" t="s">
        <v>1445</v>
      </c>
      <c r="K507" s="961" t="s">
        <v>1373</v>
      </c>
      <c r="L507" s="555" t="str">
        <f t="shared" ca="1" si="65"/>
        <v/>
      </c>
      <c r="M507" s="494" t="s">
        <v>1446</v>
      </c>
      <c r="N507" s="555" t="str">
        <f t="shared" ca="1" si="66"/>
        <v/>
      </c>
      <c r="O507" s="494" t="s">
        <v>1447</v>
      </c>
      <c r="P507" s="555" t="str">
        <f t="shared" ca="1" si="67"/>
        <v/>
      </c>
      <c r="Q507" s="494" t="s">
        <v>1448</v>
      </c>
      <c r="R507" s="494" t="str">
        <f t="shared" si="64"/>
        <v>H507</v>
      </c>
      <c r="S507" s="494" t="s">
        <v>1449</v>
      </c>
      <c r="T507" s="494">
        <v>10</v>
      </c>
      <c r="U507" s="556" t="str">
        <f t="shared" ca="1" si="74"/>
        <v/>
      </c>
      <c r="V507" s="494">
        <v>11</v>
      </c>
      <c r="W507" s="556" t="str">
        <f t="shared" ca="1" si="75"/>
        <v/>
      </c>
      <c r="X507" s="494" t="s">
        <v>1450</v>
      </c>
      <c r="Y507" s="547" t="str">
        <f t="shared" ca="1" si="69"/>
        <v/>
      </c>
      <c r="Z507" s="494" t="s">
        <v>1451</v>
      </c>
      <c r="AA507" s="547" t="str">
        <f t="shared" ca="1" si="70"/>
        <v/>
      </c>
      <c r="AB507" s="494" t="s">
        <v>1452</v>
      </c>
      <c r="AC507" s="547" t="str">
        <f t="shared" ca="1" si="71"/>
        <v/>
      </c>
      <c r="AD507" s="557"/>
      <c r="AE507" s="958"/>
    </row>
    <row r="508" spans="1:31" ht="15" customHeight="1">
      <c r="A508" s="957">
        <v>63</v>
      </c>
      <c r="B508" s="566" t="s">
        <v>490</v>
      </c>
      <c r="C508" s="567" t="s">
        <v>1443</v>
      </c>
      <c r="D508" s="958">
        <v>1.1000000000000001</v>
      </c>
      <c r="E508" s="959" t="s">
        <v>306</v>
      </c>
      <c r="F508" s="558" t="s">
        <v>1454</v>
      </c>
      <c r="G508" s="558">
        <v>416</v>
      </c>
      <c r="H508" s="558">
        <v>12.1</v>
      </c>
      <c r="I508" s="559" t="s">
        <v>326</v>
      </c>
      <c r="J508" s="567" t="s">
        <v>1445</v>
      </c>
      <c r="K508" s="961" t="s">
        <v>1373</v>
      </c>
      <c r="L508" s="555" t="str">
        <f t="shared" ca="1" si="65"/>
        <v/>
      </c>
      <c r="M508" s="494" t="s">
        <v>1446</v>
      </c>
      <c r="N508" s="555" t="str">
        <f t="shared" ca="1" si="66"/>
        <v/>
      </c>
      <c r="O508" s="494" t="s">
        <v>1447</v>
      </c>
      <c r="P508" s="555" t="str">
        <f t="shared" ca="1" si="67"/>
        <v/>
      </c>
      <c r="Q508" s="494" t="s">
        <v>1448</v>
      </c>
      <c r="R508" s="494" t="str">
        <f t="shared" si="64"/>
        <v>H508</v>
      </c>
      <c r="S508" s="494" t="s">
        <v>1449</v>
      </c>
      <c r="T508" s="494">
        <v>10</v>
      </c>
      <c r="U508" s="556" t="str">
        <f t="shared" ca="1" si="74"/>
        <v/>
      </c>
      <c r="V508" s="494">
        <v>11</v>
      </c>
      <c r="W508" s="556" t="str">
        <f t="shared" ca="1" si="75"/>
        <v/>
      </c>
      <c r="X508" s="494" t="s">
        <v>1450</v>
      </c>
      <c r="Y508" s="547" t="str">
        <f t="shared" ca="1" si="69"/>
        <v/>
      </c>
      <c r="Z508" s="494" t="s">
        <v>1451</v>
      </c>
      <c r="AA508" s="547" t="str">
        <f t="shared" ca="1" si="70"/>
        <v/>
      </c>
      <c r="AB508" s="494" t="s">
        <v>1452</v>
      </c>
      <c r="AC508" s="547" t="str">
        <f t="shared" ca="1" si="71"/>
        <v/>
      </c>
      <c r="AD508" s="557"/>
      <c r="AE508" s="958"/>
    </row>
    <row r="509" spans="1:31" ht="15" customHeight="1">
      <c r="A509" s="957">
        <v>63</v>
      </c>
      <c r="B509" s="566" t="s">
        <v>490</v>
      </c>
      <c r="C509" s="567" t="s">
        <v>1443</v>
      </c>
      <c r="D509" s="958">
        <v>1.1000000000000001</v>
      </c>
      <c r="E509" s="959" t="s">
        <v>306</v>
      </c>
      <c r="F509" s="558" t="s">
        <v>1454</v>
      </c>
      <c r="G509" s="558">
        <v>417</v>
      </c>
      <c r="H509" s="558">
        <v>12.2</v>
      </c>
      <c r="I509" s="559" t="s">
        <v>327</v>
      </c>
      <c r="J509" s="567" t="s">
        <v>1445</v>
      </c>
      <c r="K509" s="961" t="s">
        <v>1373</v>
      </c>
      <c r="L509" s="555" t="str">
        <f t="shared" ca="1" si="65"/>
        <v/>
      </c>
      <c r="M509" s="494" t="s">
        <v>1446</v>
      </c>
      <c r="N509" s="555" t="str">
        <f t="shared" ca="1" si="66"/>
        <v/>
      </c>
      <c r="O509" s="494" t="s">
        <v>1447</v>
      </c>
      <c r="P509" s="555" t="str">
        <f t="shared" ca="1" si="67"/>
        <v/>
      </c>
      <c r="Q509" s="494" t="s">
        <v>1448</v>
      </c>
      <c r="R509" s="494" t="str">
        <f t="shared" si="64"/>
        <v>H509</v>
      </c>
      <c r="S509" s="494" t="s">
        <v>1449</v>
      </c>
      <c r="T509" s="494">
        <v>10</v>
      </c>
      <c r="U509" s="556" t="str">
        <f t="shared" ca="1" si="74"/>
        <v/>
      </c>
      <c r="V509" s="494">
        <v>11</v>
      </c>
      <c r="W509" s="556" t="str">
        <f t="shared" ca="1" si="75"/>
        <v/>
      </c>
      <c r="X509" s="494" t="s">
        <v>1450</v>
      </c>
      <c r="Y509" s="547" t="str">
        <f t="shared" ca="1" si="69"/>
        <v/>
      </c>
      <c r="Z509" s="494" t="s">
        <v>1451</v>
      </c>
      <c r="AA509" s="547" t="str">
        <f t="shared" ca="1" si="70"/>
        <v/>
      </c>
      <c r="AB509" s="494" t="s">
        <v>1452</v>
      </c>
      <c r="AC509" s="547" t="str">
        <f t="shared" ca="1" si="71"/>
        <v/>
      </c>
      <c r="AD509" s="557"/>
      <c r="AE509" s="958"/>
    </row>
    <row r="510" spans="1:31" ht="15" customHeight="1">
      <c r="A510" s="957">
        <v>63</v>
      </c>
      <c r="B510" s="566" t="s">
        <v>490</v>
      </c>
      <c r="C510" s="567" t="s">
        <v>1443</v>
      </c>
      <c r="D510" s="958">
        <v>1.1000000000000001</v>
      </c>
      <c r="E510" s="959" t="s">
        <v>306</v>
      </c>
      <c r="F510" s="558" t="s">
        <v>1454</v>
      </c>
      <c r="G510" s="558">
        <v>723</v>
      </c>
      <c r="H510" s="558">
        <v>13.1</v>
      </c>
      <c r="I510" s="559" t="s">
        <v>330</v>
      </c>
      <c r="J510" s="567" t="s">
        <v>1445</v>
      </c>
      <c r="K510" s="961" t="s">
        <v>1373</v>
      </c>
      <c r="L510" s="555" t="str">
        <f t="shared" ca="1" si="65"/>
        <v/>
      </c>
      <c r="M510" s="494" t="s">
        <v>1446</v>
      </c>
      <c r="N510" s="555" t="str">
        <f t="shared" ca="1" si="66"/>
        <v/>
      </c>
      <c r="O510" s="494" t="s">
        <v>1447</v>
      </c>
      <c r="P510" s="555" t="str">
        <f t="shared" ca="1" si="67"/>
        <v/>
      </c>
      <c r="Q510" s="494" t="s">
        <v>1448</v>
      </c>
      <c r="R510" s="494" t="str">
        <f t="shared" si="64"/>
        <v>H510</v>
      </c>
      <c r="S510" s="494" t="s">
        <v>1449</v>
      </c>
      <c r="T510" s="494">
        <v>10</v>
      </c>
      <c r="U510" s="556" t="str">
        <f t="shared" ca="1" si="74"/>
        <v/>
      </c>
      <c r="V510" s="494">
        <v>11</v>
      </c>
      <c r="W510" s="556" t="str">
        <f t="shared" ca="1" si="75"/>
        <v/>
      </c>
      <c r="X510" s="494" t="s">
        <v>1450</v>
      </c>
      <c r="Y510" s="547" t="str">
        <f t="shared" ca="1" si="69"/>
        <v/>
      </c>
      <c r="Z510" s="494" t="s">
        <v>1451</v>
      </c>
      <c r="AA510" s="547" t="str">
        <f t="shared" ca="1" si="70"/>
        <v/>
      </c>
      <c r="AB510" s="494" t="s">
        <v>1452</v>
      </c>
      <c r="AC510" s="547" t="str">
        <f t="shared" ca="1" si="71"/>
        <v/>
      </c>
      <c r="AD510" s="557"/>
      <c r="AE510" s="958"/>
    </row>
    <row r="511" spans="1:31" ht="15" customHeight="1">
      <c r="A511" s="957">
        <v>63</v>
      </c>
      <c r="B511" s="566" t="s">
        <v>490</v>
      </c>
      <c r="C511" s="567" t="s">
        <v>1443</v>
      </c>
      <c r="D511" s="958">
        <v>1.1000000000000001</v>
      </c>
      <c r="E511" s="959" t="s">
        <v>306</v>
      </c>
      <c r="F511" s="558" t="s">
        <v>1454</v>
      </c>
      <c r="G511" s="558">
        <v>724</v>
      </c>
      <c r="H511" s="558">
        <v>13.2</v>
      </c>
      <c r="I511" s="559" t="s">
        <v>331</v>
      </c>
      <c r="J511" s="567" t="s">
        <v>1445</v>
      </c>
      <c r="K511" s="961" t="s">
        <v>1373</v>
      </c>
      <c r="L511" s="555" t="str">
        <f t="shared" ca="1" si="65"/>
        <v/>
      </c>
      <c r="M511" s="494" t="s">
        <v>1446</v>
      </c>
      <c r="N511" s="555" t="str">
        <f t="shared" ca="1" si="66"/>
        <v/>
      </c>
      <c r="O511" s="494" t="s">
        <v>1447</v>
      </c>
      <c r="P511" s="555" t="str">
        <f t="shared" ca="1" si="67"/>
        <v/>
      </c>
      <c r="Q511" s="494" t="s">
        <v>1448</v>
      </c>
      <c r="R511" s="494" t="str">
        <f t="shared" si="64"/>
        <v>H511</v>
      </c>
      <c r="S511" s="494" t="s">
        <v>1449</v>
      </c>
      <c r="T511" s="494">
        <v>10</v>
      </c>
      <c r="U511" s="556" t="str">
        <f t="shared" ca="1" si="74"/>
        <v/>
      </c>
      <c r="V511" s="494">
        <v>11</v>
      </c>
      <c r="W511" s="556" t="str">
        <f t="shared" ca="1" si="75"/>
        <v/>
      </c>
      <c r="X511" s="494" t="s">
        <v>1450</v>
      </c>
      <c r="Y511" s="547" t="str">
        <f t="shared" ca="1" si="69"/>
        <v/>
      </c>
      <c r="Z511" s="494" t="s">
        <v>1451</v>
      </c>
      <c r="AA511" s="547" t="str">
        <f t="shared" ca="1" si="70"/>
        <v/>
      </c>
      <c r="AB511" s="494" t="s">
        <v>1452</v>
      </c>
      <c r="AC511" s="547" t="str">
        <f t="shared" ca="1" si="71"/>
        <v/>
      </c>
      <c r="AD511" s="557"/>
      <c r="AE511" s="958"/>
    </row>
    <row r="512" spans="1:31" ht="15" customHeight="1">
      <c r="A512" s="957">
        <v>63</v>
      </c>
      <c r="B512" s="566" t="s">
        <v>490</v>
      </c>
      <c r="C512" s="567" t="s">
        <v>1443</v>
      </c>
      <c r="D512" s="958">
        <v>1.1000000000000001</v>
      </c>
      <c r="E512" s="959" t="s">
        <v>306</v>
      </c>
      <c r="F512" s="558" t="s">
        <v>1454</v>
      </c>
      <c r="G512" s="558">
        <v>725</v>
      </c>
      <c r="H512" s="558">
        <v>14.1</v>
      </c>
      <c r="I512" s="559" t="s">
        <v>332</v>
      </c>
      <c r="J512" s="567" t="s">
        <v>1445</v>
      </c>
      <c r="K512" s="961" t="s">
        <v>1373</v>
      </c>
      <c r="L512" s="555" t="str">
        <f t="shared" ca="1" si="65"/>
        <v/>
      </c>
      <c r="M512" s="494" t="s">
        <v>1446</v>
      </c>
      <c r="N512" s="555" t="str">
        <f t="shared" ca="1" si="66"/>
        <v/>
      </c>
      <c r="O512" s="494" t="s">
        <v>1447</v>
      </c>
      <c r="P512" s="555" t="str">
        <f t="shared" ca="1" si="67"/>
        <v/>
      </c>
      <c r="Q512" s="494" t="s">
        <v>1448</v>
      </c>
      <c r="R512" s="494" t="str">
        <f t="shared" si="64"/>
        <v>H512</v>
      </c>
      <c r="S512" s="494" t="s">
        <v>1449</v>
      </c>
      <c r="T512" s="494">
        <v>10</v>
      </c>
      <c r="U512" s="556" t="str">
        <f t="shared" ca="1" si="74"/>
        <v/>
      </c>
      <c r="V512" s="494">
        <v>11</v>
      </c>
      <c r="W512" s="556" t="str">
        <f t="shared" ca="1" si="75"/>
        <v/>
      </c>
      <c r="X512" s="494" t="s">
        <v>1450</v>
      </c>
      <c r="Y512" s="547" t="str">
        <f t="shared" ca="1" si="69"/>
        <v/>
      </c>
      <c r="Z512" s="494" t="s">
        <v>1451</v>
      </c>
      <c r="AA512" s="547" t="str">
        <f t="shared" ca="1" si="70"/>
        <v/>
      </c>
      <c r="AB512" s="494" t="s">
        <v>1452</v>
      </c>
      <c r="AC512" s="547" t="str">
        <f t="shared" ca="1" si="71"/>
        <v/>
      </c>
      <c r="AD512" s="557"/>
      <c r="AE512" s="958"/>
    </row>
    <row r="513" spans="1:31" ht="15" customHeight="1">
      <c r="A513" s="957">
        <v>63</v>
      </c>
      <c r="B513" s="566" t="s">
        <v>490</v>
      </c>
      <c r="C513" s="567" t="s">
        <v>1443</v>
      </c>
      <c r="D513" s="958">
        <v>1.1000000000000001</v>
      </c>
      <c r="E513" s="959" t="s">
        <v>306</v>
      </c>
      <c r="F513" s="558" t="s">
        <v>1454</v>
      </c>
      <c r="G513" s="558">
        <v>727</v>
      </c>
      <c r="H513" s="558">
        <v>14.2</v>
      </c>
      <c r="I513" s="559" t="s">
        <v>334</v>
      </c>
      <c r="J513" s="567" t="s">
        <v>1445</v>
      </c>
      <c r="K513" s="961" t="s">
        <v>1373</v>
      </c>
      <c r="L513" s="555" t="str">
        <f t="shared" ca="1" si="65"/>
        <v/>
      </c>
      <c r="M513" s="494" t="s">
        <v>1446</v>
      </c>
      <c r="N513" s="555" t="str">
        <f t="shared" ca="1" si="66"/>
        <v/>
      </c>
      <c r="O513" s="494" t="s">
        <v>1447</v>
      </c>
      <c r="P513" s="555" t="str">
        <f t="shared" ca="1" si="67"/>
        <v/>
      </c>
      <c r="Q513" s="494" t="s">
        <v>1448</v>
      </c>
      <c r="R513" s="494" t="str">
        <f t="shared" si="64"/>
        <v>H513</v>
      </c>
      <c r="S513" s="494" t="s">
        <v>1449</v>
      </c>
      <c r="T513" s="494">
        <v>10</v>
      </c>
      <c r="U513" s="556" t="str">
        <f t="shared" ca="1" si="74"/>
        <v/>
      </c>
      <c r="V513" s="494">
        <v>11</v>
      </c>
      <c r="W513" s="556" t="str">
        <f t="shared" ca="1" si="75"/>
        <v/>
      </c>
      <c r="X513" s="494" t="s">
        <v>1450</v>
      </c>
      <c r="Y513" s="547" t="str">
        <f t="shared" ca="1" si="69"/>
        <v/>
      </c>
      <c r="Z513" s="494" t="s">
        <v>1451</v>
      </c>
      <c r="AA513" s="547" t="str">
        <f t="shared" ca="1" si="70"/>
        <v/>
      </c>
      <c r="AB513" s="494" t="s">
        <v>1452</v>
      </c>
      <c r="AC513" s="547" t="str">
        <f t="shared" ca="1" si="71"/>
        <v/>
      </c>
      <c r="AD513" s="557"/>
      <c r="AE513" s="958"/>
    </row>
    <row r="514" spans="1:31" ht="15" customHeight="1">
      <c r="A514" s="957">
        <v>63</v>
      </c>
      <c r="B514" s="566" t="s">
        <v>490</v>
      </c>
      <c r="C514" s="567" t="s">
        <v>1443</v>
      </c>
      <c r="D514" s="958">
        <v>1.1000000000000001</v>
      </c>
      <c r="E514" s="959" t="s">
        <v>335</v>
      </c>
      <c r="F514" s="558" t="s">
        <v>1455</v>
      </c>
      <c r="G514" s="558">
        <v>714</v>
      </c>
      <c r="H514" s="558" t="s">
        <v>1456</v>
      </c>
      <c r="I514" s="559" t="s">
        <v>565</v>
      </c>
      <c r="J514" s="567" t="s">
        <v>1445</v>
      </c>
      <c r="K514" s="961" t="s">
        <v>1373</v>
      </c>
      <c r="L514" s="555" t="str">
        <f t="shared" ref="L514:L577" ca="1" si="76">IF(AND(INDIRECT(CONCATENATE($J514,$K514,5))=$B514,ISNUMBER(SEARCH("Please",INDIRECT(CONCATENATE($J514,$K514,2)),1))=FALSE),SUMPRODUCT(MID(0&amp;INDIRECT(CONCATENATE($J514,$K514,2)), LARGE(INDEX(ISNUMBER(--MID(INDIRECT(CONCATENATE($J514,$K514,2)), ROW(INDIRECT("1:"&amp;LEN(INDIRECT(CONCATENATE($J514,$K514,2))))),1))*ROW(INDIRECT("1:"&amp;LEN(INDIRECT(CONCATENATE($J514,$K514,2))))),0), ROW(INDIRECT("1:"&amp;LEN(INDIRECT(CONCATENATE($J514,$K514,2))))))+1,1)*10^ROW(INDIRECT("1:"&amp;LEN(INDIRECT(CONCATENATE($J514,$K514,2)))))/10),"")</f>
        <v/>
      </c>
      <c r="M514" s="494" t="s">
        <v>1446</v>
      </c>
      <c r="N514" s="555" t="str">
        <f t="shared" ref="N514:N577" ca="1" si="77">IF(AND(INDIRECT(CONCATENATE($J514,$K514,5))=$B514,ISNUMBER(SEARCH("Select",INDIRECT(CONCATENATE($J514,$M514,6)),1))=FALSE),INDIRECT(CONCATENATE($J514,$M514,6)),"")</f>
        <v/>
      </c>
      <c r="O514" s="494" t="s">
        <v>1447</v>
      </c>
      <c r="P514" s="555" t="str">
        <f t="shared" ref="P514:P577" ca="1" si="78">IF(AND(INDIRECT(CONCATENATE($J514,$K514,5))=$B514,ISNUMBER(SEARCH("Select",INDIRECT(CONCATENATE($J514,$O514,6)),1))=FALSE),INDIRECT(CONCATENATE($J514,$O514,6)),"")</f>
        <v/>
      </c>
      <c r="Q514" s="494" t="s">
        <v>1448</v>
      </c>
      <c r="R514" s="494" t="str">
        <f t="shared" si="64"/>
        <v>H514</v>
      </c>
      <c r="S514" s="494" t="s">
        <v>1449</v>
      </c>
      <c r="T514" s="494">
        <v>10</v>
      </c>
      <c r="U514" s="556" t="str">
        <f t="shared" ca="1" si="74"/>
        <v/>
      </c>
      <c r="V514" s="494">
        <v>11</v>
      </c>
      <c r="W514" s="556" t="str">
        <f t="shared" ca="1" si="75"/>
        <v/>
      </c>
      <c r="X514" s="494" t="s">
        <v>1450</v>
      </c>
      <c r="Y514" s="547" t="str">
        <f t="shared" ref="Y514:Y577" ca="1" si="79">IF(AND(INDIRECT(CONCATENATE($J514,$K514,5))=$B514,ISBLANK(INDIRECT(CONCATENATE($J514,X514)))=FALSE),INDIRECT(CONCATENATE($J514,X514)),"")</f>
        <v/>
      </c>
      <c r="Z514" s="494" t="s">
        <v>1451</v>
      </c>
      <c r="AA514" s="547" t="str">
        <f t="shared" ref="AA514:AA577" ca="1" si="80">IF(AND(INDIRECT(CONCATENATE($J514,$K514,"5"))=$B514,ISBLANK(INDIRECT(CONCATENATE($J514,Z514)))=FALSE),INDIRECT(CONCATENATE($J514,Z514)),"")</f>
        <v/>
      </c>
      <c r="AB514" s="494" t="s">
        <v>1452</v>
      </c>
      <c r="AC514" s="547" t="str">
        <f t="shared" ref="AC514:AC577" ca="1" si="81">IF(AND(INDIRECT(CONCATENATE($J514,$K514,"5"))=$B514,ISBLANK(INDIRECT(CONCATENATE($J514,AB514)))=FALSE),INDIRECT(CONCATENATE($J514,AB514)),"")</f>
        <v/>
      </c>
      <c r="AD514" s="557"/>
      <c r="AE514" s="958"/>
    </row>
    <row r="515" spans="1:31" ht="15" customHeight="1">
      <c r="A515" s="957">
        <v>63</v>
      </c>
      <c r="B515" s="566" t="s">
        <v>490</v>
      </c>
      <c r="C515" s="567" t="s">
        <v>1443</v>
      </c>
      <c r="D515" s="958">
        <v>1.1000000000000001</v>
      </c>
      <c r="E515" s="959" t="s">
        <v>335</v>
      </c>
      <c r="F515" s="558" t="s">
        <v>1455</v>
      </c>
      <c r="G515" s="558">
        <v>714</v>
      </c>
      <c r="H515" s="558" t="s">
        <v>1457</v>
      </c>
      <c r="I515" s="559" t="s">
        <v>1458</v>
      </c>
      <c r="J515" s="567" t="s">
        <v>1445</v>
      </c>
      <c r="K515" s="961" t="s">
        <v>1373</v>
      </c>
      <c r="L515" s="555" t="str">
        <f t="shared" ca="1" si="76"/>
        <v/>
      </c>
      <c r="M515" s="494" t="s">
        <v>1446</v>
      </c>
      <c r="N515" s="555" t="str">
        <f t="shared" ca="1" si="77"/>
        <v/>
      </c>
      <c r="O515" s="494" t="s">
        <v>1447</v>
      </c>
      <c r="P515" s="555" t="str">
        <f t="shared" ca="1" si="78"/>
        <v/>
      </c>
      <c r="Q515" s="494" t="s">
        <v>1448</v>
      </c>
      <c r="R515" s="494" t="str">
        <f t="shared" ref="R515:R580" si="82">CONCATENATE("H",ROW(J515))</f>
        <v>H515</v>
      </c>
      <c r="S515" s="494" t="s">
        <v>1449</v>
      </c>
      <c r="T515" s="494">
        <v>10</v>
      </c>
      <c r="U515" s="556" t="str">
        <f t="shared" ca="1" si="74"/>
        <v/>
      </c>
      <c r="V515" s="494">
        <v>11</v>
      </c>
      <c r="W515" s="556" t="str">
        <f t="shared" ca="1" si="75"/>
        <v/>
      </c>
      <c r="X515" s="494" t="s">
        <v>1450</v>
      </c>
      <c r="Y515" s="547" t="str">
        <f t="shared" ca="1" si="79"/>
        <v/>
      </c>
      <c r="Z515" s="494" t="s">
        <v>1451</v>
      </c>
      <c r="AA515" s="547" t="str">
        <f t="shared" ca="1" si="80"/>
        <v/>
      </c>
      <c r="AB515" s="494" t="s">
        <v>1452</v>
      </c>
      <c r="AC515" s="547" t="str">
        <f t="shared" ca="1" si="81"/>
        <v/>
      </c>
      <c r="AD515" s="557"/>
      <c r="AE515" s="958"/>
    </row>
    <row r="516" spans="1:31" ht="15" customHeight="1">
      <c r="A516" s="957">
        <v>63</v>
      </c>
      <c r="B516" s="566" t="s">
        <v>490</v>
      </c>
      <c r="C516" s="567" t="s">
        <v>1443</v>
      </c>
      <c r="D516" s="958">
        <v>1.1000000000000001</v>
      </c>
      <c r="E516" s="959" t="s">
        <v>335</v>
      </c>
      <c r="F516" s="558" t="s">
        <v>1455</v>
      </c>
      <c r="G516" s="558">
        <v>714</v>
      </c>
      <c r="H516" s="558" t="s">
        <v>1459</v>
      </c>
      <c r="I516" s="559" t="s">
        <v>1460</v>
      </c>
      <c r="J516" s="567" t="s">
        <v>1445</v>
      </c>
      <c r="K516" s="961" t="s">
        <v>1373</v>
      </c>
      <c r="L516" s="555" t="str">
        <f t="shared" ca="1" si="76"/>
        <v/>
      </c>
      <c r="M516" s="494" t="s">
        <v>1446</v>
      </c>
      <c r="N516" s="555" t="str">
        <f t="shared" ca="1" si="77"/>
        <v/>
      </c>
      <c r="O516" s="494" t="s">
        <v>1447</v>
      </c>
      <c r="P516" s="555" t="str">
        <f t="shared" ca="1" si="78"/>
        <v/>
      </c>
      <c r="Q516" s="494" t="s">
        <v>1448</v>
      </c>
      <c r="R516" s="494" t="str">
        <f t="shared" si="82"/>
        <v>H516</v>
      </c>
      <c r="S516" s="494" t="s">
        <v>1449</v>
      </c>
      <c r="T516" s="494">
        <v>10</v>
      </c>
      <c r="U516" s="556" t="str">
        <f t="shared" ca="1" si="74"/>
        <v/>
      </c>
      <c r="V516" s="494">
        <v>11</v>
      </c>
      <c r="W516" s="556" t="str">
        <f t="shared" ca="1" si="75"/>
        <v/>
      </c>
      <c r="X516" s="494" t="s">
        <v>1450</v>
      </c>
      <c r="Y516" s="547" t="str">
        <f t="shared" ca="1" si="79"/>
        <v/>
      </c>
      <c r="Z516" s="494" t="s">
        <v>1451</v>
      </c>
      <c r="AA516" s="547" t="str">
        <f t="shared" ca="1" si="80"/>
        <v/>
      </c>
      <c r="AB516" s="494" t="s">
        <v>1452</v>
      </c>
      <c r="AC516" s="547" t="str">
        <f t="shared" ca="1" si="81"/>
        <v/>
      </c>
      <c r="AD516" s="557"/>
      <c r="AE516" s="958"/>
    </row>
    <row r="517" spans="1:31" ht="15" customHeight="1">
      <c r="A517" s="957">
        <v>63</v>
      </c>
      <c r="B517" s="566" t="s">
        <v>490</v>
      </c>
      <c r="C517" s="567" t="s">
        <v>1443</v>
      </c>
      <c r="D517" s="958">
        <v>1.1000000000000001</v>
      </c>
      <c r="E517" s="959" t="s">
        <v>335</v>
      </c>
      <c r="F517" s="558" t="s">
        <v>1455</v>
      </c>
      <c r="G517" s="558">
        <v>714</v>
      </c>
      <c r="H517" s="558" t="s">
        <v>1461</v>
      </c>
      <c r="I517" s="559" t="s">
        <v>619</v>
      </c>
      <c r="J517" s="567" t="s">
        <v>1445</v>
      </c>
      <c r="K517" s="961" t="s">
        <v>1373</v>
      </c>
      <c r="L517" s="555" t="str">
        <f t="shared" ca="1" si="76"/>
        <v/>
      </c>
      <c r="M517" s="494" t="s">
        <v>1446</v>
      </c>
      <c r="N517" s="555" t="str">
        <f t="shared" ca="1" si="77"/>
        <v/>
      </c>
      <c r="O517" s="494" t="s">
        <v>1447</v>
      </c>
      <c r="P517" s="555" t="str">
        <f t="shared" ca="1" si="78"/>
        <v/>
      </c>
      <c r="Q517" s="494" t="s">
        <v>1448</v>
      </c>
      <c r="R517" s="494" t="str">
        <f t="shared" si="82"/>
        <v>H517</v>
      </c>
      <c r="S517" s="494" t="s">
        <v>1449</v>
      </c>
      <c r="T517" s="494">
        <v>10</v>
      </c>
      <c r="U517" s="556" t="str">
        <f t="shared" ca="1" si="74"/>
        <v/>
      </c>
      <c r="V517" s="494">
        <v>11</v>
      </c>
      <c r="W517" s="556" t="str">
        <f t="shared" ca="1" si="75"/>
        <v/>
      </c>
      <c r="X517" s="494" t="s">
        <v>1450</v>
      </c>
      <c r="Y517" s="547" t="str">
        <f t="shared" ca="1" si="79"/>
        <v/>
      </c>
      <c r="Z517" s="494" t="s">
        <v>1451</v>
      </c>
      <c r="AA517" s="547" t="str">
        <f t="shared" ca="1" si="80"/>
        <v/>
      </c>
      <c r="AB517" s="494" t="s">
        <v>1452</v>
      </c>
      <c r="AC517" s="547" t="str">
        <f t="shared" ca="1" si="81"/>
        <v/>
      </c>
      <c r="AD517" s="557"/>
      <c r="AE517" s="958"/>
    </row>
    <row r="518" spans="1:31" ht="15" customHeight="1">
      <c r="A518" s="957">
        <v>63</v>
      </c>
      <c r="B518" s="566" t="s">
        <v>490</v>
      </c>
      <c r="C518" s="567" t="s">
        <v>1443</v>
      </c>
      <c r="D518" s="958">
        <v>1.1000000000000001</v>
      </c>
      <c r="E518" s="959" t="s">
        <v>335</v>
      </c>
      <c r="F518" s="558" t="s">
        <v>1455</v>
      </c>
      <c r="G518" s="558">
        <v>714</v>
      </c>
      <c r="H518" s="558" t="s">
        <v>1462</v>
      </c>
      <c r="I518" s="559" t="s">
        <v>1463</v>
      </c>
      <c r="J518" s="567" t="s">
        <v>1445</v>
      </c>
      <c r="K518" s="961" t="s">
        <v>1373</v>
      </c>
      <c r="L518" s="555" t="str">
        <f t="shared" ca="1" si="76"/>
        <v/>
      </c>
      <c r="M518" s="494" t="s">
        <v>1446</v>
      </c>
      <c r="N518" s="555" t="str">
        <f t="shared" ca="1" si="77"/>
        <v/>
      </c>
      <c r="O518" s="494" t="s">
        <v>1447</v>
      </c>
      <c r="P518" s="555" t="str">
        <f t="shared" ca="1" si="78"/>
        <v/>
      </c>
      <c r="Q518" s="494" t="s">
        <v>1448</v>
      </c>
      <c r="R518" s="494" t="str">
        <f t="shared" si="82"/>
        <v>H518</v>
      </c>
      <c r="S518" s="494" t="s">
        <v>1449</v>
      </c>
      <c r="T518" s="494">
        <v>10</v>
      </c>
      <c r="U518" s="556" t="str">
        <f t="shared" ca="1" si="74"/>
        <v/>
      </c>
      <c r="V518" s="494">
        <v>11</v>
      </c>
      <c r="W518" s="556" t="str">
        <f t="shared" ca="1" si="75"/>
        <v/>
      </c>
      <c r="X518" s="494" t="s">
        <v>1450</v>
      </c>
      <c r="Y518" s="547" t="str">
        <f t="shared" ca="1" si="79"/>
        <v/>
      </c>
      <c r="Z518" s="494" t="s">
        <v>1451</v>
      </c>
      <c r="AA518" s="547" t="str">
        <f t="shared" ca="1" si="80"/>
        <v/>
      </c>
      <c r="AB518" s="494" t="s">
        <v>1452</v>
      </c>
      <c r="AC518" s="547" t="str">
        <f t="shared" ca="1" si="81"/>
        <v/>
      </c>
      <c r="AD518" s="557"/>
      <c r="AE518" s="958"/>
    </row>
    <row r="519" spans="1:31" ht="15" customHeight="1">
      <c r="A519" s="957">
        <v>63</v>
      </c>
      <c r="B519" s="566" t="s">
        <v>490</v>
      </c>
      <c r="C519" s="567" t="s">
        <v>1443</v>
      </c>
      <c r="D519" s="958">
        <v>1.1000000000000001</v>
      </c>
      <c r="E519" s="959" t="s">
        <v>335</v>
      </c>
      <c r="F519" s="558" t="s">
        <v>1455</v>
      </c>
      <c r="G519" s="558">
        <v>714</v>
      </c>
      <c r="H519" s="558" t="s">
        <v>1464</v>
      </c>
      <c r="I519" s="559" t="s">
        <v>1465</v>
      </c>
      <c r="J519" s="567" t="s">
        <v>1445</v>
      </c>
      <c r="K519" s="961" t="s">
        <v>1373</v>
      </c>
      <c r="L519" s="555" t="str">
        <f t="shared" ca="1" si="76"/>
        <v/>
      </c>
      <c r="M519" s="494" t="s">
        <v>1446</v>
      </c>
      <c r="N519" s="555" t="str">
        <f t="shared" ca="1" si="77"/>
        <v/>
      </c>
      <c r="O519" s="494" t="s">
        <v>1447</v>
      </c>
      <c r="P519" s="555" t="str">
        <f t="shared" ca="1" si="78"/>
        <v/>
      </c>
      <c r="Q519" s="494" t="s">
        <v>1448</v>
      </c>
      <c r="R519" s="494" t="str">
        <f t="shared" si="82"/>
        <v>H519</v>
      </c>
      <c r="S519" s="494" t="s">
        <v>1449</v>
      </c>
      <c r="T519" s="494">
        <v>10</v>
      </c>
      <c r="U519" s="556" t="str">
        <f t="shared" ref="U519:U548" ca="1" si="83">IF(AND($B519=INDIRECT(CONCATENATE($J519,$K519,5)),ISBLANK(INDEX(INDIRECT(CONCATENATE($J519,$Q519)),MATCH(INDIRECT($R519),INDIRECT(CONCATENATE($J519,$S519)),0),T519))=FALSE),INDEX(INDIRECT(CONCATENATE($J519,$Q519)),MATCH(INDIRECT($R519),INDIRECT(CONCATENATE($J519,$S519)),0),T519),"")</f>
        <v/>
      </c>
      <c r="V519" s="494">
        <v>11</v>
      </c>
      <c r="W519" s="556" t="str">
        <f t="shared" ref="W519:W548" ca="1" si="84">IF(AND($B519=INDIRECT(CONCATENATE($J519,$K519,5)),ISBLANK(INDEX(INDIRECT(CONCATENATE($J519,$Q519)),MATCH(INDIRECT($R519),INDIRECT(CONCATENATE($J519,$S519)),0),V519))=FALSE),INDEX(INDIRECT(CONCATENATE($J519,$Q519)),MATCH(INDIRECT($R519),INDIRECT(CONCATENATE($J519,$S519)),0),V519),"")</f>
        <v/>
      </c>
      <c r="X519" s="494" t="s">
        <v>1450</v>
      </c>
      <c r="Y519" s="547" t="str">
        <f t="shared" ca="1" si="79"/>
        <v/>
      </c>
      <c r="Z519" s="494" t="s">
        <v>1451</v>
      </c>
      <c r="AA519" s="547" t="str">
        <f t="shared" ca="1" si="80"/>
        <v/>
      </c>
      <c r="AB519" s="494" t="s">
        <v>1452</v>
      </c>
      <c r="AC519" s="547" t="str">
        <f t="shared" ca="1" si="81"/>
        <v/>
      </c>
      <c r="AD519" s="557"/>
      <c r="AE519" s="958"/>
    </row>
    <row r="520" spans="1:31" ht="15" customHeight="1">
      <c r="A520" s="957">
        <v>63</v>
      </c>
      <c r="B520" s="566" t="s">
        <v>490</v>
      </c>
      <c r="C520" s="567" t="s">
        <v>1443</v>
      </c>
      <c r="D520" s="958">
        <v>1.1000000000000001</v>
      </c>
      <c r="E520" s="959" t="s">
        <v>335</v>
      </c>
      <c r="F520" s="558" t="s">
        <v>1455</v>
      </c>
      <c r="G520" s="558">
        <v>714</v>
      </c>
      <c r="H520" s="558" t="s">
        <v>1466</v>
      </c>
      <c r="I520" s="559" t="s">
        <v>1467</v>
      </c>
      <c r="J520" s="567" t="s">
        <v>1445</v>
      </c>
      <c r="K520" s="961" t="s">
        <v>1373</v>
      </c>
      <c r="L520" s="555" t="str">
        <f t="shared" ca="1" si="76"/>
        <v/>
      </c>
      <c r="M520" s="494" t="s">
        <v>1446</v>
      </c>
      <c r="N520" s="555" t="str">
        <f t="shared" ca="1" si="77"/>
        <v/>
      </c>
      <c r="O520" s="494" t="s">
        <v>1447</v>
      </c>
      <c r="P520" s="555" t="str">
        <f t="shared" ca="1" si="78"/>
        <v/>
      </c>
      <c r="Q520" s="494" t="s">
        <v>1448</v>
      </c>
      <c r="R520" s="494" t="str">
        <f t="shared" si="82"/>
        <v>H520</v>
      </c>
      <c r="S520" s="494" t="s">
        <v>1449</v>
      </c>
      <c r="T520" s="494">
        <v>10</v>
      </c>
      <c r="U520" s="556" t="str">
        <f t="shared" ca="1" si="83"/>
        <v/>
      </c>
      <c r="V520" s="494">
        <v>11</v>
      </c>
      <c r="W520" s="556" t="str">
        <f t="shared" ca="1" si="84"/>
        <v/>
      </c>
      <c r="X520" s="494" t="s">
        <v>1450</v>
      </c>
      <c r="Y520" s="547" t="str">
        <f t="shared" ca="1" si="79"/>
        <v/>
      </c>
      <c r="Z520" s="494" t="s">
        <v>1451</v>
      </c>
      <c r="AA520" s="547" t="str">
        <f t="shared" ca="1" si="80"/>
        <v/>
      </c>
      <c r="AB520" s="494" t="s">
        <v>1452</v>
      </c>
      <c r="AC520" s="547" t="str">
        <f t="shared" ca="1" si="81"/>
        <v/>
      </c>
      <c r="AD520" s="557"/>
      <c r="AE520" s="958"/>
    </row>
    <row r="521" spans="1:31" ht="15" customHeight="1">
      <c r="A521" s="957">
        <v>63</v>
      </c>
      <c r="B521" s="566" t="s">
        <v>490</v>
      </c>
      <c r="C521" s="567" t="s">
        <v>1443</v>
      </c>
      <c r="D521" s="958">
        <v>1.1000000000000001</v>
      </c>
      <c r="E521" s="959" t="s">
        <v>335</v>
      </c>
      <c r="F521" s="558" t="s">
        <v>1455</v>
      </c>
      <c r="G521" s="558">
        <v>714</v>
      </c>
      <c r="H521" s="558" t="s">
        <v>59</v>
      </c>
      <c r="I521" s="559" t="s">
        <v>67</v>
      </c>
      <c r="J521" s="567" t="s">
        <v>1445</v>
      </c>
      <c r="K521" s="961" t="s">
        <v>1373</v>
      </c>
      <c r="L521" s="555" t="str">
        <f t="shared" ca="1" si="76"/>
        <v/>
      </c>
      <c r="M521" s="494" t="s">
        <v>1446</v>
      </c>
      <c r="N521" s="555" t="str">
        <f t="shared" ca="1" si="77"/>
        <v/>
      </c>
      <c r="O521" s="494" t="s">
        <v>1447</v>
      </c>
      <c r="P521" s="555" t="str">
        <f t="shared" ca="1" si="78"/>
        <v/>
      </c>
      <c r="Q521" s="494" t="s">
        <v>1448</v>
      </c>
      <c r="R521" s="494" t="str">
        <f t="shared" si="82"/>
        <v>H521</v>
      </c>
      <c r="S521" s="494" t="s">
        <v>1449</v>
      </c>
      <c r="T521" s="494">
        <v>10</v>
      </c>
      <c r="U521" s="556" t="str">
        <f t="shared" ca="1" si="83"/>
        <v/>
      </c>
      <c r="V521" s="494">
        <v>11</v>
      </c>
      <c r="W521" s="556" t="str">
        <f t="shared" ca="1" si="84"/>
        <v/>
      </c>
      <c r="X521" s="494" t="s">
        <v>1450</v>
      </c>
      <c r="Y521" s="547" t="str">
        <f t="shared" ca="1" si="79"/>
        <v/>
      </c>
      <c r="Z521" s="494" t="s">
        <v>1451</v>
      </c>
      <c r="AA521" s="547" t="str">
        <f t="shared" ca="1" si="80"/>
        <v/>
      </c>
      <c r="AB521" s="494" t="s">
        <v>1452</v>
      </c>
      <c r="AC521" s="547" t="str">
        <f t="shared" ca="1" si="81"/>
        <v/>
      </c>
      <c r="AD521" s="557"/>
      <c r="AE521" s="958"/>
    </row>
    <row r="522" spans="1:31" ht="15" customHeight="1">
      <c r="A522" s="957">
        <v>63</v>
      </c>
      <c r="B522" s="566" t="s">
        <v>490</v>
      </c>
      <c r="C522" s="567" t="s">
        <v>1443</v>
      </c>
      <c r="D522" s="958">
        <v>1.1000000000000001</v>
      </c>
      <c r="E522" s="959" t="s">
        <v>335</v>
      </c>
      <c r="F522" s="558" t="s">
        <v>1455</v>
      </c>
      <c r="G522" s="558">
        <v>714</v>
      </c>
      <c r="H522" s="558" t="s">
        <v>1468</v>
      </c>
      <c r="I522" s="559" t="s">
        <v>1469</v>
      </c>
      <c r="J522" s="567" t="s">
        <v>1445</v>
      </c>
      <c r="K522" s="961" t="s">
        <v>1373</v>
      </c>
      <c r="L522" s="555" t="str">
        <f t="shared" ca="1" si="76"/>
        <v/>
      </c>
      <c r="M522" s="494" t="s">
        <v>1446</v>
      </c>
      <c r="N522" s="555" t="str">
        <f t="shared" ca="1" si="77"/>
        <v/>
      </c>
      <c r="O522" s="494" t="s">
        <v>1447</v>
      </c>
      <c r="P522" s="555" t="str">
        <f t="shared" ca="1" si="78"/>
        <v/>
      </c>
      <c r="Q522" s="494" t="s">
        <v>1448</v>
      </c>
      <c r="R522" s="494" t="str">
        <f t="shared" si="82"/>
        <v>H522</v>
      </c>
      <c r="S522" s="494" t="s">
        <v>1449</v>
      </c>
      <c r="T522" s="494">
        <v>10</v>
      </c>
      <c r="U522" s="556" t="str">
        <f t="shared" ca="1" si="83"/>
        <v/>
      </c>
      <c r="V522" s="494">
        <v>11</v>
      </c>
      <c r="W522" s="556" t="str">
        <f t="shared" ca="1" si="84"/>
        <v/>
      </c>
      <c r="X522" s="494" t="s">
        <v>1450</v>
      </c>
      <c r="Y522" s="547" t="str">
        <f t="shared" ca="1" si="79"/>
        <v/>
      </c>
      <c r="Z522" s="494" t="s">
        <v>1451</v>
      </c>
      <c r="AA522" s="547" t="str">
        <f t="shared" ca="1" si="80"/>
        <v/>
      </c>
      <c r="AB522" s="494" t="s">
        <v>1452</v>
      </c>
      <c r="AC522" s="547" t="str">
        <f t="shared" ca="1" si="81"/>
        <v/>
      </c>
      <c r="AD522" s="557"/>
      <c r="AE522" s="958"/>
    </row>
    <row r="523" spans="1:31" ht="15" customHeight="1">
      <c r="A523" s="957">
        <v>63</v>
      </c>
      <c r="B523" s="566" t="s">
        <v>490</v>
      </c>
      <c r="C523" s="567" t="s">
        <v>1443</v>
      </c>
      <c r="D523" s="958">
        <v>1.1000000000000001</v>
      </c>
      <c r="E523" s="959" t="s">
        <v>335</v>
      </c>
      <c r="F523" s="558" t="s">
        <v>1455</v>
      </c>
      <c r="G523" s="558">
        <v>714</v>
      </c>
      <c r="H523" s="558" t="s">
        <v>1470</v>
      </c>
      <c r="I523" s="559" t="s">
        <v>1471</v>
      </c>
      <c r="J523" s="567" t="s">
        <v>1445</v>
      </c>
      <c r="K523" s="961" t="s">
        <v>1373</v>
      </c>
      <c r="L523" s="555" t="str">
        <f t="shared" ca="1" si="76"/>
        <v/>
      </c>
      <c r="M523" s="494" t="s">
        <v>1446</v>
      </c>
      <c r="N523" s="555" t="str">
        <f t="shared" ca="1" si="77"/>
        <v/>
      </c>
      <c r="O523" s="494" t="s">
        <v>1447</v>
      </c>
      <c r="P523" s="555" t="str">
        <f t="shared" ca="1" si="78"/>
        <v/>
      </c>
      <c r="Q523" s="494" t="s">
        <v>1448</v>
      </c>
      <c r="R523" s="494" t="str">
        <f t="shared" si="82"/>
        <v>H523</v>
      </c>
      <c r="S523" s="494" t="s">
        <v>1449</v>
      </c>
      <c r="T523" s="494">
        <v>10</v>
      </c>
      <c r="U523" s="556" t="str">
        <f t="shared" ca="1" si="83"/>
        <v/>
      </c>
      <c r="V523" s="494">
        <v>11</v>
      </c>
      <c r="W523" s="556" t="str">
        <f t="shared" ca="1" si="84"/>
        <v/>
      </c>
      <c r="X523" s="494" t="s">
        <v>1450</v>
      </c>
      <c r="Y523" s="547" t="str">
        <f t="shared" ca="1" si="79"/>
        <v/>
      </c>
      <c r="Z523" s="494" t="s">
        <v>1451</v>
      </c>
      <c r="AA523" s="547" t="str">
        <f t="shared" ca="1" si="80"/>
        <v/>
      </c>
      <c r="AB523" s="494" t="s">
        <v>1452</v>
      </c>
      <c r="AC523" s="547" t="str">
        <f t="shared" ca="1" si="81"/>
        <v/>
      </c>
      <c r="AD523" s="557"/>
      <c r="AE523" s="958"/>
    </row>
    <row r="524" spans="1:31" ht="15" customHeight="1">
      <c r="A524" s="957">
        <v>63</v>
      </c>
      <c r="B524" s="566" t="s">
        <v>490</v>
      </c>
      <c r="C524" s="567" t="s">
        <v>1443</v>
      </c>
      <c r="D524" s="958">
        <v>1.1000000000000001</v>
      </c>
      <c r="E524" s="959" t="s">
        <v>335</v>
      </c>
      <c r="F524" s="558" t="s">
        <v>1455</v>
      </c>
      <c r="G524" s="558">
        <v>714</v>
      </c>
      <c r="H524" s="558" t="s">
        <v>1472</v>
      </c>
      <c r="I524" s="559" t="s">
        <v>1473</v>
      </c>
      <c r="J524" s="567" t="s">
        <v>1445</v>
      </c>
      <c r="K524" s="961" t="s">
        <v>1373</v>
      </c>
      <c r="L524" s="555" t="str">
        <f t="shared" ca="1" si="76"/>
        <v/>
      </c>
      <c r="M524" s="494" t="s">
        <v>1446</v>
      </c>
      <c r="N524" s="555" t="str">
        <f t="shared" ca="1" si="77"/>
        <v/>
      </c>
      <c r="O524" s="494" t="s">
        <v>1447</v>
      </c>
      <c r="P524" s="555" t="str">
        <f t="shared" ca="1" si="78"/>
        <v/>
      </c>
      <c r="Q524" s="494" t="s">
        <v>1448</v>
      </c>
      <c r="R524" s="494" t="str">
        <f t="shared" si="82"/>
        <v>H524</v>
      </c>
      <c r="S524" s="494" t="s">
        <v>1449</v>
      </c>
      <c r="T524" s="494">
        <v>10</v>
      </c>
      <c r="U524" s="556" t="str">
        <f t="shared" ca="1" si="83"/>
        <v/>
      </c>
      <c r="V524" s="494">
        <v>11</v>
      </c>
      <c r="W524" s="556" t="str">
        <f t="shared" ca="1" si="84"/>
        <v/>
      </c>
      <c r="X524" s="494" t="s">
        <v>1450</v>
      </c>
      <c r="Y524" s="547" t="str">
        <f t="shared" ca="1" si="79"/>
        <v/>
      </c>
      <c r="Z524" s="494" t="s">
        <v>1451</v>
      </c>
      <c r="AA524" s="547" t="str">
        <f t="shared" ca="1" si="80"/>
        <v/>
      </c>
      <c r="AB524" s="494" t="s">
        <v>1452</v>
      </c>
      <c r="AC524" s="547" t="str">
        <f t="shared" ca="1" si="81"/>
        <v/>
      </c>
      <c r="AD524" s="557"/>
      <c r="AE524" s="958"/>
    </row>
    <row r="525" spans="1:31" ht="15" customHeight="1">
      <c r="A525" s="957">
        <v>63</v>
      </c>
      <c r="B525" s="566" t="s">
        <v>490</v>
      </c>
      <c r="C525" s="567" t="s">
        <v>1443</v>
      </c>
      <c r="D525" s="958">
        <v>1.1000000000000001</v>
      </c>
      <c r="E525" s="959" t="s">
        <v>335</v>
      </c>
      <c r="F525" s="558" t="s">
        <v>1455</v>
      </c>
      <c r="G525" s="558">
        <v>714</v>
      </c>
      <c r="H525" s="558" t="s">
        <v>1474</v>
      </c>
      <c r="I525" s="559" t="s">
        <v>1475</v>
      </c>
      <c r="J525" s="567" t="s">
        <v>1445</v>
      </c>
      <c r="K525" s="961" t="s">
        <v>1373</v>
      </c>
      <c r="L525" s="555" t="str">
        <f t="shared" ca="1" si="76"/>
        <v/>
      </c>
      <c r="M525" s="494" t="s">
        <v>1446</v>
      </c>
      <c r="N525" s="555" t="str">
        <f t="shared" ca="1" si="77"/>
        <v/>
      </c>
      <c r="O525" s="494" t="s">
        <v>1447</v>
      </c>
      <c r="P525" s="555" t="str">
        <f t="shared" ca="1" si="78"/>
        <v/>
      </c>
      <c r="Q525" s="494" t="s">
        <v>1448</v>
      </c>
      <c r="R525" s="494" t="str">
        <f t="shared" si="82"/>
        <v>H525</v>
      </c>
      <c r="S525" s="494" t="s">
        <v>1449</v>
      </c>
      <c r="T525" s="494">
        <v>10</v>
      </c>
      <c r="U525" s="556" t="str">
        <f t="shared" ca="1" si="83"/>
        <v/>
      </c>
      <c r="V525" s="494">
        <v>11</v>
      </c>
      <c r="W525" s="556" t="str">
        <f t="shared" ca="1" si="84"/>
        <v/>
      </c>
      <c r="X525" s="494" t="s">
        <v>1450</v>
      </c>
      <c r="Y525" s="547" t="str">
        <f t="shared" ca="1" si="79"/>
        <v/>
      </c>
      <c r="Z525" s="494" t="s">
        <v>1451</v>
      </c>
      <c r="AA525" s="547" t="str">
        <f t="shared" ca="1" si="80"/>
        <v/>
      </c>
      <c r="AB525" s="494" t="s">
        <v>1452</v>
      </c>
      <c r="AC525" s="547" t="str">
        <f t="shared" ca="1" si="81"/>
        <v/>
      </c>
      <c r="AD525" s="557"/>
      <c r="AE525" s="958"/>
    </row>
    <row r="526" spans="1:31" ht="15" customHeight="1">
      <c r="A526" s="957">
        <v>63</v>
      </c>
      <c r="B526" s="566" t="s">
        <v>490</v>
      </c>
      <c r="C526" s="567" t="s">
        <v>1443</v>
      </c>
      <c r="D526" s="958">
        <v>1.1000000000000001</v>
      </c>
      <c r="E526" s="959" t="s">
        <v>335</v>
      </c>
      <c r="F526" s="558" t="s">
        <v>1455</v>
      </c>
      <c r="G526" s="558">
        <v>714</v>
      </c>
      <c r="H526" s="558" t="s">
        <v>1476</v>
      </c>
      <c r="I526" s="559" t="s">
        <v>1477</v>
      </c>
      <c r="J526" s="567" t="s">
        <v>1445</v>
      </c>
      <c r="K526" s="961" t="s">
        <v>1373</v>
      </c>
      <c r="L526" s="555" t="str">
        <f t="shared" ca="1" si="76"/>
        <v/>
      </c>
      <c r="M526" s="494" t="s">
        <v>1446</v>
      </c>
      <c r="N526" s="555" t="str">
        <f t="shared" ca="1" si="77"/>
        <v/>
      </c>
      <c r="O526" s="494" t="s">
        <v>1447</v>
      </c>
      <c r="P526" s="555" t="str">
        <f t="shared" ca="1" si="78"/>
        <v/>
      </c>
      <c r="Q526" s="494" t="s">
        <v>1448</v>
      </c>
      <c r="R526" s="494" t="str">
        <f t="shared" si="82"/>
        <v>H526</v>
      </c>
      <c r="S526" s="494" t="s">
        <v>1449</v>
      </c>
      <c r="T526" s="494">
        <v>10</v>
      </c>
      <c r="U526" s="556" t="str">
        <f t="shared" ca="1" si="83"/>
        <v/>
      </c>
      <c r="V526" s="494">
        <v>11</v>
      </c>
      <c r="W526" s="556" t="str">
        <f t="shared" ca="1" si="84"/>
        <v/>
      </c>
      <c r="X526" s="494" t="s">
        <v>1450</v>
      </c>
      <c r="Y526" s="547" t="str">
        <f t="shared" ca="1" si="79"/>
        <v/>
      </c>
      <c r="Z526" s="494" t="s">
        <v>1451</v>
      </c>
      <c r="AA526" s="547" t="str">
        <f t="shared" ca="1" si="80"/>
        <v/>
      </c>
      <c r="AB526" s="494" t="s">
        <v>1452</v>
      </c>
      <c r="AC526" s="547" t="str">
        <f t="shared" ca="1" si="81"/>
        <v/>
      </c>
      <c r="AD526" s="557"/>
      <c r="AE526" s="958"/>
    </row>
    <row r="527" spans="1:31" ht="15" customHeight="1">
      <c r="A527" s="957">
        <v>63</v>
      </c>
      <c r="B527" s="566" t="s">
        <v>490</v>
      </c>
      <c r="C527" s="567" t="s">
        <v>1443</v>
      </c>
      <c r="D527" s="958">
        <v>1.1000000000000001</v>
      </c>
      <c r="E527" s="959" t="s">
        <v>335</v>
      </c>
      <c r="F527" s="558" t="s">
        <v>1455</v>
      </c>
      <c r="G527" s="558">
        <v>714</v>
      </c>
      <c r="H527" s="558" t="s">
        <v>1478</v>
      </c>
      <c r="I527" s="559" t="s">
        <v>1479</v>
      </c>
      <c r="J527" s="567" t="s">
        <v>1445</v>
      </c>
      <c r="K527" s="961" t="s">
        <v>1373</v>
      </c>
      <c r="L527" s="555" t="str">
        <f t="shared" ca="1" si="76"/>
        <v/>
      </c>
      <c r="M527" s="494" t="s">
        <v>1446</v>
      </c>
      <c r="N527" s="555" t="str">
        <f t="shared" ca="1" si="77"/>
        <v/>
      </c>
      <c r="O527" s="494" t="s">
        <v>1447</v>
      </c>
      <c r="P527" s="555" t="str">
        <f t="shared" ca="1" si="78"/>
        <v/>
      </c>
      <c r="Q527" s="494" t="s">
        <v>1448</v>
      </c>
      <c r="R527" s="494" t="str">
        <f t="shared" si="82"/>
        <v>H527</v>
      </c>
      <c r="S527" s="494" t="s">
        <v>1449</v>
      </c>
      <c r="T527" s="494">
        <v>10</v>
      </c>
      <c r="U527" s="556" t="str">
        <f t="shared" ca="1" si="83"/>
        <v/>
      </c>
      <c r="V527" s="494">
        <v>11</v>
      </c>
      <c r="W527" s="556" t="str">
        <f t="shared" ca="1" si="84"/>
        <v/>
      </c>
      <c r="X527" s="494" t="s">
        <v>1450</v>
      </c>
      <c r="Y527" s="547" t="str">
        <f t="shared" ca="1" si="79"/>
        <v/>
      </c>
      <c r="Z527" s="494" t="s">
        <v>1451</v>
      </c>
      <c r="AA527" s="547" t="str">
        <f t="shared" ca="1" si="80"/>
        <v/>
      </c>
      <c r="AB527" s="494" t="s">
        <v>1452</v>
      </c>
      <c r="AC527" s="547" t="str">
        <f t="shared" ca="1" si="81"/>
        <v/>
      </c>
      <c r="AD527" s="557"/>
      <c r="AE527" s="958"/>
    </row>
    <row r="528" spans="1:31" ht="15" customHeight="1">
      <c r="A528" s="957">
        <v>63</v>
      </c>
      <c r="B528" s="566" t="s">
        <v>490</v>
      </c>
      <c r="C528" s="567" t="s">
        <v>1443</v>
      </c>
      <c r="D528" s="958">
        <v>1.1000000000000001</v>
      </c>
      <c r="E528" s="959" t="s">
        <v>335</v>
      </c>
      <c r="F528" s="558" t="s">
        <v>1455</v>
      </c>
      <c r="G528" s="558">
        <v>714</v>
      </c>
      <c r="H528" s="558" t="s">
        <v>1480</v>
      </c>
      <c r="I528" s="559" t="s">
        <v>1481</v>
      </c>
      <c r="J528" s="567" t="s">
        <v>1445</v>
      </c>
      <c r="K528" s="961" t="s">
        <v>1373</v>
      </c>
      <c r="L528" s="555" t="str">
        <f t="shared" ca="1" si="76"/>
        <v/>
      </c>
      <c r="M528" s="494" t="s">
        <v>1446</v>
      </c>
      <c r="N528" s="555" t="str">
        <f t="shared" ca="1" si="77"/>
        <v/>
      </c>
      <c r="O528" s="494" t="s">
        <v>1447</v>
      </c>
      <c r="P528" s="555" t="str">
        <f t="shared" ca="1" si="78"/>
        <v/>
      </c>
      <c r="Q528" s="494" t="s">
        <v>1448</v>
      </c>
      <c r="R528" s="494" t="str">
        <f t="shared" si="82"/>
        <v>H528</v>
      </c>
      <c r="S528" s="494" t="s">
        <v>1449</v>
      </c>
      <c r="T528" s="494">
        <v>10</v>
      </c>
      <c r="U528" s="556" t="str">
        <f t="shared" ca="1" si="83"/>
        <v/>
      </c>
      <c r="V528" s="494">
        <v>11</v>
      </c>
      <c r="W528" s="556" t="str">
        <f t="shared" ca="1" si="84"/>
        <v/>
      </c>
      <c r="X528" s="494" t="s">
        <v>1450</v>
      </c>
      <c r="Y528" s="547" t="str">
        <f t="shared" ca="1" si="79"/>
        <v/>
      </c>
      <c r="Z528" s="494" t="s">
        <v>1451</v>
      </c>
      <c r="AA528" s="547" t="str">
        <f t="shared" ca="1" si="80"/>
        <v/>
      </c>
      <c r="AB528" s="494" t="s">
        <v>1452</v>
      </c>
      <c r="AC528" s="547" t="str">
        <f t="shared" ca="1" si="81"/>
        <v/>
      </c>
      <c r="AD528" s="557"/>
      <c r="AE528" s="958"/>
    </row>
    <row r="529" spans="1:31" ht="15" customHeight="1">
      <c r="A529" s="957">
        <v>63</v>
      </c>
      <c r="B529" s="566" t="s">
        <v>490</v>
      </c>
      <c r="C529" s="567" t="s">
        <v>1443</v>
      </c>
      <c r="D529" s="958">
        <v>1.1000000000000001</v>
      </c>
      <c r="E529" s="959" t="s">
        <v>335</v>
      </c>
      <c r="F529" s="558" t="s">
        <v>1455</v>
      </c>
      <c r="G529" s="558">
        <v>714</v>
      </c>
      <c r="H529" s="558" t="s">
        <v>1482</v>
      </c>
      <c r="I529" s="559" t="s">
        <v>1483</v>
      </c>
      <c r="J529" s="567" t="s">
        <v>1445</v>
      </c>
      <c r="K529" s="961" t="s">
        <v>1373</v>
      </c>
      <c r="L529" s="555" t="str">
        <f t="shared" ca="1" si="76"/>
        <v/>
      </c>
      <c r="M529" s="494" t="s">
        <v>1446</v>
      </c>
      <c r="N529" s="555" t="str">
        <f t="shared" ca="1" si="77"/>
        <v/>
      </c>
      <c r="O529" s="494" t="s">
        <v>1447</v>
      </c>
      <c r="P529" s="555" t="str">
        <f t="shared" ca="1" si="78"/>
        <v/>
      </c>
      <c r="Q529" s="494" t="s">
        <v>1448</v>
      </c>
      <c r="R529" s="494" t="str">
        <f t="shared" si="82"/>
        <v>H529</v>
      </c>
      <c r="S529" s="494" t="s">
        <v>1449</v>
      </c>
      <c r="T529" s="494">
        <v>10</v>
      </c>
      <c r="U529" s="556" t="str">
        <f t="shared" ca="1" si="83"/>
        <v/>
      </c>
      <c r="V529" s="494">
        <v>11</v>
      </c>
      <c r="W529" s="556" t="str">
        <f t="shared" ca="1" si="84"/>
        <v/>
      </c>
      <c r="X529" s="494" t="s">
        <v>1450</v>
      </c>
      <c r="Y529" s="547" t="str">
        <f t="shared" ca="1" si="79"/>
        <v/>
      </c>
      <c r="Z529" s="494" t="s">
        <v>1451</v>
      </c>
      <c r="AA529" s="547" t="str">
        <f t="shared" ca="1" si="80"/>
        <v/>
      </c>
      <c r="AB529" s="494" t="s">
        <v>1452</v>
      </c>
      <c r="AC529" s="547" t="str">
        <f t="shared" ca="1" si="81"/>
        <v/>
      </c>
      <c r="AD529" s="557"/>
      <c r="AE529" s="958"/>
    </row>
    <row r="530" spans="1:31" ht="15" customHeight="1">
      <c r="A530" s="957">
        <v>63</v>
      </c>
      <c r="B530" s="566" t="s">
        <v>490</v>
      </c>
      <c r="C530" s="567" t="s">
        <v>1443</v>
      </c>
      <c r="D530" s="958">
        <v>1.1000000000000001</v>
      </c>
      <c r="E530" s="959" t="s">
        <v>335</v>
      </c>
      <c r="F530" s="558" t="s">
        <v>1455</v>
      </c>
      <c r="G530" s="558">
        <v>715</v>
      </c>
      <c r="H530" s="558" t="s">
        <v>341</v>
      </c>
      <c r="I530" s="559" t="s">
        <v>342</v>
      </c>
      <c r="J530" s="567" t="s">
        <v>1445</v>
      </c>
      <c r="K530" s="961" t="s">
        <v>1373</v>
      </c>
      <c r="L530" s="555" t="str">
        <f t="shared" ca="1" si="76"/>
        <v/>
      </c>
      <c r="M530" s="494" t="s">
        <v>1446</v>
      </c>
      <c r="N530" s="555" t="str">
        <f t="shared" ca="1" si="77"/>
        <v/>
      </c>
      <c r="O530" s="494" t="s">
        <v>1447</v>
      </c>
      <c r="P530" s="555" t="str">
        <f t="shared" ca="1" si="78"/>
        <v/>
      </c>
      <c r="Q530" s="494" t="s">
        <v>1448</v>
      </c>
      <c r="R530" s="494" t="str">
        <f t="shared" si="82"/>
        <v>H530</v>
      </c>
      <c r="S530" s="494" t="s">
        <v>1449</v>
      </c>
      <c r="T530" s="494">
        <v>10</v>
      </c>
      <c r="U530" s="556" t="str">
        <f t="shared" ca="1" si="83"/>
        <v/>
      </c>
      <c r="V530" s="494">
        <v>11</v>
      </c>
      <c r="W530" s="556" t="str">
        <f t="shared" ca="1" si="84"/>
        <v/>
      </c>
      <c r="X530" s="494" t="s">
        <v>1450</v>
      </c>
      <c r="Y530" s="547" t="str">
        <f t="shared" ca="1" si="79"/>
        <v/>
      </c>
      <c r="Z530" s="494" t="s">
        <v>1451</v>
      </c>
      <c r="AA530" s="547" t="str">
        <f t="shared" ca="1" si="80"/>
        <v/>
      </c>
      <c r="AB530" s="494" t="s">
        <v>1452</v>
      </c>
      <c r="AC530" s="547" t="str">
        <f t="shared" ca="1" si="81"/>
        <v/>
      </c>
      <c r="AD530" s="557"/>
      <c r="AE530" s="958"/>
    </row>
    <row r="531" spans="1:31" ht="15" customHeight="1">
      <c r="A531" s="957">
        <v>63</v>
      </c>
      <c r="B531" s="566" t="s">
        <v>490</v>
      </c>
      <c r="C531" s="567" t="s">
        <v>1443</v>
      </c>
      <c r="D531" s="958">
        <v>1.1000000000000001</v>
      </c>
      <c r="E531" s="959" t="s">
        <v>335</v>
      </c>
      <c r="F531" s="558" t="s">
        <v>1455</v>
      </c>
      <c r="G531" s="558">
        <v>715</v>
      </c>
      <c r="H531" s="558" t="s">
        <v>343</v>
      </c>
      <c r="I531" s="559" t="s">
        <v>505</v>
      </c>
      <c r="J531" s="567" t="s">
        <v>1445</v>
      </c>
      <c r="K531" s="961" t="s">
        <v>1373</v>
      </c>
      <c r="L531" s="555" t="str">
        <f t="shared" ca="1" si="76"/>
        <v/>
      </c>
      <c r="M531" s="494" t="s">
        <v>1446</v>
      </c>
      <c r="N531" s="555" t="str">
        <f t="shared" ca="1" si="77"/>
        <v/>
      </c>
      <c r="O531" s="494" t="s">
        <v>1447</v>
      </c>
      <c r="P531" s="555" t="str">
        <f t="shared" ca="1" si="78"/>
        <v/>
      </c>
      <c r="Q531" s="494" t="s">
        <v>1448</v>
      </c>
      <c r="R531" s="494" t="str">
        <f t="shared" si="82"/>
        <v>H531</v>
      </c>
      <c r="S531" s="494" t="s">
        <v>1449</v>
      </c>
      <c r="T531" s="494">
        <v>10</v>
      </c>
      <c r="U531" s="556" t="str">
        <f t="shared" ca="1" si="83"/>
        <v/>
      </c>
      <c r="V531" s="494">
        <v>11</v>
      </c>
      <c r="W531" s="556" t="str">
        <f t="shared" ca="1" si="84"/>
        <v/>
      </c>
      <c r="X531" s="494" t="s">
        <v>1450</v>
      </c>
      <c r="Y531" s="547" t="str">
        <f t="shared" ca="1" si="79"/>
        <v/>
      </c>
      <c r="Z531" s="494" t="s">
        <v>1451</v>
      </c>
      <c r="AA531" s="547" t="str">
        <f t="shared" ca="1" si="80"/>
        <v/>
      </c>
      <c r="AB531" s="494" t="s">
        <v>1452</v>
      </c>
      <c r="AC531" s="547" t="str">
        <f t="shared" ca="1" si="81"/>
        <v/>
      </c>
      <c r="AD531" s="557"/>
      <c r="AE531" s="958"/>
    </row>
    <row r="532" spans="1:31" ht="15" customHeight="1">
      <c r="A532" s="957">
        <v>63</v>
      </c>
      <c r="B532" s="566" t="s">
        <v>490</v>
      </c>
      <c r="C532" s="567" t="s">
        <v>1443</v>
      </c>
      <c r="D532" s="958">
        <v>1.1000000000000001</v>
      </c>
      <c r="E532" s="959" t="s">
        <v>345</v>
      </c>
      <c r="F532" s="558" t="s">
        <v>1484</v>
      </c>
      <c r="G532" s="558">
        <v>728</v>
      </c>
      <c r="H532" s="558" t="s">
        <v>1485</v>
      </c>
      <c r="I532" s="559" t="s">
        <v>265</v>
      </c>
      <c r="J532" s="567" t="s">
        <v>1445</v>
      </c>
      <c r="K532" s="961" t="s">
        <v>1373</v>
      </c>
      <c r="L532" s="555" t="str">
        <f t="shared" ca="1" si="76"/>
        <v/>
      </c>
      <c r="M532" s="494" t="s">
        <v>1446</v>
      </c>
      <c r="N532" s="555" t="str">
        <f t="shared" ca="1" si="77"/>
        <v/>
      </c>
      <c r="O532" s="494" t="s">
        <v>1447</v>
      </c>
      <c r="P532" s="555" t="str">
        <f t="shared" ca="1" si="78"/>
        <v/>
      </c>
      <c r="Q532" s="494" t="s">
        <v>1448</v>
      </c>
      <c r="R532" s="494" t="str">
        <f t="shared" si="82"/>
        <v>H532</v>
      </c>
      <c r="S532" s="494" t="s">
        <v>1449</v>
      </c>
      <c r="T532" s="494">
        <v>10</v>
      </c>
      <c r="U532" s="556" t="str">
        <f t="shared" ca="1" si="83"/>
        <v/>
      </c>
      <c r="V532" s="494">
        <v>11</v>
      </c>
      <c r="W532" s="556" t="str">
        <f t="shared" ca="1" si="84"/>
        <v/>
      </c>
      <c r="X532" s="494" t="s">
        <v>1450</v>
      </c>
      <c r="Y532" s="547" t="str">
        <f t="shared" ca="1" si="79"/>
        <v/>
      </c>
      <c r="Z532" s="494" t="s">
        <v>1451</v>
      </c>
      <c r="AA532" s="547" t="str">
        <f t="shared" ca="1" si="80"/>
        <v/>
      </c>
      <c r="AB532" s="494" t="s">
        <v>1452</v>
      </c>
      <c r="AC532" s="547" t="str">
        <f t="shared" ca="1" si="81"/>
        <v/>
      </c>
      <c r="AD532" s="557"/>
      <c r="AE532" s="958"/>
    </row>
    <row r="533" spans="1:31" ht="15" customHeight="1">
      <c r="A533" s="957">
        <v>63</v>
      </c>
      <c r="B533" s="566" t="s">
        <v>490</v>
      </c>
      <c r="C533" s="567" t="s">
        <v>1443</v>
      </c>
      <c r="D533" s="958">
        <v>1.1000000000000001</v>
      </c>
      <c r="E533" s="959" t="s">
        <v>345</v>
      </c>
      <c r="F533" s="558" t="s">
        <v>1484</v>
      </c>
      <c r="G533" s="558">
        <v>728</v>
      </c>
      <c r="H533" s="558" t="s">
        <v>467</v>
      </c>
      <c r="I533" s="559" t="s">
        <v>348</v>
      </c>
      <c r="J533" s="567" t="s">
        <v>1445</v>
      </c>
      <c r="K533" s="961" t="s">
        <v>1373</v>
      </c>
      <c r="L533" s="555" t="str">
        <f t="shared" ca="1" si="76"/>
        <v/>
      </c>
      <c r="M533" s="494" t="s">
        <v>1446</v>
      </c>
      <c r="N533" s="555" t="str">
        <f t="shared" ca="1" si="77"/>
        <v/>
      </c>
      <c r="O533" s="494" t="s">
        <v>1447</v>
      </c>
      <c r="P533" s="555" t="str">
        <f t="shared" ca="1" si="78"/>
        <v/>
      </c>
      <c r="Q533" s="494" t="s">
        <v>1448</v>
      </c>
      <c r="R533" s="494" t="str">
        <f t="shared" si="82"/>
        <v>H533</v>
      </c>
      <c r="S533" s="494" t="s">
        <v>1449</v>
      </c>
      <c r="T533" s="494">
        <v>10</v>
      </c>
      <c r="U533" s="556" t="str">
        <f t="shared" ca="1" si="83"/>
        <v/>
      </c>
      <c r="V533" s="494">
        <v>11</v>
      </c>
      <c r="W533" s="556" t="str">
        <f t="shared" ca="1" si="84"/>
        <v/>
      </c>
      <c r="X533" s="494" t="s">
        <v>1450</v>
      </c>
      <c r="Y533" s="547" t="str">
        <f t="shared" ca="1" si="79"/>
        <v/>
      </c>
      <c r="Z533" s="494" t="s">
        <v>1451</v>
      </c>
      <c r="AA533" s="547" t="str">
        <f t="shared" ca="1" si="80"/>
        <v/>
      </c>
      <c r="AB533" s="494" t="s">
        <v>1452</v>
      </c>
      <c r="AC533" s="547" t="str">
        <f t="shared" ca="1" si="81"/>
        <v/>
      </c>
      <c r="AD533" s="557"/>
      <c r="AE533" s="958"/>
    </row>
    <row r="534" spans="1:31" ht="15" customHeight="1">
      <c r="A534" s="957">
        <v>63</v>
      </c>
      <c r="B534" s="566" t="s">
        <v>490</v>
      </c>
      <c r="C534" s="567" t="s">
        <v>1443</v>
      </c>
      <c r="D534" s="958">
        <v>1.1000000000000001</v>
      </c>
      <c r="E534" s="959" t="s">
        <v>345</v>
      </c>
      <c r="F534" s="558" t="s">
        <v>1484</v>
      </c>
      <c r="G534" s="558">
        <v>728</v>
      </c>
      <c r="H534" s="558" t="s">
        <v>470</v>
      </c>
      <c r="I534" s="559" t="s">
        <v>349</v>
      </c>
      <c r="J534" s="567" t="s">
        <v>1445</v>
      </c>
      <c r="K534" s="961" t="s">
        <v>1373</v>
      </c>
      <c r="L534" s="555" t="str">
        <f t="shared" ca="1" si="76"/>
        <v/>
      </c>
      <c r="M534" s="494" t="s">
        <v>1446</v>
      </c>
      <c r="N534" s="555" t="str">
        <f t="shared" ca="1" si="77"/>
        <v/>
      </c>
      <c r="O534" s="494" t="s">
        <v>1447</v>
      </c>
      <c r="P534" s="555" t="str">
        <f t="shared" ca="1" si="78"/>
        <v/>
      </c>
      <c r="Q534" s="494" t="s">
        <v>1448</v>
      </c>
      <c r="R534" s="494" t="str">
        <f t="shared" si="82"/>
        <v>H534</v>
      </c>
      <c r="S534" s="494" t="s">
        <v>1449</v>
      </c>
      <c r="T534" s="494">
        <v>10</v>
      </c>
      <c r="U534" s="556" t="str">
        <f t="shared" ca="1" si="83"/>
        <v/>
      </c>
      <c r="V534" s="494">
        <v>11</v>
      </c>
      <c r="W534" s="556" t="str">
        <f t="shared" ca="1" si="84"/>
        <v/>
      </c>
      <c r="X534" s="494" t="s">
        <v>1450</v>
      </c>
      <c r="Y534" s="547" t="str">
        <f t="shared" ca="1" si="79"/>
        <v/>
      </c>
      <c r="Z534" s="494" t="s">
        <v>1451</v>
      </c>
      <c r="AA534" s="547" t="str">
        <f t="shared" ca="1" si="80"/>
        <v/>
      </c>
      <c r="AB534" s="494" t="s">
        <v>1452</v>
      </c>
      <c r="AC534" s="547" t="str">
        <f t="shared" ca="1" si="81"/>
        <v/>
      </c>
      <c r="AD534" s="557"/>
      <c r="AE534" s="958"/>
    </row>
    <row r="535" spans="1:31" ht="15" customHeight="1">
      <c r="A535" s="957">
        <v>63</v>
      </c>
      <c r="B535" s="566" t="s">
        <v>490</v>
      </c>
      <c r="C535" s="567" t="s">
        <v>1443</v>
      </c>
      <c r="D535" s="958">
        <v>1.1000000000000001</v>
      </c>
      <c r="E535" s="959" t="s">
        <v>345</v>
      </c>
      <c r="F535" s="558" t="s">
        <v>1484</v>
      </c>
      <c r="G535" s="558">
        <v>728</v>
      </c>
      <c r="H535" s="558" t="s">
        <v>472</v>
      </c>
      <c r="I535" s="559" t="s">
        <v>350</v>
      </c>
      <c r="J535" s="567" t="s">
        <v>1445</v>
      </c>
      <c r="K535" s="961" t="s">
        <v>1373</v>
      </c>
      <c r="L535" s="555" t="str">
        <f t="shared" ca="1" si="76"/>
        <v/>
      </c>
      <c r="M535" s="494" t="s">
        <v>1446</v>
      </c>
      <c r="N535" s="555" t="str">
        <f t="shared" ca="1" si="77"/>
        <v/>
      </c>
      <c r="O535" s="494" t="s">
        <v>1447</v>
      </c>
      <c r="P535" s="555" t="str">
        <f t="shared" ca="1" si="78"/>
        <v/>
      </c>
      <c r="Q535" s="494" t="s">
        <v>1448</v>
      </c>
      <c r="R535" s="494" t="str">
        <f t="shared" si="82"/>
        <v>H535</v>
      </c>
      <c r="S535" s="494" t="s">
        <v>1449</v>
      </c>
      <c r="T535" s="494">
        <v>10</v>
      </c>
      <c r="U535" s="556" t="str">
        <f t="shared" ca="1" si="83"/>
        <v/>
      </c>
      <c r="V535" s="494">
        <v>11</v>
      </c>
      <c r="W535" s="556" t="str">
        <f t="shared" ca="1" si="84"/>
        <v/>
      </c>
      <c r="X535" s="494" t="s">
        <v>1450</v>
      </c>
      <c r="Y535" s="547" t="str">
        <f t="shared" ca="1" si="79"/>
        <v/>
      </c>
      <c r="Z535" s="494" t="s">
        <v>1451</v>
      </c>
      <c r="AA535" s="547" t="str">
        <f t="shared" ca="1" si="80"/>
        <v/>
      </c>
      <c r="AB535" s="494" t="s">
        <v>1452</v>
      </c>
      <c r="AC535" s="547" t="str">
        <f t="shared" ca="1" si="81"/>
        <v/>
      </c>
      <c r="AD535" s="557"/>
      <c r="AE535" s="958"/>
    </row>
    <row r="536" spans="1:31" ht="15" customHeight="1">
      <c r="A536" s="957">
        <v>63</v>
      </c>
      <c r="B536" s="566" t="s">
        <v>490</v>
      </c>
      <c r="C536" s="567" t="s">
        <v>1443</v>
      </c>
      <c r="D536" s="958">
        <v>1.1000000000000001</v>
      </c>
      <c r="E536" s="959" t="s">
        <v>345</v>
      </c>
      <c r="F536" s="558" t="s">
        <v>1484</v>
      </c>
      <c r="G536" s="558">
        <v>728</v>
      </c>
      <c r="H536" s="558" t="s">
        <v>474</v>
      </c>
      <c r="I536" s="559" t="s">
        <v>351</v>
      </c>
      <c r="J536" s="567" t="s">
        <v>1445</v>
      </c>
      <c r="K536" s="961" t="s">
        <v>1373</v>
      </c>
      <c r="L536" s="555" t="str">
        <f t="shared" ca="1" si="76"/>
        <v/>
      </c>
      <c r="M536" s="494" t="s">
        <v>1446</v>
      </c>
      <c r="N536" s="555" t="str">
        <f t="shared" ca="1" si="77"/>
        <v/>
      </c>
      <c r="O536" s="494" t="s">
        <v>1447</v>
      </c>
      <c r="P536" s="555" t="str">
        <f t="shared" ca="1" si="78"/>
        <v/>
      </c>
      <c r="Q536" s="494" t="s">
        <v>1448</v>
      </c>
      <c r="R536" s="494" t="str">
        <f t="shared" si="82"/>
        <v>H536</v>
      </c>
      <c r="S536" s="494" t="s">
        <v>1449</v>
      </c>
      <c r="T536" s="494">
        <v>10</v>
      </c>
      <c r="U536" s="556" t="str">
        <f t="shared" ca="1" si="83"/>
        <v/>
      </c>
      <c r="V536" s="494">
        <v>11</v>
      </c>
      <c r="W536" s="556" t="str">
        <f t="shared" ca="1" si="84"/>
        <v/>
      </c>
      <c r="X536" s="494" t="s">
        <v>1450</v>
      </c>
      <c r="Y536" s="547" t="str">
        <f t="shared" ca="1" si="79"/>
        <v/>
      </c>
      <c r="Z536" s="494" t="s">
        <v>1451</v>
      </c>
      <c r="AA536" s="547" t="str">
        <f t="shared" ca="1" si="80"/>
        <v/>
      </c>
      <c r="AB536" s="494" t="s">
        <v>1452</v>
      </c>
      <c r="AC536" s="547" t="str">
        <f t="shared" ca="1" si="81"/>
        <v/>
      </c>
      <c r="AD536" s="557"/>
      <c r="AE536" s="958"/>
    </row>
    <row r="537" spans="1:31" ht="15" customHeight="1">
      <c r="A537" s="957">
        <v>63</v>
      </c>
      <c r="B537" s="566" t="s">
        <v>490</v>
      </c>
      <c r="C537" s="567" t="s">
        <v>1443</v>
      </c>
      <c r="D537" s="958">
        <v>1.1000000000000001</v>
      </c>
      <c r="E537" s="959" t="s">
        <v>345</v>
      </c>
      <c r="F537" s="558" t="s">
        <v>1484</v>
      </c>
      <c r="G537" s="558">
        <v>728</v>
      </c>
      <c r="H537" s="558" t="s">
        <v>476</v>
      </c>
      <c r="I537" s="559" t="s">
        <v>352</v>
      </c>
      <c r="J537" s="567" t="s">
        <v>1445</v>
      </c>
      <c r="K537" s="961" t="s">
        <v>1373</v>
      </c>
      <c r="L537" s="555" t="str">
        <f t="shared" ca="1" si="76"/>
        <v/>
      </c>
      <c r="M537" s="494" t="s">
        <v>1446</v>
      </c>
      <c r="N537" s="555" t="str">
        <f t="shared" ca="1" si="77"/>
        <v/>
      </c>
      <c r="O537" s="494" t="s">
        <v>1447</v>
      </c>
      <c r="P537" s="555" t="str">
        <f t="shared" ca="1" si="78"/>
        <v/>
      </c>
      <c r="Q537" s="494" t="s">
        <v>1448</v>
      </c>
      <c r="R537" s="494" t="str">
        <f t="shared" si="82"/>
        <v>H537</v>
      </c>
      <c r="S537" s="494" t="s">
        <v>1449</v>
      </c>
      <c r="T537" s="494">
        <v>10</v>
      </c>
      <c r="U537" s="556" t="str">
        <f t="shared" ca="1" si="83"/>
        <v/>
      </c>
      <c r="V537" s="494">
        <v>11</v>
      </c>
      <c r="W537" s="556" t="str">
        <f t="shared" ca="1" si="84"/>
        <v/>
      </c>
      <c r="X537" s="494" t="s">
        <v>1450</v>
      </c>
      <c r="Y537" s="547" t="str">
        <f t="shared" ca="1" si="79"/>
        <v/>
      </c>
      <c r="Z537" s="494" t="s">
        <v>1451</v>
      </c>
      <c r="AA537" s="547" t="str">
        <f t="shared" ca="1" si="80"/>
        <v/>
      </c>
      <c r="AB537" s="494" t="s">
        <v>1452</v>
      </c>
      <c r="AC537" s="547" t="str">
        <f t="shared" ca="1" si="81"/>
        <v/>
      </c>
      <c r="AD537" s="557"/>
      <c r="AE537" s="958"/>
    </row>
    <row r="538" spans="1:31" ht="15" customHeight="1">
      <c r="A538" s="957">
        <v>63</v>
      </c>
      <c r="B538" s="566" t="s">
        <v>490</v>
      </c>
      <c r="C538" s="567" t="s">
        <v>1443</v>
      </c>
      <c r="D538" s="958">
        <v>1.1000000000000001</v>
      </c>
      <c r="E538" s="959" t="s">
        <v>353</v>
      </c>
      <c r="F538" s="558" t="s">
        <v>1486</v>
      </c>
      <c r="G538" s="558">
        <v>729</v>
      </c>
      <c r="H538" s="558" t="s">
        <v>1487</v>
      </c>
      <c r="I538" s="559" t="s">
        <v>356</v>
      </c>
      <c r="J538" s="567" t="s">
        <v>1445</v>
      </c>
      <c r="K538" s="961" t="s">
        <v>1373</v>
      </c>
      <c r="L538" s="555" t="str">
        <f t="shared" ca="1" si="76"/>
        <v/>
      </c>
      <c r="M538" s="494" t="s">
        <v>1446</v>
      </c>
      <c r="N538" s="555" t="str">
        <f t="shared" ca="1" si="77"/>
        <v/>
      </c>
      <c r="O538" s="494" t="s">
        <v>1447</v>
      </c>
      <c r="P538" s="555" t="str">
        <f t="shared" ca="1" si="78"/>
        <v/>
      </c>
      <c r="Q538" s="494" t="s">
        <v>1448</v>
      </c>
      <c r="R538" s="494" t="str">
        <f t="shared" si="82"/>
        <v>H538</v>
      </c>
      <c r="S538" s="494" t="s">
        <v>1449</v>
      </c>
      <c r="T538" s="494">
        <v>10</v>
      </c>
      <c r="U538" s="556" t="str">
        <f t="shared" ca="1" si="83"/>
        <v/>
      </c>
      <c r="V538" s="494">
        <v>11</v>
      </c>
      <c r="W538" s="556" t="str">
        <f t="shared" ca="1" si="84"/>
        <v/>
      </c>
      <c r="X538" s="494" t="s">
        <v>1450</v>
      </c>
      <c r="Y538" s="547" t="str">
        <f t="shared" ca="1" si="79"/>
        <v/>
      </c>
      <c r="Z538" s="494" t="s">
        <v>1451</v>
      </c>
      <c r="AA538" s="547" t="str">
        <f t="shared" ca="1" si="80"/>
        <v/>
      </c>
      <c r="AB538" s="494" t="s">
        <v>1452</v>
      </c>
      <c r="AC538" s="547" t="str">
        <f t="shared" ca="1" si="81"/>
        <v/>
      </c>
      <c r="AD538" s="557"/>
      <c r="AE538" s="958"/>
    </row>
    <row r="539" spans="1:31" ht="15" customHeight="1">
      <c r="A539" s="957">
        <v>63</v>
      </c>
      <c r="B539" s="566" t="s">
        <v>490</v>
      </c>
      <c r="C539" s="567" t="s">
        <v>1443</v>
      </c>
      <c r="D539" s="958">
        <v>1.1000000000000001</v>
      </c>
      <c r="E539" s="959" t="s">
        <v>353</v>
      </c>
      <c r="F539" s="558" t="s">
        <v>1486</v>
      </c>
      <c r="G539" s="558">
        <v>729</v>
      </c>
      <c r="H539" s="558" t="s">
        <v>357</v>
      </c>
      <c r="I539" s="559" t="s">
        <v>358</v>
      </c>
      <c r="J539" s="567" t="s">
        <v>1445</v>
      </c>
      <c r="K539" s="961" t="s">
        <v>1373</v>
      </c>
      <c r="L539" s="555" t="str">
        <f t="shared" ca="1" si="76"/>
        <v/>
      </c>
      <c r="M539" s="494" t="s">
        <v>1446</v>
      </c>
      <c r="N539" s="555" t="str">
        <f t="shared" ca="1" si="77"/>
        <v/>
      </c>
      <c r="O539" s="494" t="s">
        <v>1447</v>
      </c>
      <c r="P539" s="555" t="str">
        <f t="shared" ca="1" si="78"/>
        <v/>
      </c>
      <c r="Q539" s="494" t="s">
        <v>1448</v>
      </c>
      <c r="R539" s="494" t="str">
        <f t="shared" si="82"/>
        <v>H539</v>
      </c>
      <c r="S539" s="494" t="s">
        <v>1449</v>
      </c>
      <c r="T539" s="494">
        <v>10</v>
      </c>
      <c r="U539" s="556" t="str">
        <f t="shared" ca="1" si="83"/>
        <v/>
      </c>
      <c r="V539" s="494">
        <v>11</v>
      </c>
      <c r="W539" s="556" t="str">
        <f t="shared" ca="1" si="84"/>
        <v/>
      </c>
      <c r="X539" s="494" t="s">
        <v>1450</v>
      </c>
      <c r="Y539" s="547" t="str">
        <f t="shared" ca="1" si="79"/>
        <v/>
      </c>
      <c r="Z539" s="494" t="s">
        <v>1451</v>
      </c>
      <c r="AA539" s="547" t="str">
        <f t="shared" ca="1" si="80"/>
        <v/>
      </c>
      <c r="AB539" s="494" t="s">
        <v>1452</v>
      </c>
      <c r="AC539" s="547" t="str">
        <f t="shared" ca="1" si="81"/>
        <v/>
      </c>
      <c r="AD539" s="557"/>
      <c r="AE539" s="958"/>
    </row>
    <row r="540" spans="1:31" ht="15" customHeight="1">
      <c r="A540" s="957">
        <v>63</v>
      </c>
      <c r="B540" s="566" t="s">
        <v>490</v>
      </c>
      <c r="C540" s="567" t="s">
        <v>1443</v>
      </c>
      <c r="D540" s="958">
        <v>1.1000000000000001</v>
      </c>
      <c r="E540" s="959" t="s">
        <v>353</v>
      </c>
      <c r="F540" s="558" t="s">
        <v>1486</v>
      </c>
      <c r="G540" s="558">
        <v>729</v>
      </c>
      <c r="H540" s="558" t="s">
        <v>359</v>
      </c>
      <c r="I540" s="559" t="s">
        <v>360</v>
      </c>
      <c r="J540" s="567" t="s">
        <v>1445</v>
      </c>
      <c r="K540" s="961" t="s">
        <v>1373</v>
      </c>
      <c r="L540" s="555" t="str">
        <f t="shared" ca="1" si="76"/>
        <v/>
      </c>
      <c r="M540" s="494" t="s">
        <v>1446</v>
      </c>
      <c r="N540" s="555" t="str">
        <f t="shared" ca="1" si="77"/>
        <v/>
      </c>
      <c r="O540" s="494" t="s">
        <v>1447</v>
      </c>
      <c r="P540" s="555" t="str">
        <f t="shared" ca="1" si="78"/>
        <v/>
      </c>
      <c r="Q540" s="494" t="s">
        <v>1448</v>
      </c>
      <c r="R540" s="494" t="str">
        <f t="shared" si="82"/>
        <v>H540</v>
      </c>
      <c r="S540" s="494" t="s">
        <v>1449</v>
      </c>
      <c r="T540" s="494">
        <v>10</v>
      </c>
      <c r="U540" s="556" t="str">
        <f t="shared" ca="1" si="83"/>
        <v/>
      </c>
      <c r="V540" s="494">
        <v>11</v>
      </c>
      <c r="W540" s="556" t="str">
        <f t="shared" ca="1" si="84"/>
        <v/>
      </c>
      <c r="X540" s="494" t="s">
        <v>1450</v>
      </c>
      <c r="Y540" s="547" t="str">
        <f t="shared" ca="1" si="79"/>
        <v/>
      </c>
      <c r="Z540" s="494" t="s">
        <v>1451</v>
      </c>
      <c r="AA540" s="547" t="str">
        <f t="shared" ca="1" si="80"/>
        <v/>
      </c>
      <c r="AB540" s="494" t="s">
        <v>1452</v>
      </c>
      <c r="AC540" s="547" t="str">
        <f t="shared" ca="1" si="81"/>
        <v/>
      </c>
      <c r="AD540" s="557"/>
      <c r="AE540" s="958"/>
    </row>
    <row r="541" spans="1:31" ht="15" customHeight="1">
      <c r="A541" s="957">
        <v>63</v>
      </c>
      <c r="B541" s="566" t="s">
        <v>490</v>
      </c>
      <c r="C541" s="567" t="s">
        <v>1443</v>
      </c>
      <c r="D541" s="958">
        <v>1.1000000000000001</v>
      </c>
      <c r="E541" s="959" t="s">
        <v>353</v>
      </c>
      <c r="F541" s="558" t="s">
        <v>1486</v>
      </c>
      <c r="G541" s="558">
        <v>729</v>
      </c>
      <c r="H541" s="558" t="s">
        <v>361</v>
      </c>
      <c r="I541" s="559" t="s">
        <v>362</v>
      </c>
      <c r="J541" s="567" t="s">
        <v>1445</v>
      </c>
      <c r="K541" s="961" t="s">
        <v>1373</v>
      </c>
      <c r="L541" s="555" t="str">
        <f t="shared" ca="1" si="76"/>
        <v/>
      </c>
      <c r="M541" s="494" t="s">
        <v>1446</v>
      </c>
      <c r="N541" s="555" t="str">
        <f t="shared" ca="1" si="77"/>
        <v/>
      </c>
      <c r="O541" s="494" t="s">
        <v>1447</v>
      </c>
      <c r="P541" s="555" t="str">
        <f t="shared" ca="1" si="78"/>
        <v/>
      </c>
      <c r="Q541" s="494" t="s">
        <v>1448</v>
      </c>
      <c r="R541" s="494" t="str">
        <f t="shared" si="82"/>
        <v>H541</v>
      </c>
      <c r="S541" s="494" t="s">
        <v>1449</v>
      </c>
      <c r="T541" s="494">
        <v>10</v>
      </c>
      <c r="U541" s="556" t="str">
        <f t="shared" ca="1" si="83"/>
        <v/>
      </c>
      <c r="V541" s="494">
        <v>11</v>
      </c>
      <c r="W541" s="556" t="str">
        <f t="shared" ca="1" si="84"/>
        <v/>
      </c>
      <c r="X541" s="494" t="s">
        <v>1450</v>
      </c>
      <c r="Y541" s="547" t="str">
        <f t="shared" ca="1" si="79"/>
        <v/>
      </c>
      <c r="Z541" s="494" t="s">
        <v>1451</v>
      </c>
      <c r="AA541" s="547" t="str">
        <f t="shared" ca="1" si="80"/>
        <v/>
      </c>
      <c r="AB541" s="494" t="s">
        <v>1452</v>
      </c>
      <c r="AC541" s="547" t="str">
        <f t="shared" ca="1" si="81"/>
        <v/>
      </c>
      <c r="AD541" s="557"/>
      <c r="AE541" s="958"/>
    </row>
    <row r="542" spans="1:31" ht="15" customHeight="1">
      <c r="A542" s="957">
        <v>63</v>
      </c>
      <c r="B542" s="566" t="s">
        <v>490</v>
      </c>
      <c r="C542" s="567" t="s">
        <v>1443</v>
      </c>
      <c r="D542" s="958">
        <v>1.1000000000000001</v>
      </c>
      <c r="E542" s="959" t="s">
        <v>353</v>
      </c>
      <c r="F542" s="558" t="s">
        <v>1486</v>
      </c>
      <c r="G542" s="558">
        <v>729</v>
      </c>
      <c r="H542" s="558" t="s">
        <v>363</v>
      </c>
      <c r="I542" s="559" t="s">
        <v>364</v>
      </c>
      <c r="J542" s="567" t="s">
        <v>1445</v>
      </c>
      <c r="K542" s="961" t="s">
        <v>1373</v>
      </c>
      <c r="L542" s="555" t="str">
        <f t="shared" ca="1" si="76"/>
        <v/>
      </c>
      <c r="M542" s="494" t="s">
        <v>1446</v>
      </c>
      <c r="N542" s="555" t="str">
        <f t="shared" ca="1" si="77"/>
        <v/>
      </c>
      <c r="O542" s="494" t="s">
        <v>1447</v>
      </c>
      <c r="P542" s="555" t="str">
        <f t="shared" ca="1" si="78"/>
        <v/>
      </c>
      <c r="Q542" s="494" t="s">
        <v>1448</v>
      </c>
      <c r="R542" s="494" t="str">
        <f t="shared" si="82"/>
        <v>H542</v>
      </c>
      <c r="S542" s="494" t="s">
        <v>1449</v>
      </c>
      <c r="T542" s="494">
        <v>10</v>
      </c>
      <c r="U542" s="556" t="str">
        <f t="shared" ca="1" si="83"/>
        <v/>
      </c>
      <c r="V542" s="494">
        <v>11</v>
      </c>
      <c r="W542" s="556" t="str">
        <f t="shared" ca="1" si="84"/>
        <v/>
      </c>
      <c r="X542" s="494" t="s">
        <v>1450</v>
      </c>
      <c r="Y542" s="547" t="str">
        <f t="shared" ca="1" si="79"/>
        <v/>
      </c>
      <c r="Z542" s="494" t="s">
        <v>1451</v>
      </c>
      <c r="AA542" s="547" t="str">
        <f t="shared" ca="1" si="80"/>
        <v/>
      </c>
      <c r="AB542" s="494" t="s">
        <v>1452</v>
      </c>
      <c r="AC542" s="547" t="str">
        <f t="shared" ca="1" si="81"/>
        <v/>
      </c>
      <c r="AD542" s="557"/>
      <c r="AE542" s="958"/>
    </row>
    <row r="543" spans="1:31" ht="15" customHeight="1">
      <c r="A543" s="957">
        <v>63</v>
      </c>
      <c r="B543" s="566" t="s">
        <v>490</v>
      </c>
      <c r="C543" s="567" t="s">
        <v>1443</v>
      </c>
      <c r="D543" s="958">
        <v>1.1000000000000001</v>
      </c>
      <c r="E543" s="959" t="s">
        <v>353</v>
      </c>
      <c r="F543" s="558" t="s">
        <v>1486</v>
      </c>
      <c r="G543" s="558">
        <v>729</v>
      </c>
      <c r="H543" s="558" t="s">
        <v>365</v>
      </c>
      <c r="I543" s="559" t="s">
        <v>366</v>
      </c>
      <c r="J543" s="567" t="s">
        <v>1445</v>
      </c>
      <c r="K543" s="961" t="s">
        <v>1373</v>
      </c>
      <c r="L543" s="555" t="str">
        <f t="shared" ca="1" si="76"/>
        <v/>
      </c>
      <c r="M543" s="494" t="s">
        <v>1446</v>
      </c>
      <c r="N543" s="555" t="str">
        <f t="shared" ca="1" si="77"/>
        <v/>
      </c>
      <c r="O543" s="494" t="s">
        <v>1447</v>
      </c>
      <c r="P543" s="555" t="str">
        <f t="shared" ca="1" si="78"/>
        <v/>
      </c>
      <c r="Q543" s="494" t="s">
        <v>1448</v>
      </c>
      <c r="R543" s="494" t="str">
        <f t="shared" si="82"/>
        <v>H543</v>
      </c>
      <c r="S543" s="494" t="s">
        <v>1449</v>
      </c>
      <c r="T543" s="494">
        <v>10</v>
      </c>
      <c r="U543" s="556" t="str">
        <f t="shared" ca="1" si="83"/>
        <v/>
      </c>
      <c r="V543" s="494">
        <v>11</v>
      </c>
      <c r="W543" s="556" t="str">
        <f t="shared" ca="1" si="84"/>
        <v/>
      </c>
      <c r="X543" s="494" t="s">
        <v>1450</v>
      </c>
      <c r="Y543" s="547" t="str">
        <f t="shared" ca="1" si="79"/>
        <v/>
      </c>
      <c r="Z543" s="494" t="s">
        <v>1451</v>
      </c>
      <c r="AA543" s="547" t="str">
        <f t="shared" ca="1" si="80"/>
        <v/>
      </c>
      <c r="AB543" s="494" t="s">
        <v>1452</v>
      </c>
      <c r="AC543" s="547" t="str">
        <f t="shared" ca="1" si="81"/>
        <v/>
      </c>
      <c r="AD543" s="557"/>
      <c r="AE543" s="958"/>
    </row>
    <row r="544" spans="1:31" ht="15" customHeight="1">
      <c r="A544" s="957">
        <v>63</v>
      </c>
      <c r="B544" s="566" t="s">
        <v>490</v>
      </c>
      <c r="C544" s="567" t="s">
        <v>1443</v>
      </c>
      <c r="D544" s="958">
        <v>1.1000000000000001</v>
      </c>
      <c r="E544" s="959" t="s">
        <v>367</v>
      </c>
      <c r="F544" s="558" t="s">
        <v>1488</v>
      </c>
      <c r="G544" s="558">
        <v>730</v>
      </c>
      <c r="H544" s="558" t="s">
        <v>370</v>
      </c>
      <c r="I544" s="559" t="s">
        <v>371</v>
      </c>
      <c r="J544" s="567" t="s">
        <v>1445</v>
      </c>
      <c r="K544" s="961" t="s">
        <v>1373</v>
      </c>
      <c r="L544" s="555" t="str">
        <f t="shared" ca="1" si="76"/>
        <v/>
      </c>
      <c r="M544" s="494" t="s">
        <v>1446</v>
      </c>
      <c r="N544" s="555" t="str">
        <f t="shared" ca="1" si="77"/>
        <v/>
      </c>
      <c r="O544" s="494" t="s">
        <v>1447</v>
      </c>
      <c r="P544" s="555" t="str">
        <f t="shared" ca="1" si="78"/>
        <v/>
      </c>
      <c r="Q544" s="494" t="s">
        <v>1448</v>
      </c>
      <c r="R544" s="494" t="str">
        <f t="shared" si="82"/>
        <v>H544</v>
      </c>
      <c r="S544" s="494" t="s">
        <v>1449</v>
      </c>
      <c r="T544" s="494">
        <v>10</v>
      </c>
      <c r="U544" s="556" t="str">
        <f t="shared" ca="1" si="83"/>
        <v/>
      </c>
      <c r="V544" s="494">
        <v>11</v>
      </c>
      <c r="W544" s="556" t="str">
        <f t="shared" ca="1" si="84"/>
        <v/>
      </c>
      <c r="X544" s="494" t="s">
        <v>1450</v>
      </c>
      <c r="Y544" s="547" t="str">
        <f t="shared" ca="1" si="79"/>
        <v/>
      </c>
      <c r="Z544" s="494" t="s">
        <v>1451</v>
      </c>
      <c r="AA544" s="547" t="str">
        <f t="shared" ca="1" si="80"/>
        <v/>
      </c>
      <c r="AB544" s="494" t="s">
        <v>1452</v>
      </c>
      <c r="AC544" s="547" t="str">
        <f t="shared" ca="1" si="81"/>
        <v/>
      </c>
      <c r="AD544" s="557"/>
      <c r="AE544" s="958"/>
    </row>
    <row r="545" spans="1:31" ht="15" customHeight="1">
      <c r="A545" s="957">
        <v>63</v>
      </c>
      <c r="B545" s="566" t="s">
        <v>490</v>
      </c>
      <c r="C545" s="567" t="s">
        <v>1443</v>
      </c>
      <c r="D545" s="958">
        <v>1.1000000000000001</v>
      </c>
      <c r="E545" s="959" t="s">
        <v>367</v>
      </c>
      <c r="F545" s="558" t="s">
        <v>1488</v>
      </c>
      <c r="G545" s="558">
        <v>730</v>
      </c>
      <c r="H545" s="558" t="s">
        <v>373</v>
      </c>
      <c r="I545" s="559" t="s">
        <v>587</v>
      </c>
      <c r="J545" s="567" t="s">
        <v>1445</v>
      </c>
      <c r="K545" s="961" t="s">
        <v>1373</v>
      </c>
      <c r="L545" s="555" t="str">
        <f t="shared" ca="1" si="76"/>
        <v/>
      </c>
      <c r="M545" s="494" t="s">
        <v>1446</v>
      </c>
      <c r="N545" s="555" t="str">
        <f t="shared" ca="1" si="77"/>
        <v/>
      </c>
      <c r="O545" s="494" t="s">
        <v>1447</v>
      </c>
      <c r="P545" s="555" t="str">
        <f t="shared" ca="1" si="78"/>
        <v/>
      </c>
      <c r="Q545" s="494" t="s">
        <v>1448</v>
      </c>
      <c r="R545" s="494" t="str">
        <f t="shared" si="82"/>
        <v>H545</v>
      </c>
      <c r="S545" s="494" t="s">
        <v>1449</v>
      </c>
      <c r="T545" s="494">
        <v>10</v>
      </c>
      <c r="U545" s="556" t="str">
        <f t="shared" ca="1" si="83"/>
        <v/>
      </c>
      <c r="V545" s="494">
        <v>11</v>
      </c>
      <c r="W545" s="556" t="str">
        <f t="shared" ca="1" si="84"/>
        <v/>
      </c>
      <c r="X545" s="494" t="s">
        <v>1450</v>
      </c>
      <c r="Y545" s="547" t="str">
        <f t="shared" ca="1" si="79"/>
        <v/>
      </c>
      <c r="Z545" s="494" t="s">
        <v>1451</v>
      </c>
      <c r="AA545" s="547" t="str">
        <f t="shared" ca="1" si="80"/>
        <v/>
      </c>
      <c r="AB545" s="494" t="s">
        <v>1452</v>
      </c>
      <c r="AC545" s="547" t="str">
        <f t="shared" ca="1" si="81"/>
        <v/>
      </c>
      <c r="AD545" s="557"/>
      <c r="AE545" s="958"/>
    </row>
    <row r="546" spans="1:31" ht="15" customHeight="1">
      <c r="A546" s="957">
        <v>63</v>
      </c>
      <c r="B546" s="566" t="s">
        <v>490</v>
      </c>
      <c r="C546" s="567" t="s">
        <v>1443</v>
      </c>
      <c r="D546" s="958">
        <v>1.1000000000000001</v>
      </c>
      <c r="E546" s="959" t="s">
        <v>367</v>
      </c>
      <c r="F546" s="558" t="s">
        <v>1488</v>
      </c>
      <c r="G546" s="558">
        <v>730</v>
      </c>
      <c r="H546" s="558" t="s">
        <v>1489</v>
      </c>
      <c r="I546" s="559" t="s">
        <v>1490</v>
      </c>
      <c r="J546" s="567" t="s">
        <v>1445</v>
      </c>
      <c r="K546" s="961" t="s">
        <v>1373</v>
      </c>
      <c r="L546" s="555" t="str">
        <f t="shared" ca="1" si="76"/>
        <v/>
      </c>
      <c r="M546" s="494" t="s">
        <v>1446</v>
      </c>
      <c r="N546" s="555" t="str">
        <f t="shared" ca="1" si="77"/>
        <v/>
      </c>
      <c r="O546" s="494" t="s">
        <v>1447</v>
      </c>
      <c r="P546" s="555" t="str">
        <f t="shared" ca="1" si="78"/>
        <v/>
      </c>
      <c r="Q546" s="494" t="s">
        <v>1448</v>
      </c>
      <c r="R546" s="494" t="str">
        <f t="shared" ref="R546:R552" si="85">CONCATENATE("I",ROW(J546))</f>
        <v>I546</v>
      </c>
      <c r="S546" s="494" t="s">
        <v>1491</v>
      </c>
      <c r="T546" s="494">
        <v>10</v>
      </c>
      <c r="U546" s="556" t="str">
        <f t="shared" ca="1" si="83"/>
        <v/>
      </c>
      <c r="V546" s="494">
        <v>11</v>
      </c>
      <c r="W546" s="556" t="str">
        <f t="shared" ca="1" si="84"/>
        <v/>
      </c>
      <c r="X546" s="494" t="s">
        <v>1450</v>
      </c>
      <c r="Y546" s="547" t="str">
        <f t="shared" ca="1" si="79"/>
        <v/>
      </c>
      <c r="Z546" s="494" t="s">
        <v>1451</v>
      </c>
      <c r="AA546" s="547" t="str">
        <f t="shared" ca="1" si="80"/>
        <v/>
      </c>
      <c r="AB546" s="494" t="s">
        <v>1452</v>
      </c>
      <c r="AC546" s="547" t="str">
        <f t="shared" ca="1" si="81"/>
        <v/>
      </c>
      <c r="AD546" s="557"/>
      <c r="AE546" s="958"/>
    </row>
    <row r="547" spans="1:31" ht="15" customHeight="1">
      <c r="A547" s="957">
        <v>63</v>
      </c>
      <c r="B547" s="566" t="s">
        <v>490</v>
      </c>
      <c r="C547" s="567" t="s">
        <v>1443</v>
      </c>
      <c r="D547" s="958">
        <v>1.1000000000000001</v>
      </c>
      <c r="E547" s="959" t="s">
        <v>367</v>
      </c>
      <c r="F547" s="558" t="s">
        <v>1488</v>
      </c>
      <c r="G547" s="558">
        <v>730</v>
      </c>
      <c r="H547" s="558" t="s">
        <v>1492</v>
      </c>
      <c r="I547" s="559" t="s">
        <v>1493</v>
      </c>
      <c r="J547" s="567" t="s">
        <v>1445</v>
      </c>
      <c r="K547" s="961" t="s">
        <v>1373</v>
      </c>
      <c r="L547" s="555" t="str">
        <f t="shared" ca="1" si="76"/>
        <v/>
      </c>
      <c r="M547" s="494" t="s">
        <v>1446</v>
      </c>
      <c r="N547" s="555" t="str">
        <f t="shared" ca="1" si="77"/>
        <v/>
      </c>
      <c r="O547" s="494" t="s">
        <v>1447</v>
      </c>
      <c r="P547" s="555" t="str">
        <f t="shared" ca="1" si="78"/>
        <v/>
      </c>
      <c r="Q547" s="494" t="s">
        <v>1448</v>
      </c>
      <c r="R547" s="494" t="str">
        <f t="shared" si="85"/>
        <v>I547</v>
      </c>
      <c r="S547" s="494" t="s">
        <v>1491</v>
      </c>
      <c r="T547" s="494">
        <v>10</v>
      </c>
      <c r="U547" s="556" t="str">
        <f t="shared" ca="1" si="83"/>
        <v/>
      </c>
      <c r="V547" s="494">
        <v>11</v>
      </c>
      <c r="W547" s="556" t="str">
        <f t="shared" ca="1" si="84"/>
        <v/>
      </c>
      <c r="X547" s="494" t="s">
        <v>1450</v>
      </c>
      <c r="Y547" s="547" t="str">
        <f t="shared" ca="1" si="79"/>
        <v/>
      </c>
      <c r="Z547" s="494" t="s">
        <v>1451</v>
      </c>
      <c r="AA547" s="547" t="str">
        <f t="shared" ca="1" si="80"/>
        <v/>
      </c>
      <c r="AB547" s="494" t="s">
        <v>1452</v>
      </c>
      <c r="AC547" s="547" t="str">
        <f t="shared" ca="1" si="81"/>
        <v/>
      </c>
      <c r="AD547" s="557"/>
      <c r="AE547" s="958"/>
    </row>
    <row r="548" spans="1:31" ht="15" customHeight="1">
      <c r="A548" s="957">
        <v>63</v>
      </c>
      <c r="B548" s="566" t="s">
        <v>490</v>
      </c>
      <c r="C548" s="567" t="s">
        <v>1443</v>
      </c>
      <c r="D548" s="958">
        <v>1.1000000000000001</v>
      </c>
      <c r="E548" s="959" t="s">
        <v>367</v>
      </c>
      <c r="F548" s="558" t="s">
        <v>1488</v>
      </c>
      <c r="G548" s="558">
        <v>730</v>
      </c>
      <c r="H548" s="558" t="s">
        <v>1494</v>
      </c>
      <c r="I548" s="559" t="s">
        <v>1495</v>
      </c>
      <c r="J548" s="567" t="s">
        <v>1445</v>
      </c>
      <c r="K548" s="961" t="s">
        <v>1373</v>
      </c>
      <c r="L548" s="555" t="str">
        <f t="shared" ca="1" si="76"/>
        <v/>
      </c>
      <c r="M548" s="494" t="s">
        <v>1446</v>
      </c>
      <c r="N548" s="555" t="str">
        <f t="shared" ca="1" si="77"/>
        <v/>
      </c>
      <c r="O548" s="494" t="s">
        <v>1447</v>
      </c>
      <c r="P548" s="555" t="str">
        <f t="shared" ca="1" si="78"/>
        <v/>
      </c>
      <c r="Q548" s="494" t="s">
        <v>1448</v>
      </c>
      <c r="R548" s="494" t="str">
        <f t="shared" si="85"/>
        <v>I548</v>
      </c>
      <c r="S548" s="494" t="s">
        <v>1491</v>
      </c>
      <c r="T548" s="494">
        <v>10</v>
      </c>
      <c r="U548" s="556" t="str">
        <f t="shared" ca="1" si="83"/>
        <v/>
      </c>
      <c r="V548" s="494">
        <v>11</v>
      </c>
      <c r="W548" s="556" t="str">
        <f t="shared" ca="1" si="84"/>
        <v/>
      </c>
      <c r="X548" s="494" t="s">
        <v>1450</v>
      </c>
      <c r="Y548" s="547" t="str">
        <f t="shared" ca="1" si="79"/>
        <v/>
      </c>
      <c r="Z548" s="494" t="s">
        <v>1451</v>
      </c>
      <c r="AA548" s="547" t="str">
        <f t="shared" ca="1" si="80"/>
        <v/>
      </c>
      <c r="AB548" s="494" t="s">
        <v>1452</v>
      </c>
      <c r="AC548" s="547" t="str">
        <f t="shared" ca="1" si="81"/>
        <v/>
      </c>
      <c r="AD548" s="557"/>
      <c r="AE548" s="958"/>
    </row>
    <row r="549" spans="1:31" ht="15" customHeight="1">
      <c r="A549" s="957">
        <v>63</v>
      </c>
      <c r="B549" s="566" t="s">
        <v>490</v>
      </c>
      <c r="C549" s="567" t="s">
        <v>1443</v>
      </c>
      <c r="D549" s="958">
        <v>1.1000000000000001</v>
      </c>
      <c r="E549" s="959" t="s">
        <v>367</v>
      </c>
      <c r="F549" s="558" t="s">
        <v>1488</v>
      </c>
      <c r="G549" s="558">
        <v>730</v>
      </c>
      <c r="H549" s="558" t="s">
        <v>377</v>
      </c>
      <c r="I549" s="559" t="s">
        <v>508</v>
      </c>
      <c r="J549" s="567" t="s">
        <v>1445</v>
      </c>
      <c r="K549" s="961" t="s">
        <v>1373</v>
      </c>
      <c r="L549" s="555" t="str">
        <f t="shared" ca="1" si="76"/>
        <v/>
      </c>
      <c r="M549" s="494" t="s">
        <v>1446</v>
      </c>
      <c r="N549" s="555" t="str">
        <f t="shared" ca="1" si="77"/>
        <v/>
      </c>
      <c r="O549" s="494" t="s">
        <v>1447</v>
      </c>
      <c r="P549" s="555" t="str">
        <f t="shared" ca="1" si="78"/>
        <v/>
      </c>
      <c r="Q549" s="494" t="s">
        <v>1448</v>
      </c>
      <c r="R549" s="494" t="str">
        <f t="shared" si="85"/>
        <v>I549</v>
      </c>
      <c r="S549" s="494" t="s">
        <v>1491</v>
      </c>
      <c r="T549" s="494">
        <v>10</v>
      </c>
      <c r="U549" s="556" t="str">
        <f ca="1">_xlfn.IFNA(IF(AND($B549=INDIRECT(CONCATENATE($J549,$K549,5)),ISBLANK(INDEX(INDIRECT(CONCATENATE($J549,$Q549)),MATCH(INDIRECT($R549),INDIRECT(CONCATENATE($J549,$S549)),0),T549))=FALSE),INDEX(INDIRECT(CONCATENATE($J549,$Q549)),MATCH(INDIRECT($R549),INDIRECT(CONCATENATE($J549,$S549)),0),T549),""),"")</f>
        <v/>
      </c>
      <c r="V549" s="494">
        <v>11</v>
      </c>
      <c r="W549" s="556" t="str">
        <f ca="1">_xlfn.IFNA(IF(AND($B549=INDIRECT(CONCATENATE($J549,$K549,5)),ISBLANK(INDEX(INDIRECT(CONCATENATE($J549,$Q549)),MATCH(INDIRECT($R549),INDIRECT(CONCATENATE($J549,$S549)),0),V549))=FALSE),INDEX(INDIRECT(CONCATENATE($J549,$Q549)),MATCH(INDIRECT($R549),INDIRECT(CONCATENATE($J549,$S549)),0),V549),""),"")</f>
        <v/>
      </c>
      <c r="X549" s="494" t="s">
        <v>1450</v>
      </c>
      <c r="Y549" s="547" t="str">
        <f t="shared" ca="1" si="79"/>
        <v/>
      </c>
      <c r="Z549" s="494" t="s">
        <v>1451</v>
      </c>
      <c r="AA549" s="547" t="str">
        <f t="shared" ca="1" si="80"/>
        <v/>
      </c>
      <c r="AB549" s="494" t="s">
        <v>1452</v>
      </c>
      <c r="AC549" s="547" t="str">
        <f t="shared" ca="1" si="81"/>
        <v/>
      </c>
      <c r="AD549" s="557"/>
      <c r="AE549" s="958"/>
    </row>
    <row r="550" spans="1:31" ht="15" customHeight="1">
      <c r="A550" s="957">
        <v>63</v>
      </c>
      <c r="B550" s="566" t="s">
        <v>490</v>
      </c>
      <c r="C550" s="567" t="s">
        <v>1443</v>
      </c>
      <c r="D550" s="958">
        <v>1.1000000000000001</v>
      </c>
      <c r="E550" s="959" t="s">
        <v>367</v>
      </c>
      <c r="F550" s="558" t="s">
        <v>1488</v>
      </c>
      <c r="G550" s="558">
        <v>730</v>
      </c>
      <c r="H550" s="558" t="s">
        <v>377</v>
      </c>
      <c r="I550" s="559" t="s">
        <v>509</v>
      </c>
      <c r="J550" s="567" t="s">
        <v>1445</v>
      </c>
      <c r="K550" s="961" t="s">
        <v>1373</v>
      </c>
      <c r="L550" s="555" t="str">
        <f t="shared" ca="1" si="76"/>
        <v/>
      </c>
      <c r="M550" s="494" t="s">
        <v>1446</v>
      </c>
      <c r="N550" s="555" t="str">
        <f t="shared" ca="1" si="77"/>
        <v/>
      </c>
      <c r="O550" s="494" t="s">
        <v>1447</v>
      </c>
      <c r="P550" s="555" t="str">
        <f t="shared" ca="1" si="78"/>
        <v/>
      </c>
      <c r="Q550" s="494" t="s">
        <v>1448</v>
      </c>
      <c r="R550" s="494" t="str">
        <f t="shared" si="85"/>
        <v>I550</v>
      </c>
      <c r="S550" s="494" t="s">
        <v>1491</v>
      </c>
      <c r="T550" s="494">
        <v>10</v>
      </c>
      <c r="U550" s="556" t="str">
        <f ca="1">_xlfn.IFNA(IF(AND($B550=INDIRECT(CONCATENATE($J550,$K550,5)),ISBLANK(INDEX(INDIRECT(CONCATENATE($J550,$Q550)),MATCH(INDIRECT($R550),INDIRECT(CONCATENATE($J550,$S550)),0),T550))=FALSE),INDEX(INDIRECT(CONCATENATE($J550,$Q550)),MATCH(INDIRECT($R550),INDIRECT(CONCATENATE($J550,$S550)),0),T550),""),"")</f>
        <v/>
      </c>
      <c r="V550" s="494">
        <v>11</v>
      </c>
      <c r="W550" s="556" t="str">
        <f ca="1">_xlfn.IFNA(IF(AND($B550=INDIRECT(CONCATENATE($J550,$K550,5)),ISBLANK(INDEX(INDIRECT(CONCATENATE($J550,$Q550)),MATCH(INDIRECT($R550),INDIRECT(CONCATENATE($J550,$S550)),0),V550))=FALSE),INDEX(INDIRECT(CONCATENATE($J550,$Q550)),MATCH(INDIRECT($R550),INDIRECT(CONCATENATE($J550,$S550)),0),V550),""),"")</f>
        <v/>
      </c>
      <c r="X550" s="494" t="s">
        <v>1450</v>
      </c>
      <c r="Y550" s="547" t="str">
        <f t="shared" ca="1" si="79"/>
        <v/>
      </c>
      <c r="Z550" s="494" t="s">
        <v>1451</v>
      </c>
      <c r="AA550" s="547" t="str">
        <f t="shared" ca="1" si="80"/>
        <v/>
      </c>
      <c r="AB550" s="494" t="s">
        <v>1452</v>
      </c>
      <c r="AC550" s="547" t="str">
        <f t="shared" ca="1" si="81"/>
        <v/>
      </c>
      <c r="AD550" s="557"/>
      <c r="AE550" s="958"/>
    </row>
    <row r="551" spans="1:31" ht="15" customHeight="1">
      <c r="A551" s="957">
        <v>63</v>
      </c>
      <c r="B551" s="566" t="s">
        <v>490</v>
      </c>
      <c r="C551" s="567" t="s">
        <v>1443</v>
      </c>
      <c r="D551" s="958">
        <v>1.1000000000000001</v>
      </c>
      <c r="E551" s="959" t="s">
        <v>367</v>
      </c>
      <c r="F551" s="558" t="s">
        <v>1488</v>
      </c>
      <c r="G551" s="558">
        <v>730</v>
      </c>
      <c r="H551" s="558" t="s">
        <v>379</v>
      </c>
      <c r="I551" s="559" t="s">
        <v>1502</v>
      </c>
      <c r="J551" s="567" t="s">
        <v>1445</v>
      </c>
      <c r="K551" s="961" t="s">
        <v>1373</v>
      </c>
      <c r="L551" s="555" t="str">
        <f t="shared" ca="1" si="76"/>
        <v/>
      </c>
      <c r="M551" s="494" t="s">
        <v>1446</v>
      </c>
      <c r="N551" s="555" t="str">
        <f t="shared" ca="1" si="77"/>
        <v/>
      </c>
      <c r="O551" s="494" t="s">
        <v>1447</v>
      </c>
      <c r="P551" s="555" t="str">
        <f t="shared" ca="1" si="78"/>
        <v/>
      </c>
      <c r="Q551" s="494" t="s">
        <v>1448</v>
      </c>
      <c r="R551" s="494" t="str">
        <f t="shared" si="85"/>
        <v>I551</v>
      </c>
      <c r="S551" s="494" t="s">
        <v>1491</v>
      </c>
      <c r="T551" s="494">
        <v>10</v>
      </c>
      <c r="U551" s="556" t="str">
        <f t="shared" ref="U551:U582" ca="1" si="86">IF(AND($B551=INDIRECT(CONCATENATE($J551,$K551,5)),ISBLANK(INDEX(INDIRECT(CONCATENATE($J551,$Q551)),MATCH(INDIRECT($R551),INDIRECT(CONCATENATE($J551,$S551)),0),T551))=FALSE),INDEX(INDIRECT(CONCATENATE($J551,$Q551)),MATCH(INDIRECT($R551),INDIRECT(CONCATENATE($J551,$S551)),0),T551),"")</f>
        <v/>
      </c>
      <c r="V551" s="494">
        <v>11</v>
      </c>
      <c r="W551" s="556" t="str">
        <f t="shared" ref="W551:W582" ca="1" si="87">IF(AND($B551=INDIRECT(CONCATENATE($J551,$K551,5)),ISBLANK(INDEX(INDIRECT(CONCATENATE($J551,$Q551)),MATCH(INDIRECT($R551),INDIRECT(CONCATENATE($J551,$S551)),0),V551))=FALSE),INDEX(INDIRECT(CONCATENATE($J551,$Q551)),MATCH(INDIRECT($R551),INDIRECT(CONCATENATE($J551,$S551)),0),V551),"")</f>
        <v/>
      </c>
      <c r="X551" s="494" t="s">
        <v>1450</v>
      </c>
      <c r="Y551" s="547" t="str">
        <f t="shared" ca="1" si="79"/>
        <v/>
      </c>
      <c r="Z551" s="494" t="s">
        <v>1451</v>
      </c>
      <c r="AA551" s="547" t="str">
        <f t="shared" ca="1" si="80"/>
        <v/>
      </c>
      <c r="AB551" s="494" t="s">
        <v>1452</v>
      </c>
      <c r="AC551" s="547" t="str">
        <f t="shared" ca="1" si="81"/>
        <v/>
      </c>
      <c r="AD551" s="557"/>
      <c r="AE551" s="958"/>
    </row>
    <row r="552" spans="1:31" ht="15" customHeight="1">
      <c r="A552" s="957">
        <v>63</v>
      </c>
      <c r="B552" s="566" t="s">
        <v>490</v>
      </c>
      <c r="C552" s="567" t="s">
        <v>1443</v>
      </c>
      <c r="D552" s="958">
        <v>1.1000000000000001</v>
      </c>
      <c r="E552" s="959" t="s">
        <v>367</v>
      </c>
      <c r="F552" s="558" t="s">
        <v>1488</v>
      </c>
      <c r="G552" s="558">
        <v>730</v>
      </c>
      <c r="H552" s="558" t="s">
        <v>379</v>
      </c>
      <c r="I552" s="559" t="s">
        <v>1503</v>
      </c>
      <c r="J552" s="567" t="s">
        <v>1445</v>
      </c>
      <c r="K552" s="961" t="s">
        <v>1373</v>
      </c>
      <c r="L552" s="555" t="str">
        <f t="shared" ca="1" si="76"/>
        <v/>
      </c>
      <c r="M552" s="494" t="s">
        <v>1446</v>
      </c>
      <c r="N552" s="555" t="str">
        <f t="shared" ca="1" si="77"/>
        <v/>
      </c>
      <c r="O552" s="494" t="s">
        <v>1447</v>
      </c>
      <c r="P552" s="555" t="str">
        <f t="shared" ca="1" si="78"/>
        <v/>
      </c>
      <c r="Q552" s="494" t="s">
        <v>1448</v>
      </c>
      <c r="R552" s="494" t="str">
        <f t="shared" si="85"/>
        <v>I552</v>
      </c>
      <c r="S552" s="494" t="s">
        <v>1491</v>
      </c>
      <c r="T552" s="494">
        <v>10</v>
      </c>
      <c r="U552" s="556" t="str">
        <f t="shared" ca="1" si="86"/>
        <v/>
      </c>
      <c r="V552" s="494">
        <v>11</v>
      </c>
      <c r="W552" s="556" t="str">
        <f t="shared" ca="1" si="87"/>
        <v/>
      </c>
      <c r="X552" s="494" t="s">
        <v>1450</v>
      </c>
      <c r="Y552" s="547" t="str">
        <f t="shared" ca="1" si="79"/>
        <v/>
      </c>
      <c r="Z552" s="494" t="s">
        <v>1451</v>
      </c>
      <c r="AA552" s="547" t="str">
        <f t="shared" ca="1" si="80"/>
        <v/>
      </c>
      <c r="AB552" s="494" t="s">
        <v>1452</v>
      </c>
      <c r="AC552" s="547" t="str">
        <f t="shared" ca="1" si="81"/>
        <v/>
      </c>
      <c r="AD552" s="557"/>
      <c r="AE552" s="958"/>
    </row>
    <row r="553" spans="1:31" ht="15" customHeight="1">
      <c r="A553" s="957">
        <v>63</v>
      </c>
      <c r="B553" s="566" t="s">
        <v>490</v>
      </c>
      <c r="C553" s="567" t="s">
        <v>1443</v>
      </c>
      <c r="D553" s="958">
        <v>1.1000000000000001</v>
      </c>
      <c r="E553" s="959" t="s">
        <v>367</v>
      </c>
      <c r="F553" s="558" t="s">
        <v>1488</v>
      </c>
      <c r="G553" s="558">
        <v>731</v>
      </c>
      <c r="H553" s="558">
        <v>20.100000000000001</v>
      </c>
      <c r="I553" s="559" t="s">
        <v>385</v>
      </c>
      <c r="J553" s="567" t="s">
        <v>1445</v>
      </c>
      <c r="K553" s="961" t="s">
        <v>1373</v>
      </c>
      <c r="L553" s="555" t="str">
        <f t="shared" ca="1" si="76"/>
        <v/>
      </c>
      <c r="M553" s="494" t="s">
        <v>1446</v>
      </c>
      <c r="N553" s="555" t="str">
        <f t="shared" ca="1" si="77"/>
        <v/>
      </c>
      <c r="O553" s="494" t="s">
        <v>1447</v>
      </c>
      <c r="P553" s="555" t="str">
        <f t="shared" ca="1" si="78"/>
        <v/>
      </c>
      <c r="Q553" s="494" t="s">
        <v>1448</v>
      </c>
      <c r="R553" s="494" t="str">
        <f t="shared" si="82"/>
        <v>H553</v>
      </c>
      <c r="S553" s="494" t="s">
        <v>1449</v>
      </c>
      <c r="T553" s="494">
        <v>10</v>
      </c>
      <c r="U553" s="556" t="str">
        <f t="shared" ca="1" si="86"/>
        <v/>
      </c>
      <c r="V553" s="494">
        <v>11</v>
      </c>
      <c r="W553" s="556" t="str">
        <f t="shared" ca="1" si="87"/>
        <v/>
      </c>
      <c r="X553" s="494" t="s">
        <v>1450</v>
      </c>
      <c r="Y553" s="547" t="str">
        <f t="shared" ca="1" si="79"/>
        <v/>
      </c>
      <c r="Z553" s="494" t="s">
        <v>1451</v>
      </c>
      <c r="AA553" s="547" t="str">
        <f t="shared" ca="1" si="80"/>
        <v/>
      </c>
      <c r="AB553" s="494" t="s">
        <v>1452</v>
      </c>
      <c r="AC553" s="547" t="str">
        <f t="shared" ca="1" si="81"/>
        <v/>
      </c>
      <c r="AD553" s="557"/>
      <c r="AE553" s="958"/>
    </row>
    <row r="554" spans="1:31" ht="15" customHeight="1">
      <c r="A554" s="957">
        <v>63</v>
      </c>
      <c r="B554" s="566" t="s">
        <v>490</v>
      </c>
      <c r="C554" s="567" t="s">
        <v>1443</v>
      </c>
      <c r="D554" s="958">
        <v>1.1000000000000001</v>
      </c>
      <c r="E554" s="959" t="s">
        <v>367</v>
      </c>
      <c r="F554" s="558" t="s">
        <v>1488</v>
      </c>
      <c r="G554" s="558">
        <v>732</v>
      </c>
      <c r="H554" s="558">
        <v>20.2</v>
      </c>
      <c r="I554" s="559" t="s">
        <v>511</v>
      </c>
      <c r="J554" s="567" t="s">
        <v>1445</v>
      </c>
      <c r="K554" s="961" t="s">
        <v>1373</v>
      </c>
      <c r="L554" s="555" t="str">
        <f t="shared" ca="1" si="76"/>
        <v/>
      </c>
      <c r="M554" s="494" t="s">
        <v>1446</v>
      </c>
      <c r="N554" s="555" t="str">
        <f t="shared" ca="1" si="77"/>
        <v/>
      </c>
      <c r="O554" s="494" t="s">
        <v>1447</v>
      </c>
      <c r="P554" s="555" t="str">
        <f t="shared" ca="1" si="78"/>
        <v/>
      </c>
      <c r="Q554" s="494" t="s">
        <v>1448</v>
      </c>
      <c r="R554" s="494" t="str">
        <f t="shared" si="82"/>
        <v>H554</v>
      </c>
      <c r="S554" s="494" t="s">
        <v>1449</v>
      </c>
      <c r="T554" s="494">
        <v>10</v>
      </c>
      <c r="U554" s="556" t="str">
        <f t="shared" ca="1" si="86"/>
        <v/>
      </c>
      <c r="V554" s="494">
        <v>11</v>
      </c>
      <c r="W554" s="556" t="str">
        <f t="shared" ca="1" si="87"/>
        <v/>
      </c>
      <c r="X554" s="494" t="s">
        <v>1450</v>
      </c>
      <c r="Y554" s="547" t="str">
        <f t="shared" ca="1" si="79"/>
        <v/>
      </c>
      <c r="Z554" s="494" t="s">
        <v>1451</v>
      </c>
      <c r="AA554" s="547" t="str">
        <f t="shared" ca="1" si="80"/>
        <v/>
      </c>
      <c r="AB554" s="494" t="s">
        <v>1452</v>
      </c>
      <c r="AC554" s="547" t="str">
        <f t="shared" ca="1" si="81"/>
        <v/>
      </c>
      <c r="AD554" s="557"/>
      <c r="AE554" s="958"/>
    </row>
    <row r="555" spans="1:31" ht="15" customHeight="1">
      <c r="A555" s="957">
        <v>63</v>
      </c>
      <c r="B555" s="566" t="s">
        <v>490</v>
      </c>
      <c r="C555" s="567" t="s">
        <v>1443</v>
      </c>
      <c r="D555" s="958">
        <v>1.1000000000000001</v>
      </c>
      <c r="E555" s="959" t="s">
        <v>367</v>
      </c>
      <c r="F555" s="558" t="s">
        <v>1488</v>
      </c>
      <c r="G555" s="558">
        <v>812</v>
      </c>
      <c r="H555" s="558">
        <v>20.3</v>
      </c>
      <c r="I555" s="559" t="s">
        <v>387</v>
      </c>
      <c r="J555" s="567" t="s">
        <v>1445</v>
      </c>
      <c r="K555" s="961" t="s">
        <v>1373</v>
      </c>
      <c r="L555" s="555" t="str">
        <f t="shared" ca="1" si="76"/>
        <v/>
      </c>
      <c r="M555" s="494" t="s">
        <v>1446</v>
      </c>
      <c r="N555" s="555" t="str">
        <f t="shared" ca="1" si="77"/>
        <v/>
      </c>
      <c r="O555" s="494" t="s">
        <v>1447</v>
      </c>
      <c r="P555" s="555" t="str">
        <f t="shared" ca="1" si="78"/>
        <v/>
      </c>
      <c r="Q555" s="494" t="s">
        <v>1448</v>
      </c>
      <c r="R555" s="494" t="str">
        <f t="shared" si="82"/>
        <v>H555</v>
      </c>
      <c r="S555" s="494" t="s">
        <v>1449</v>
      </c>
      <c r="T555" s="494">
        <v>10</v>
      </c>
      <c r="U555" s="556" t="str">
        <f t="shared" ca="1" si="86"/>
        <v/>
      </c>
      <c r="V555" s="494">
        <v>11</v>
      </c>
      <c r="W555" s="556" t="str">
        <f t="shared" ca="1" si="87"/>
        <v/>
      </c>
      <c r="X555" s="494" t="s">
        <v>1450</v>
      </c>
      <c r="Y555" s="547" t="str">
        <f t="shared" ca="1" si="79"/>
        <v/>
      </c>
      <c r="Z555" s="494" t="s">
        <v>1451</v>
      </c>
      <c r="AA555" s="547" t="str">
        <f t="shared" ca="1" si="80"/>
        <v/>
      </c>
      <c r="AB555" s="494" t="s">
        <v>1452</v>
      </c>
      <c r="AC555" s="547" t="str">
        <f t="shared" ca="1" si="81"/>
        <v/>
      </c>
      <c r="AD555" s="557"/>
      <c r="AE555" s="958"/>
    </row>
    <row r="556" spans="1:31" ht="15" customHeight="1">
      <c r="A556" s="957">
        <v>63</v>
      </c>
      <c r="B556" s="566" t="s">
        <v>490</v>
      </c>
      <c r="C556" s="567" t="s">
        <v>1443</v>
      </c>
      <c r="D556" s="958">
        <v>1.1000000000000001</v>
      </c>
      <c r="E556" s="959" t="s">
        <v>367</v>
      </c>
      <c r="F556" s="558" t="s">
        <v>1488</v>
      </c>
      <c r="G556" s="558">
        <v>734</v>
      </c>
      <c r="H556" s="558">
        <v>21.1</v>
      </c>
      <c r="I556" s="559" t="s">
        <v>390</v>
      </c>
      <c r="J556" s="567" t="s">
        <v>1445</v>
      </c>
      <c r="K556" s="961" t="s">
        <v>1373</v>
      </c>
      <c r="L556" s="555" t="str">
        <f t="shared" ca="1" si="76"/>
        <v/>
      </c>
      <c r="M556" s="494" t="s">
        <v>1446</v>
      </c>
      <c r="N556" s="555" t="str">
        <f t="shared" ca="1" si="77"/>
        <v/>
      </c>
      <c r="O556" s="494" t="s">
        <v>1447</v>
      </c>
      <c r="P556" s="555" t="str">
        <f t="shared" ca="1" si="78"/>
        <v/>
      </c>
      <c r="Q556" s="494" t="s">
        <v>1448</v>
      </c>
      <c r="R556" s="494" t="str">
        <f t="shared" si="82"/>
        <v>H556</v>
      </c>
      <c r="S556" s="494" t="s">
        <v>1449</v>
      </c>
      <c r="T556" s="494">
        <v>10</v>
      </c>
      <c r="U556" s="556" t="str">
        <f t="shared" ca="1" si="86"/>
        <v/>
      </c>
      <c r="V556" s="494">
        <v>11</v>
      </c>
      <c r="W556" s="556" t="str">
        <f t="shared" ca="1" si="87"/>
        <v/>
      </c>
      <c r="X556" s="494" t="s">
        <v>1450</v>
      </c>
      <c r="Y556" s="547" t="str">
        <f t="shared" ca="1" si="79"/>
        <v/>
      </c>
      <c r="Z556" s="494" t="s">
        <v>1451</v>
      </c>
      <c r="AA556" s="547" t="str">
        <f t="shared" ca="1" si="80"/>
        <v/>
      </c>
      <c r="AB556" s="494" t="s">
        <v>1452</v>
      </c>
      <c r="AC556" s="547" t="str">
        <f t="shared" ca="1" si="81"/>
        <v/>
      </c>
      <c r="AD556" s="557"/>
      <c r="AE556" s="958"/>
    </row>
    <row r="557" spans="1:31" ht="15" customHeight="1">
      <c r="A557" s="957">
        <v>63</v>
      </c>
      <c r="B557" s="566" t="s">
        <v>490</v>
      </c>
      <c r="C557" s="567" t="s">
        <v>1443</v>
      </c>
      <c r="D557" s="958">
        <v>1.1000000000000001</v>
      </c>
      <c r="E557" s="959" t="s">
        <v>367</v>
      </c>
      <c r="F557" s="558" t="s">
        <v>1488</v>
      </c>
      <c r="G557" s="558">
        <v>735</v>
      </c>
      <c r="H557" s="558" t="s">
        <v>393</v>
      </c>
      <c r="I557" s="559" t="s">
        <v>394</v>
      </c>
      <c r="J557" s="567" t="s">
        <v>1445</v>
      </c>
      <c r="K557" s="961" t="s">
        <v>1373</v>
      </c>
      <c r="L557" s="555" t="str">
        <f t="shared" ca="1" si="76"/>
        <v/>
      </c>
      <c r="M557" s="494" t="s">
        <v>1446</v>
      </c>
      <c r="N557" s="555" t="str">
        <f t="shared" ca="1" si="77"/>
        <v/>
      </c>
      <c r="O557" s="494" t="s">
        <v>1447</v>
      </c>
      <c r="P557" s="555" t="str">
        <f t="shared" ca="1" si="78"/>
        <v/>
      </c>
      <c r="Q557" s="494" t="s">
        <v>1448</v>
      </c>
      <c r="R557" s="494" t="str">
        <f t="shared" si="82"/>
        <v>H557</v>
      </c>
      <c r="S557" s="494" t="s">
        <v>1449</v>
      </c>
      <c r="T557" s="494">
        <v>10</v>
      </c>
      <c r="U557" s="556" t="str">
        <f t="shared" ca="1" si="86"/>
        <v/>
      </c>
      <c r="V557" s="494">
        <v>11</v>
      </c>
      <c r="W557" s="556" t="str">
        <f t="shared" ca="1" si="87"/>
        <v/>
      </c>
      <c r="X557" s="494" t="s">
        <v>1450</v>
      </c>
      <c r="Y557" s="547" t="str">
        <f t="shared" ca="1" si="79"/>
        <v/>
      </c>
      <c r="Z557" s="494" t="s">
        <v>1451</v>
      </c>
      <c r="AA557" s="547" t="str">
        <f t="shared" ca="1" si="80"/>
        <v/>
      </c>
      <c r="AB557" s="494" t="s">
        <v>1452</v>
      </c>
      <c r="AC557" s="547" t="str">
        <f t="shared" ca="1" si="81"/>
        <v/>
      </c>
      <c r="AD557" s="557"/>
      <c r="AE557" s="958"/>
    </row>
    <row r="558" spans="1:31" ht="15" customHeight="1">
      <c r="A558" s="957">
        <v>63</v>
      </c>
      <c r="B558" s="566" t="s">
        <v>490</v>
      </c>
      <c r="C558" s="567" t="s">
        <v>1443</v>
      </c>
      <c r="D558" s="958">
        <v>1.1000000000000001</v>
      </c>
      <c r="E558" s="959" t="s">
        <v>367</v>
      </c>
      <c r="F558" s="558" t="s">
        <v>1488</v>
      </c>
      <c r="G558" s="558">
        <v>735</v>
      </c>
      <c r="H558" s="558" t="s">
        <v>395</v>
      </c>
      <c r="I558" s="559" t="s">
        <v>392</v>
      </c>
      <c r="J558" s="567" t="s">
        <v>1445</v>
      </c>
      <c r="K558" s="961" t="s">
        <v>1373</v>
      </c>
      <c r="L558" s="555" t="str">
        <f t="shared" ca="1" si="76"/>
        <v/>
      </c>
      <c r="M558" s="494" t="s">
        <v>1446</v>
      </c>
      <c r="N558" s="555" t="str">
        <f t="shared" ca="1" si="77"/>
        <v/>
      </c>
      <c r="O558" s="494" t="s">
        <v>1447</v>
      </c>
      <c r="P558" s="555" t="str">
        <f t="shared" ca="1" si="78"/>
        <v/>
      </c>
      <c r="Q558" s="494" t="s">
        <v>1448</v>
      </c>
      <c r="R558" s="494" t="str">
        <f t="shared" si="82"/>
        <v>H558</v>
      </c>
      <c r="S558" s="494" t="s">
        <v>1449</v>
      </c>
      <c r="T558" s="494">
        <v>10</v>
      </c>
      <c r="U558" s="556" t="str">
        <f t="shared" ca="1" si="86"/>
        <v/>
      </c>
      <c r="V558" s="494">
        <v>11</v>
      </c>
      <c r="W558" s="556" t="str">
        <f t="shared" ca="1" si="87"/>
        <v/>
      </c>
      <c r="X558" s="494" t="s">
        <v>1450</v>
      </c>
      <c r="Y558" s="547" t="str">
        <f t="shared" ca="1" si="79"/>
        <v/>
      </c>
      <c r="Z558" s="494" t="s">
        <v>1451</v>
      </c>
      <c r="AA558" s="547" t="str">
        <f t="shared" ca="1" si="80"/>
        <v/>
      </c>
      <c r="AB558" s="494" t="s">
        <v>1452</v>
      </c>
      <c r="AC558" s="547" t="str">
        <f t="shared" ca="1" si="81"/>
        <v/>
      </c>
      <c r="AD558" s="557"/>
      <c r="AE558" s="958"/>
    </row>
    <row r="559" spans="1:31" ht="15" customHeight="1">
      <c r="A559" s="957">
        <v>63</v>
      </c>
      <c r="B559" s="566" t="s">
        <v>490</v>
      </c>
      <c r="C559" s="567" t="s">
        <v>1443</v>
      </c>
      <c r="D559" s="958">
        <v>1.1000000000000001</v>
      </c>
      <c r="E559" s="959" t="s">
        <v>396</v>
      </c>
      <c r="F559" s="558" t="s">
        <v>1498</v>
      </c>
      <c r="G559" s="558">
        <v>445</v>
      </c>
      <c r="H559" s="558">
        <v>23</v>
      </c>
      <c r="I559" s="559" t="s">
        <v>513</v>
      </c>
      <c r="J559" s="567" t="s">
        <v>1445</v>
      </c>
      <c r="K559" s="961" t="s">
        <v>1373</v>
      </c>
      <c r="L559" s="555" t="str">
        <f t="shared" ca="1" si="76"/>
        <v/>
      </c>
      <c r="M559" s="494" t="s">
        <v>1446</v>
      </c>
      <c r="N559" s="555" t="str">
        <f t="shared" ca="1" si="77"/>
        <v/>
      </c>
      <c r="O559" s="494" t="s">
        <v>1447</v>
      </c>
      <c r="P559" s="555" t="str">
        <f t="shared" ca="1" si="78"/>
        <v/>
      </c>
      <c r="Q559" s="494" t="s">
        <v>1448</v>
      </c>
      <c r="R559" s="494" t="str">
        <f t="shared" si="82"/>
        <v>H559</v>
      </c>
      <c r="S559" s="494" t="s">
        <v>1449</v>
      </c>
      <c r="T559" s="494">
        <v>10</v>
      </c>
      <c r="U559" s="556" t="str">
        <f t="shared" ca="1" si="86"/>
        <v/>
      </c>
      <c r="V559" s="494">
        <v>11</v>
      </c>
      <c r="W559" s="556" t="str">
        <f t="shared" ca="1" si="87"/>
        <v/>
      </c>
      <c r="X559" s="494" t="s">
        <v>1450</v>
      </c>
      <c r="Y559" s="547" t="str">
        <f t="shared" ca="1" si="79"/>
        <v/>
      </c>
      <c r="Z559" s="494" t="s">
        <v>1451</v>
      </c>
      <c r="AA559" s="547" t="str">
        <f t="shared" ca="1" si="80"/>
        <v/>
      </c>
      <c r="AB559" s="494" t="s">
        <v>1452</v>
      </c>
      <c r="AC559" s="547" t="str">
        <f t="shared" ca="1" si="81"/>
        <v/>
      </c>
      <c r="AD559" s="557"/>
      <c r="AE559" s="958"/>
    </row>
    <row r="560" spans="1:31" ht="15" customHeight="1">
      <c r="A560" s="957">
        <v>63</v>
      </c>
      <c r="B560" s="566" t="s">
        <v>490</v>
      </c>
      <c r="C560" s="567" t="s">
        <v>1443</v>
      </c>
      <c r="D560" s="958">
        <v>1.1000000000000001</v>
      </c>
      <c r="E560" s="959" t="s">
        <v>396</v>
      </c>
      <c r="F560" s="558" t="s">
        <v>1498</v>
      </c>
      <c r="G560" s="558">
        <v>446</v>
      </c>
      <c r="H560" s="558">
        <v>23.1</v>
      </c>
      <c r="I560" s="559" t="s">
        <v>397</v>
      </c>
      <c r="J560" s="567" t="s">
        <v>1445</v>
      </c>
      <c r="K560" s="961" t="s">
        <v>1373</v>
      </c>
      <c r="L560" s="555" t="str">
        <f t="shared" ca="1" si="76"/>
        <v/>
      </c>
      <c r="M560" s="494" t="s">
        <v>1446</v>
      </c>
      <c r="N560" s="555" t="str">
        <f t="shared" ca="1" si="77"/>
        <v/>
      </c>
      <c r="O560" s="494" t="s">
        <v>1447</v>
      </c>
      <c r="P560" s="555" t="str">
        <f t="shared" ca="1" si="78"/>
        <v/>
      </c>
      <c r="Q560" s="494" t="s">
        <v>1448</v>
      </c>
      <c r="R560" s="494" t="str">
        <f t="shared" si="82"/>
        <v>H560</v>
      </c>
      <c r="S560" s="494" t="s">
        <v>1449</v>
      </c>
      <c r="T560" s="494">
        <v>10</v>
      </c>
      <c r="U560" s="556" t="str">
        <f t="shared" ca="1" si="86"/>
        <v/>
      </c>
      <c r="V560" s="494">
        <v>11</v>
      </c>
      <c r="W560" s="556" t="str">
        <f t="shared" ca="1" si="87"/>
        <v/>
      </c>
      <c r="X560" s="494" t="s">
        <v>1450</v>
      </c>
      <c r="Y560" s="547" t="str">
        <f t="shared" ca="1" si="79"/>
        <v/>
      </c>
      <c r="Z560" s="494" t="s">
        <v>1451</v>
      </c>
      <c r="AA560" s="547" t="str">
        <f t="shared" ca="1" si="80"/>
        <v/>
      </c>
      <c r="AB560" s="494" t="s">
        <v>1452</v>
      </c>
      <c r="AC560" s="547" t="str">
        <f t="shared" ca="1" si="81"/>
        <v/>
      </c>
      <c r="AD560" s="557"/>
      <c r="AE560" s="958"/>
    </row>
    <row r="561" spans="1:31" ht="15" customHeight="1">
      <c r="A561" s="957">
        <v>63</v>
      </c>
      <c r="B561" s="566" t="s">
        <v>490</v>
      </c>
      <c r="C561" s="567" t="s">
        <v>1443</v>
      </c>
      <c r="D561" s="958">
        <v>1.1000000000000001</v>
      </c>
      <c r="E561" s="959" t="s">
        <v>396</v>
      </c>
      <c r="F561" s="558" t="s">
        <v>1498</v>
      </c>
      <c r="G561" s="558">
        <v>442</v>
      </c>
      <c r="H561" s="558">
        <v>24</v>
      </c>
      <c r="I561" s="559" t="s">
        <v>338</v>
      </c>
      <c r="J561" s="567" t="s">
        <v>1445</v>
      </c>
      <c r="K561" s="961" t="s">
        <v>1373</v>
      </c>
      <c r="L561" s="555" t="str">
        <f t="shared" ca="1" si="76"/>
        <v/>
      </c>
      <c r="M561" s="494" t="s">
        <v>1446</v>
      </c>
      <c r="N561" s="555" t="str">
        <f t="shared" ca="1" si="77"/>
        <v/>
      </c>
      <c r="O561" s="494" t="s">
        <v>1447</v>
      </c>
      <c r="P561" s="555" t="str">
        <f t="shared" ca="1" si="78"/>
        <v/>
      </c>
      <c r="Q561" s="494" t="s">
        <v>1448</v>
      </c>
      <c r="R561" s="494" t="str">
        <f t="shared" si="82"/>
        <v>H561</v>
      </c>
      <c r="S561" s="494" t="s">
        <v>1449</v>
      </c>
      <c r="T561" s="494">
        <v>10</v>
      </c>
      <c r="U561" s="556" t="str">
        <f t="shared" ca="1" si="86"/>
        <v/>
      </c>
      <c r="V561" s="494">
        <v>11</v>
      </c>
      <c r="W561" s="556" t="str">
        <f t="shared" ca="1" si="87"/>
        <v/>
      </c>
      <c r="X561" s="494" t="s">
        <v>1450</v>
      </c>
      <c r="Y561" s="547" t="str">
        <f t="shared" ca="1" si="79"/>
        <v/>
      </c>
      <c r="Z561" s="494" t="s">
        <v>1451</v>
      </c>
      <c r="AA561" s="547" t="str">
        <f t="shared" ca="1" si="80"/>
        <v/>
      </c>
      <c r="AB561" s="494" t="s">
        <v>1452</v>
      </c>
      <c r="AC561" s="547" t="str">
        <f t="shared" ca="1" si="81"/>
        <v/>
      </c>
      <c r="AD561" s="557"/>
      <c r="AE561" s="958"/>
    </row>
    <row r="562" spans="1:31" ht="15" customHeight="1">
      <c r="A562" s="957">
        <v>63</v>
      </c>
      <c r="B562" s="566" t="s">
        <v>490</v>
      </c>
      <c r="C562" s="567" t="s">
        <v>1443</v>
      </c>
      <c r="D562" s="958">
        <v>1.1000000000000001</v>
      </c>
      <c r="E562" s="959" t="s">
        <v>396</v>
      </c>
      <c r="F562" s="558" t="s">
        <v>1498</v>
      </c>
      <c r="G562" s="558">
        <v>443</v>
      </c>
      <c r="H562" s="558">
        <v>24.1</v>
      </c>
      <c r="I562" s="559" t="s">
        <v>402</v>
      </c>
      <c r="J562" s="567" t="s">
        <v>1445</v>
      </c>
      <c r="K562" s="961" t="s">
        <v>1373</v>
      </c>
      <c r="L562" s="555" t="str">
        <f t="shared" ca="1" si="76"/>
        <v/>
      </c>
      <c r="M562" s="494" t="s">
        <v>1446</v>
      </c>
      <c r="N562" s="555" t="str">
        <f t="shared" ca="1" si="77"/>
        <v/>
      </c>
      <c r="O562" s="494" t="s">
        <v>1447</v>
      </c>
      <c r="P562" s="555" t="str">
        <f t="shared" ca="1" si="78"/>
        <v/>
      </c>
      <c r="Q562" s="494" t="s">
        <v>1448</v>
      </c>
      <c r="R562" s="494" t="str">
        <f t="shared" si="82"/>
        <v>H562</v>
      </c>
      <c r="S562" s="494" t="s">
        <v>1449</v>
      </c>
      <c r="T562" s="494">
        <v>10</v>
      </c>
      <c r="U562" s="556" t="str">
        <f t="shared" ca="1" si="86"/>
        <v/>
      </c>
      <c r="V562" s="494">
        <v>11</v>
      </c>
      <c r="W562" s="556" t="str">
        <f t="shared" ca="1" si="87"/>
        <v/>
      </c>
      <c r="X562" s="494" t="s">
        <v>1450</v>
      </c>
      <c r="Y562" s="547" t="str">
        <f t="shared" ca="1" si="79"/>
        <v/>
      </c>
      <c r="Z562" s="494" t="s">
        <v>1451</v>
      </c>
      <c r="AA562" s="547" t="str">
        <f t="shared" ca="1" si="80"/>
        <v/>
      </c>
      <c r="AB562" s="494" t="s">
        <v>1452</v>
      </c>
      <c r="AC562" s="547" t="str">
        <f t="shared" ca="1" si="81"/>
        <v/>
      </c>
      <c r="AD562" s="557"/>
      <c r="AE562" s="958"/>
    </row>
    <row r="563" spans="1:31" ht="15" customHeight="1">
      <c r="A563" s="957">
        <v>63</v>
      </c>
      <c r="B563" s="566" t="s">
        <v>490</v>
      </c>
      <c r="C563" s="567" t="s">
        <v>1443</v>
      </c>
      <c r="D563" s="958">
        <v>1.1000000000000001</v>
      </c>
      <c r="E563" s="959" t="s">
        <v>396</v>
      </c>
      <c r="F563" s="558" t="s">
        <v>1498</v>
      </c>
      <c r="G563" s="558">
        <v>444</v>
      </c>
      <c r="H563" s="558">
        <v>24.2</v>
      </c>
      <c r="I563" s="559" t="s">
        <v>403</v>
      </c>
      <c r="J563" s="567" t="s">
        <v>1445</v>
      </c>
      <c r="K563" s="961" t="s">
        <v>1373</v>
      </c>
      <c r="L563" s="555" t="str">
        <f t="shared" ca="1" si="76"/>
        <v/>
      </c>
      <c r="M563" s="494" t="s">
        <v>1446</v>
      </c>
      <c r="N563" s="555" t="str">
        <f t="shared" ca="1" si="77"/>
        <v/>
      </c>
      <c r="O563" s="494" t="s">
        <v>1447</v>
      </c>
      <c r="P563" s="555" t="str">
        <f t="shared" ca="1" si="78"/>
        <v/>
      </c>
      <c r="Q563" s="494" t="s">
        <v>1448</v>
      </c>
      <c r="R563" s="494" t="str">
        <f t="shared" si="82"/>
        <v>H563</v>
      </c>
      <c r="S563" s="494" t="s">
        <v>1449</v>
      </c>
      <c r="T563" s="494">
        <v>10</v>
      </c>
      <c r="U563" s="556" t="str">
        <f t="shared" ca="1" si="86"/>
        <v/>
      </c>
      <c r="V563" s="494">
        <v>11</v>
      </c>
      <c r="W563" s="556" t="str">
        <f t="shared" ca="1" si="87"/>
        <v/>
      </c>
      <c r="X563" s="494" t="s">
        <v>1450</v>
      </c>
      <c r="Y563" s="547" t="str">
        <f t="shared" ca="1" si="79"/>
        <v/>
      </c>
      <c r="Z563" s="494" t="s">
        <v>1451</v>
      </c>
      <c r="AA563" s="547" t="str">
        <f t="shared" ca="1" si="80"/>
        <v/>
      </c>
      <c r="AB563" s="494" t="s">
        <v>1452</v>
      </c>
      <c r="AC563" s="547" t="str">
        <f t="shared" ca="1" si="81"/>
        <v/>
      </c>
      <c r="AD563" s="557"/>
      <c r="AE563" s="958"/>
    </row>
    <row r="564" spans="1:31" ht="15" customHeight="1">
      <c r="A564" s="957">
        <v>63</v>
      </c>
      <c r="B564" s="566" t="s">
        <v>490</v>
      </c>
      <c r="C564" s="567" t="s">
        <v>1443</v>
      </c>
      <c r="D564" s="958">
        <v>1.1000000000000001</v>
      </c>
      <c r="E564" s="959" t="s">
        <v>396</v>
      </c>
      <c r="F564" s="558" t="s">
        <v>1498</v>
      </c>
      <c r="G564" s="558">
        <v>447</v>
      </c>
      <c r="H564" s="558">
        <v>25</v>
      </c>
      <c r="I564" s="559" t="s">
        <v>517</v>
      </c>
      <c r="J564" s="567" t="s">
        <v>1445</v>
      </c>
      <c r="K564" s="961" t="s">
        <v>1373</v>
      </c>
      <c r="L564" s="555" t="str">
        <f t="shared" ca="1" si="76"/>
        <v/>
      </c>
      <c r="M564" s="494" t="s">
        <v>1446</v>
      </c>
      <c r="N564" s="555" t="str">
        <f t="shared" ca="1" si="77"/>
        <v/>
      </c>
      <c r="O564" s="494" t="s">
        <v>1447</v>
      </c>
      <c r="P564" s="555" t="str">
        <f t="shared" ca="1" si="78"/>
        <v/>
      </c>
      <c r="Q564" s="494" t="s">
        <v>1448</v>
      </c>
      <c r="R564" s="494" t="str">
        <f t="shared" si="82"/>
        <v>H564</v>
      </c>
      <c r="S564" s="494" t="s">
        <v>1449</v>
      </c>
      <c r="T564" s="494">
        <v>10</v>
      </c>
      <c r="U564" s="556" t="str">
        <f t="shared" ca="1" si="86"/>
        <v/>
      </c>
      <c r="V564" s="494">
        <v>11</v>
      </c>
      <c r="W564" s="556" t="str">
        <f t="shared" ca="1" si="87"/>
        <v/>
      </c>
      <c r="X564" s="494" t="s">
        <v>1450</v>
      </c>
      <c r="Y564" s="547" t="str">
        <f t="shared" ca="1" si="79"/>
        <v/>
      </c>
      <c r="Z564" s="494" t="s">
        <v>1451</v>
      </c>
      <c r="AA564" s="547" t="str">
        <f t="shared" ca="1" si="80"/>
        <v/>
      </c>
      <c r="AB564" s="494" t="s">
        <v>1452</v>
      </c>
      <c r="AC564" s="547" t="str">
        <f t="shared" ca="1" si="81"/>
        <v/>
      </c>
      <c r="AD564" s="557"/>
      <c r="AE564" s="958"/>
    </row>
    <row r="565" spans="1:31" ht="15" customHeight="1">
      <c r="A565" s="957">
        <v>63</v>
      </c>
      <c r="B565" s="566" t="s">
        <v>490</v>
      </c>
      <c r="C565" s="567" t="s">
        <v>1443</v>
      </c>
      <c r="D565" s="958">
        <v>1.1000000000000001</v>
      </c>
      <c r="E565" s="959" t="s">
        <v>404</v>
      </c>
      <c r="F565" s="558" t="s">
        <v>1499</v>
      </c>
      <c r="G565" s="558">
        <v>448</v>
      </c>
      <c r="H565" s="558">
        <v>26.1</v>
      </c>
      <c r="I565" s="559" t="s">
        <v>1420</v>
      </c>
      <c r="J565" s="567" t="s">
        <v>1445</v>
      </c>
      <c r="K565" s="961" t="s">
        <v>1373</v>
      </c>
      <c r="L565" s="555" t="str">
        <f t="shared" ca="1" si="76"/>
        <v/>
      </c>
      <c r="M565" s="494" t="s">
        <v>1446</v>
      </c>
      <c r="N565" s="555" t="str">
        <f t="shared" ca="1" si="77"/>
        <v/>
      </c>
      <c r="O565" s="494" t="s">
        <v>1447</v>
      </c>
      <c r="P565" s="555" t="str">
        <f t="shared" ca="1" si="78"/>
        <v/>
      </c>
      <c r="Q565" s="494" t="s">
        <v>1448</v>
      </c>
      <c r="R565" s="494" t="str">
        <f t="shared" si="82"/>
        <v>H565</v>
      </c>
      <c r="S565" s="494" t="s">
        <v>1449</v>
      </c>
      <c r="T565" s="494">
        <v>10</v>
      </c>
      <c r="U565" s="556" t="str">
        <f t="shared" ca="1" si="86"/>
        <v/>
      </c>
      <c r="V565" s="494">
        <v>11</v>
      </c>
      <c r="W565" s="556" t="str">
        <f t="shared" ca="1" si="87"/>
        <v/>
      </c>
      <c r="X565" s="494" t="s">
        <v>1450</v>
      </c>
      <c r="Y565" s="547" t="str">
        <f t="shared" ca="1" si="79"/>
        <v/>
      </c>
      <c r="Z565" s="494" t="s">
        <v>1451</v>
      </c>
      <c r="AA565" s="547" t="str">
        <f t="shared" ca="1" si="80"/>
        <v/>
      </c>
      <c r="AB565" s="494" t="s">
        <v>1452</v>
      </c>
      <c r="AC565" s="547" t="str">
        <f t="shared" ca="1" si="81"/>
        <v/>
      </c>
      <c r="AD565" s="557"/>
      <c r="AE565" s="958"/>
    </row>
    <row r="566" spans="1:31" ht="15" customHeight="1">
      <c r="A566" s="957">
        <v>63</v>
      </c>
      <c r="B566" s="566" t="s">
        <v>490</v>
      </c>
      <c r="C566" s="567" t="s">
        <v>1443</v>
      </c>
      <c r="D566" s="958">
        <v>1.1000000000000001</v>
      </c>
      <c r="E566" s="959" t="s">
        <v>404</v>
      </c>
      <c r="F566" s="558" t="s">
        <v>1499</v>
      </c>
      <c r="G566" s="558">
        <v>449</v>
      </c>
      <c r="H566" s="558">
        <v>26.2</v>
      </c>
      <c r="I566" s="559" t="s">
        <v>1500</v>
      </c>
      <c r="J566" s="567" t="s">
        <v>1445</v>
      </c>
      <c r="K566" s="961" t="s">
        <v>1373</v>
      </c>
      <c r="L566" s="555" t="str">
        <f t="shared" ca="1" si="76"/>
        <v/>
      </c>
      <c r="M566" s="494" t="s">
        <v>1446</v>
      </c>
      <c r="N566" s="555" t="str">
        <f t="shared" ca="1" si="77"/>
        <v/>
      </c>
      <c r="O566" s="494" t="s">
        <v>1447</v>
      </c>
      <c r="P566" s="555" t="str">
        <f t="shared" ca="1" si="78"/>
        <v/>
      </c>
      <c r="Q566" s="494" t="s">
        <v>1448</v>
      </c>
      <c r="R566" s="494" t="str">
        <f t="shared" si="82"/>
        <v>H566</v>
      </c>
      <c r="S566" s="494" t="s">
        <v>1449</v>
      </c>
      <c r="T566" s="494">
        <v>10</v>
      </c>
      <c r="U566" s="556" t="str">
        <f t="shared" ca="1" si="86"/>
        <v/>
      </c>
      <c r="V566" s="494">
        <v>11</v>
      </c>
      <c r="W566" s="556" t="str">
        <f t="shared" ca="1" si="87"/>
        <v/>
      </c>
      <c r="X566" s="494" t="s">
        <v>1450</v>
      </c>
      <c r="Y566" s="547" t="str">
        <f t="shared" ca="1" si="79"/>
        <v/>
      </c>
      <c r="Z566" s="494" t="s">
        <v>1451</v>
      </c>
      <c r="AA566" s="547" t="str">
        <f t="shared" ca="1" si="80"/>
        <v/>
      </c>
      <c r="AB566" s="494" t="s">
        <v>1452</v>
      </c>
      <c r="AC566" s="547" t="str">
        <f t="shared" ca="1" si="81"/>
        <v/>
      </c>
      <c r="AD566" s="557"/>
      <c r="AE566" s="958"/>
    </row>
    <row r="567" spans="1:31" ht="15" customHeight="1">
      <c r="A567" s="957">
        <v>63</v>
      </c>
      <c r="B567" s="566" t="s">
        <v>490</v>
      </c>
      <c r="C567" s="567" t="s">
        <v>1443</v>
      </c>
      <c r="D567" s="958">
        <v>1.1000000000000001</v>
      </c>
      <c r="E567" s="959" t="s">
        <v>404</v>
      </c>
      <c r="F567" s="558" t="s">
        <v>1499</v>
      </c>
      <c r="G567" s="558">
        <v>736</v>
      </c>
      <c r="H567" s="558">
        <v>27</v>
      </c>
      <c r="I567" s="559" t="s">
        <v>411</v>
      </c>
      <c r="J567" s="567" t="s">
        <v>1445</v>
      </c>
      <c r="K567" s="961" t="s">
        <v>1373</v>
      </c>
      <c r="L567" s="555" t="str">
        <f t="shared" ca="1" si="76"/>
        <v/>
      </c>
      <c r="M567" s="494" t="s">
        <v>1446</v>
      </c>
      <c r="N567" s="555" t="str">
        <f t="shared" ca="1" si="77"/>
        <v/>
      </c>
      <c r="O567" s="494" t="s">
        <v>1447</v>
      </c>
      <c r="P567" s="555" t="str">
        <f t="shared" ca="1" si="78"/>
        <v/>
      </c>
      <c r="Q567" s="494" t="s">
        <v>1448</v>
      </c>
      <c r="R567" s="494" t="str">
        <f t="shared" si="82"/>
        <v>H567</v>
      </c>
      <c r="S567" s="494" t="s">
        <v>1449</v>
      </c>
      <c r="T567" s="494">
        <v>10</v>
      </c>
      <c r="U567" s="556" t="str">
        <f t="shared" ca="1" si="86"/>
        <v/>
      </c>
      <c r="V567" s="494">
        <v>11</v>
      </c>
      <c r="W567" s="556" t="str">
        <f t="shared" ca="1" si="87"/>
        <v/>
      </c>
      <c r="X567" s="494" t="s">
        <v>1450</v>
      </c>
      <c r="Y567" s="547" t="str">
        <f t="shared" ca="1" si="79"/>
        <v/>
      </c>
      <c r="Z567" s="494" t="s">
        <v>1451</v>
      </c>
      <c r="AA567" s="547" t="str">
        <f t="shared" ca="1" si="80"/>
        <v/>
      </c>
      <c r="AB567" s="494" t="s">
        <v>1452</v>
      </c>
      <c r="AC567" s="547" t="str">
        <f t="shared" ca="1" si="81"/>
        <v/>
      </c>
      <c r="AD567" s="557"/>
      <c r="AE567" s="958"/>
    </row>
    <row r="568" spans="1:31" ht="15" customHeight="1">
      <c r="A568" s="957">
        <v>63</v>
      </c>
      <c r="B568" s="566" t="s">
        <v>490</v>
      </c>
      <c r="C568" s="567" t="s">
        <v>1443</v>
      </c>
      <c r="D568" s="958">
        <v>1.1000000000000001</v>
      </c>
      <c r="E568" s="959" t="s">
        <v>404</v>
      </c>
      <c r="F568" s="558" t="s">
        <v>1499</v>
      </c>
      <c r="G568" s="558">
        <v>737</v>
      </c>
      <c r="H568" s="558">
        <v>27.1</v>
      </c>
      <c r="I568" s="559" t="s">
        <v>412</v>
      </c>
      <c r="J568" s="567" t="s">
        <v>1445</v>
      </c>
      <c r="K568" s="961" t="s">
        <v>1373</v>
      </c>
      <c r="L568" s="555" t="str">
        <f t="shared" ca="1" si="76"/>
        <v/>
      </c>
      <c r="M568" s="494" t="s">
        <v>1446</v>
      </c>
      <c r="N568" s="555" t="str">
        <f t="shared" ca="1" si="77"/>
        <v/>
      </c>
      <c r="O568" s="494" t="s">
        <v>1447</v>
      </c>
      <c r="P568" s="555" t="str">
        <f t="shared" ca="1" si="78"/>
        <v/>
      </c>
      <c r="Q568" s="494" t="s">
        <v>1448</v>
      </c>
      <c r="R568" s="494" t="str">
        <f t="shared" si="82"/>
        <v>H568</v>
      </c>
      <c r="S568" s="494" t="s">
        <v>1449</v>
      </c>
      <c r="T568" s="494">
        <v>10</v>
      </c>
      <c r="U568" s="556" t="str">
        <f t="shared" ca="1" si="86"/>
        <v/>
      </c>
      <c r="V568" s="494">
        <v>11</v>
      </c>
      <c r="W568" s="556" t="str">
        <f t="shared" ca="1" si="87"/>
        <v/>
      </c>
      <c r="X568" s="494" t="s">
        <v>1450</v>
      </c>
      <c r="Y568" s="547" t="str">
        <f t="shared" ca="1" si="79"/>
        <v/>
      </c>
      <c r="Z568" s="494" t="s">
        <v>1451</v>
      </c>
      <c r="AA568" s="547" t="str">
        <f t="shared" ca="1" si="80"/>
        <v/>
      </c>
      <c r="AB568" s="494" t="s">
        <v>1452</v>
      </c>
      <c r="AC568" s="547" t="str">
        <f t="shared" ca="1" si="81"/>
        <v/>
      </c>
      <c r="AD568" s="557"/>
      <c r="AE568" s="958"/>
    </row>
    <row r="569" spans="1:31" ht="15" customHeight="1">
      <c r="A569" s="957">
        <v>63</v>
      </c>
      <c r="B569" s="566" t="s">
        <v>490</v>
      </c>
      <c r="C569" s="567" t="s">
        <v>1443</v>
      </c>
      <c r="D569" s="958">
        <v>1.1000000000000001</v>
      </c>
      <c r="E569" s="959" t="s">
        <v>404</v>
      </c>
      <c r="F569" s="558" t="s">
        <v>1499</v>
      </c>
      <c r="G569" s="558">
        <v>453</v>
      </c>
      <c r="H569" s="558">
        <v>28</v>
      </c>
      <c r="I569" s="559" t="s">
        <v>415</v>
      </c>
      <c r="J569" s="567" t="s">
        <v>1445</v>
      </c>
      <c r="K569" s="961" t="s">
        <v>1373</v>
      </c>
      <c r="L569" s="555" t="str">
        <f t="shared" ca="1" si="76"/>
        <v/>
      </c>
      <c r="M569" s="494" t="s">
        <v>1446</v>
      </c>
      <c r="N569" s="555" t="str">
        <f t="shared" ca="1" si="77"/>
        <v/>
      </c>
      <c r="O569" s="494" t="s">
        <v>1447</v>
      </c>
      <c r="P569" s="555" t="str">
        <f t="shared" ca="1" si="78"/>
        <v/>
      </c>
      <c r="Q569" s="494" t="s">
        <v>1448</v>
      </c>
      <c r="R569" s="494" t="str">
        <f t="shared" si="82"/>
        <v>H569</v>
      </c>
      <c r="S569" s="494" t="s">
        <v>1449</v>
      </c>
      <c r="T569" s="494">
        <v>10</v>
      </c>
      <c r="U569" s="556" t="str">
        <f t="shared" ca="1" si="86"/>
        <v/>
      </c>
      <c r="V569" s="494">
        <v>11</v>
      </c>
      <c r="W569" s="556" t="str">
        <f t="shared" ca="1" si="87"/>
        <v/>
      </c>
      <c r="X569" s="494" t="s">
        <v>1450</v>
      </c>
      <c r="Y569" s="547" t="str">
        <f t="shared" ca="1" si="79"/>
        <v/>
      </c>
      <c r="Z569" s="494" t="s">
        <v>1451</v>
      </c>
      <c r="AA569" s="547" t="str">
        <f t="shared" ca="1" si="80"/>
        <v/>
      </c>
      <c r="AB569" s="494" t="s">
        <v>1452</v>
      </c>
      <c r="AC569" s="547" t="str">
        <f t="shared" ca="1" si="81"/>
        <v/>
      </c>
      <c r="AD569" s="557"/>
      <c r="AE569" s="958"/>
    </row>
    <row r="570" spans="1:31" ht="15" customHeight="1">
      <c r="A570" s="957">
        <v>63</v>
      </c>
      <c r="B570" s="566" t="s">
        <v>490</v>
      </c>
      <c r="C570" s="567" t="s">
        <v>1443</v>
      </c>
      <c r="D570" s="958">
        <v>1.1000000000000001</v>
      </c>
      <c r="E570" s="959" t="s">
        <v>404</v>
      </c>
      <c r="F570" s="558" t="s">
        <v>1499</v>
      </c>
      <c r="G570" s="558">
        <v>738</v>
      </c>
      <c r="H570" s="558">
        <v>29</v>
      </c>
      <c r="I570" s="559" t="s">
        <v>418</v>
      </c>
      <c r="J570" s="567" t="s">
        <v>1445</v>
      </c>
      <c r="K570" s="961" t="s">
        <v>1373</v>
      </c>
      <c r="L570" s="555" t="str">
        <f t="shared" ca="1" si="76"/>
        <v/>
      </c>
      <c r="M570" s="494" t="s">
        <v>1446</v>
      </c>
      <c r="N570" s="555" t="str">
        <f t="shared" ca="1" si="77"/>
        <v/>
      </c>
      <c r="O570" s="494" t="s">
        <v>1447</v>
      </c>
      <c r="P570" s="555" t="str">
        <f t="shared" ca="1" si="78"/>
        <v/>
      </c>
      <c r="Q570" s="494" t="s">
        <v>1448</v>
      </c>
      <c r="R570" s="494" t="str">
        <f t="shared" si="82"/>
        <v>H570</v>
      </c>
      <c r="S570" s="494" t="s">
        <v>1449</v>
      </c>
      <c r="T570" s="494">
        <v>10</v>
      </c>
      <c r="U570" s="556" t="str">
        <f t="shared" ca="1" si="86"/>
        <v/>
      </c>
      <c r="V570" s="494">
        <v>11</v>
      </c>
      <c r="W570" s="556" t="str">
        <f t="shared" ca="1" si="87"/>
        <v/>
      </c>
      <c r="X570" s="494" t="s">
        <v>1450</v>
      </c>
      <c r="Y570" s="547" t="str">
        <f t="shared" ca="1" si="79"/>
        <v/>
      </c>
      <c r="Z570" s="494" t="s">
        <v>1451</v>
      </c>
      <c r="AA570" s="547" t="str">
        <f t="shared" ca="1" si="80"/>
        <v/>
      </c>
      <c r="AB570" s="494" t="s">
        <v>1452</v>
      </c>
      <c r="AC570" s="547" t="str">
        <f t="shared" ca="1" si="81"/>
        <v/>
      </c>
      <c r="AD570" s="557"/>
      <c r="AE570" s="958"/>
    </row>
    <row r="571" spans="1:31" ht="15" customHeight="1">
      <c r="A571" s="957">
        <v>63</v>
      </c>
      <c r="B571" s="566" t="s">
        <v>490</v>
      </c>
      <c r="C571" s="567" t="s">
        <v>1443</v>
      </c>
      <c r="D571" s="958">
        <v>1.1000000000000001</v>
      </c>
      <c r="E571" s="959" t="s">
        <v>419</v>
      </c>
      <c r="F571" s="558" t="s">
        <v>1501</v>
      </c>
      <c r="G571" s="558">
        <v>739</v>
      </c>
      <c r="H571" s="558" t="s">
        <v>522</v>
      </c>
      <c r="I571" s="559" t="s">
        <v>420</v>
      </c>
      <c r="J571" s="567" t="s">
        <v>1445</v>
      </c>
      <c r="K571" s="961" t="s">
        <v>1373</v>
      </c>
      <c r="L571" s="555" t="str">
        <f t="shared" ca="1" si="76"/>
        <v/>
      </c>
      <c r="M571" s="494" t="s">
        <v>1446</v>
      </c>
      <c r="N571" s="555" t="str">
        <f t="shared" ca="1" si="77"/>
        <v/>
      </c>
      <c r="O571" s="494" t="s">
        <v>1447</v>
      </c>
      <c r="P571" s="555" t="str">
        <f t="shared" ca="1" si="78"/>
        <v/>
      </c>
      <c r="Q571" s="494" t="s">
        <v>1448</v>
      </c>
      <c r="R571" s="494" t="str">
        <f t="shared" si="82"/>
        <v>H571</v>
      </c>
      <c r="S571" s="494" t="s">
        <v>1449</v>
      </c>
      <c r="T571" s="494">
        <v>10</v>
      </c>
      <c r="U571" s="556" t="str">
        <f t="shared" ca="1" si="86"/>
        <v/>
      </c>
      <c r="V571" s="494">
        <v>11</v>
      </c>
      <c r="W571" s="556" t="str">
        <f t="shared" ca="1" si="87"/>
        <v/>
      </c>
      <c r="X571" s="494" t="s">
        <v>1450</v>
      </c>
      <c r="Y571" s="547" t="str">
        <f t="shared" ca="1" si="79"/>
        <v/>
      </c>
      <c r="Z571" s="494" t="s">
        <v>1451</v>
      </c>
      <c r="AA571" s="547" t="str">
        <f t="shared" ca="1" si="80"/>
        <v/>
      </c>
      <c r="AB571" s="494" t="s">
        <v>1452</v>
      </c>
      <c r="AC571" s="547" t="str">
        <f t="shared" ca="1" si="81"/>
        <v/>
      </c>
      <c r="AD571" s="557"/>
      <c r="AE571" s="958"/>
    </row>
    <row r="572" spans="1:31" ht="15" customHeight="1">
      <c r="A572" s="957">
        <v>63</v>
      </c>
      <c r="B572" s="566" t="s">
        <v>490</v>
      </c>
      <c r="C572" s="567" t="s">
        <v>1443</v>
      </c>
      <c r="D572" s="958">
        <v>1.1000000000000001</v>
      </c>
      <c r="E572" s="959" t="s">
        <v>419</v>
      </c>
      <c r="F572" s="558" t="s">
        <v>1501</v>
      </c>
      <c r="G572" s="558">
        <v>740</v>
      </c>
      <c r="H572" s="558" t="s">
        <v>524</v>
      </c>
      <c r="I572" s="559" t="s">
        <v>422</v>
      </c>
      <c r="J572" s="567" t="s">
        <v>1445</v>
      </c>
      <c r="K572" s="961" t="s">
        <v>1373</v>
      </c>
      <c r="L572" s="555" t="str">
        <f t="shared" ca="1" si="76"/>
        <v/>
      </c>
      <c r="M572" s="494" t="s">
        <v>1446</v>
      </c>
      <c r="N572" s="555" t="str">
        <f t="shared" ca="1" si="77"/>
        <v/>
      </c>
      <c r="O572" s="494" t="s">
        <v>1447</v>
      </c>
      <c r="P572" s="555" t="str">
        <f t="shared" ca="1" si="78"/>
        <v/>
      </c>
      <c r="Q572" s="494" t="s">
        <v>1448</v>
      </c>
      <c r="R572" s="494" t="str">
        <f t="shared" si="82"/>
        <v>H572</v>
      </c>
      <c r="S572" s="494" t="s">
        <v>1449</v>
      </c>
      <c r="T572" s="494">
        <v>10</v>
      </c>
      <c r="U572" s="556" t="str">
        <f t="shared" ca="1" si="86"/>
        <v/>
      </c>
      <c r="V572" s="494">
        <v>11</v>
      </c>
      <c r="W572" s="556" t="str">
        <f t="shared" ca="1" si="87"/>
        <v/>
      </c>
      <c r="X572" s="494" t="s">
        <v>1450</v>
      </c>
      <c r="Y572" s="547" t="str">
        <f t="shared" ca="1" si="79"/>
        <v/>
      </c>
      <c r="Z572" s="494" t="s">
        <v>1451</v>
      </c>
      <c r="AA572" s="547" t="str">
        <f t="shared" ca="1" si="80"/>
        <v/>
      </c>
      <c r="AB572" s="494" t="s">
        <v>1452</v>
      </c>
      <c r="AC572" s="547" t="str">
        <f t="shared" ca="1" si="81"/>
        <v/>
      </c>
      <c r="AD572" s="557"/>
      <c r="AE572" s="958"/>
    </row>
    <row r="573" spans="1:31" ht="15" customHeight="1">
      <c r="A573" s="957">
        <v>63</v>
      </c>
      <c r="B573" s="566" t="s">
        <v>490</v>
      </c>
      <c r="C573" s="567" t="s">
        <v>1443</v>
      </c>
      <c r="D573" s="958">
        <v>1.1000000000000001</v>
      </c>
      <c r="E573" s="959" t="s">
        <v>419</v>
      </c>
      <c r="F573" s="558" t="s">
        <v>1501</v>
      </c>
      <c r="G573" s="558">
        <v>741</v>
      </c>
      <c r="H573" s="558" t="s">
        <v>526</v>
      </c>
      <c r="I573" s="559" t="s">
        <v>424</v>
      </c>
      <c r="J573" s="567" t="s">
        <v>1445</v>
      </c>
      <c r="K573" s="961" t="s">
        <v>1373</v>
      </c>
      <c r="L573" s="555" t="str">
        <f t="shared" ca="1" si="76"/>
        <v/>
      </c>
      <c r="M573" s="494" t="s">
        <v>1446</v>
      </c>
      <c r="N573" s="555" t="str">
        <f t="shared" ca="1" si="77"/>
        <v/>
      </c>
      <c r="O573" s="494" t="s">
        <v>1447</v>
      </c>
      <c r="P573" s="555" t="str">
        <f t="shared" ca="1" si="78"/>
        <v/>
      </c>
      <c r="Q573" s="494" t="s">
        <v>1448</v>
      </c>
      <c r="R573" s="494" t="str">
        <f t="shared" si="82"/>
        <v>H573</v>
      </c>
      <c r="S573" s="494" t="s">
        <v>1449</v>
      </c>
      <c r="T573" s="494">
        <v>10</v>
      </c>
      <c r="U573" s="556" t="str">
        <f t="shared" ca="1" si="86"/>
        <v/>
      </c>
      <c r="V573" s="494">
        <v>11</v>
      </c>
      <c r="W573" s="556" t="str">
        <f t="shared" ca="1" si="87"/>
        <v/>
      </c>
      <c r="X573" s="494" t="s">
        <v>1450</v>
      </c>
      <c r="Y573" s="547" t="str">
        <f t="shared" ca="1" si="79"/>
        <v/>
      </c>
      <c r="Z573" s="494" t="s">
        <v>1451</v>
      </c>
      <c r="AA573" s="547" t="str">
        <f t="shared" ca="1" si="80"/>
        <v/>
      </c>
      <c r="AB573" s="494" t="s">
        <v>1452</v>
      </c>
      <c r="AC573" s="547" t="str">
        <f t="shared" ca="1" si="81"/>
        <v/>
      </c>
      <c r="AD573" s="557"/>
      <c r="AE573" s="958"/>
    </row>
    <row r="574" spans="1:31" ht="15" customHeight="1">
      <c r="A574" s="957">
        <v>63</v>
      </c>
      <c r="B574" s="566" t="s">
        <v>490</v>
      </c>
      <c r="C574" s="567" t="s">
        <v>1443</v>
      </c>
      <c r="D574" s="958">
        <v>1.1000000000000001</v>
      </c>
      <c r="E574" s="959" t="s">
        <v>419</v>
      </c>
      <c r="F574" s="558" t="s">
        <v>1501</v>
      </c>
      <c r="G574" s="558">
        <v>742</v>
      </c>
      <c r="H574" s="558" t="s">
        <v>528</v>
      </c>
      <c r="I574" s="559" t="s">
        <v>426</v>
      </c>
      <c r="J574" s="567" t="s">
        <v>1445</v>
      </c>
      <c r="K574" s="961" t="s">
        <v>1373</v>
      </c>
      <c r="L574" s="555" t="str">
        <f t="shared" ca="1" si="76"/>
        <v/>
      </c>
      <c r="M574" s="494" t="s">
        <v>1446</v>
      </c>
      <c r="N574" s="555" t="str">
        <f t="shared" ca="1" si="77"/>
        <v/>
      </c>
      <c r="O574" s="494" t="s">
        <v>1447</v>
      </c>
      <c r="P574" s="555" t="str">
        <f t="shared" ca="1" si="78"/>
        <v/>
      </c>
      <c r="Q574" s="494" t="s">
        <v>1448</v>
      </c>
      <c r="R574" s="494" t="str">
        <f t="shared" si="82"/>
        <v>H574</v>
      </c>
      <c r="S574" s="494" t="s">
        <v>1449</v>
      </c>
      <c r="T574" s="494">
        <v>10</v>
      </c>
      <c r="U574" s="556" t="str">
        <f t="shared" ca="1" si="86"/>
        <v/>
      </c>
      <c r="V574" s="494">
        <v>11</v>
      </c>
      <c r="W574" s="556" t="str">
        <f t="shared" ca="1" si="87"/>
        <v/>
      </c>
      <c r="X574" s="494" t="s">
        <v>1450</v>
      </c>
      <c r="Y574" s="547" t="str">
        <f t="shared" ca="1" si="79"/>
        <v/>
      </c>
      <c r="Z574" s="494" t="s">
        <v>1451</v>
      </c>
      <c r="AA574" s="547" t="str">
        <f t="shared" ca="1" si="80"/>
        <v/>
      </c>
      <c r="AB574" s="494" t="s">
        <v>1452</v>
      </c>
      <c r="AC574" s="547" t="str">
        <f t="shared" ca="1" si="81"/>
        <v/>
      </c>
      <c r="AD574" s="557"/>
      <c r="AE574" s="958"/>
    </row>
    <row r="575" spans="1:31" ht="15" customHeight="1">
      <c r="A575" s="957">
        <v>63</v>
      </c>
      <c r="B575" s="566" t="s">
        <v>490</v>
      </c>
      <c r="C575" s="567" t="s">
        <v>1443</v>
      </c>
      <c r="D575" s="958">
        <v>1.1000000000000001</v>
      </c>
      <c r="E575" s="959" t="s">
        <v>419</v>
      </c>
      <c r="F575" s="558" t="s">
        <v>1501</v>
      </c>
      <c r="G575" s="558">
        <v>744</v>
      </c>
      <c r="H575" s="558" t="s">
        <v>530</v>
      </c>
      <c r="I575" s="559" t="s">
        <v>428</v>
      </c>
      <c r="J575" s="567" t="s">
        <v>1445</v>
      </c>
      <c r="K575" s="961" t="s">
        <v>1373</v>
      </c>
      <c r="L575" s="555" t="str">
        <f t="shared" ca="1" si="76"/>
        <v/>
      </c>
      <c r="M575" s="494" t="s">
        <v>1446</v>
      </c>
      <c r="N575" s="555" t="str">
        <f t="shared" ca="1" si="77"/>
        <v/>
      </c>
      <c r="O575" s="494" t="s">
        <v>1447</v>
      </c>
      <c r="P575" s="555" t="str">
        <f t="shared" ca="1" si="78"/>
        <v/>
      </c>
      <c r="Q575" s="494" t="s">
        <v>1448</v>
      </c>
      <c r="R575" s="494" t="str">
        <f t="shared" si="82"/>
        <v>H575</v>
      </c>
      <c r="S575" s="494" t="s">
        <v>1449</v>
      </c>
      <c r="T575" s="494">
        <v>10</v>
      </c>
      <c r="U575" s="556" t="str">
        <f t="shared" ca="1" si="86"/>
        <v/>
      </c>
      <c r="V575" s="494">
        <v>11</v>
      </c>
      <c r="W575" s="556" t="str">
        <f t="shared" ca="1" si="87"/>
        <v/>
      </c>
      <c r="X575" s="494" t="s">
        <v>1450</v>
      </c>
      <c r="Y575" s="547" t="str">
        <f t="shared" ca="1" si="79"/>
        <v/>
      </c>
      <c r="Z575" s="494" t="s">
        <v>1451</v>
      </c>
      <c r="AA575" s="547" t="str">
        <f t="shared" ca="1" si="80"/>
        <v/>
      </c>
      <c r="AB575" s="494" t="s">
        <v>1452</v>
      </c>
      <c r="AC575" s="547" t="str">
        <f t="shared" ca="1" si="81"/>
        <v/>
      </c>
      <c r="AD575" s="557"/>
      <c r="AE575" s="958"/>
    </row>
    <row r="576" spans="1:31" ht="15" customHeight="1">
      <c r="A576" s="957">
        <v>99</v>
      </c>
      <c r="B576" s="566" t="s">
        <v>491</v>
      </c>
      <c r="C576" s="567" t="s">
        <v>1443</v>
      </c>
      <c r="D576" s="958">
        <v>1.2</v>
      </c>
      <c r="E576" s="959" t="s">
        <v>254</v>
      </c>
      <c r="F576" s="558" t="s">
        <v>1444</v>
      </c>
      <c r="G576" s="558">
        <v>388</v>
      </c>
      <c r="H576" s="558">
        <v>1</v>
      </c>
      <c r="I576" s="559" t="s">
        <v>492</v>
      </c>
      <c r="J576" s="567" t="s">
        <v>1445</v>
      </c>
      <c r="K576" s="961" t="s">
        <v>1373</v>
      </c>
      <c r="L576" s="555" t="str">
        <f t="shared" ca="1" si="76"/>
        <v/>
      </c>
      <c r="M576" s="494" t="s">
        <v>1446</v>
      </c>
      <c r="N576" s="555" t="str">
        <f t="shared" ca="1" si="77"/>
        <v/>
      </c>
      <c r="O576" s="494" t="s">
        <v>1447</v>
      </c>
      <c r="P576" s="555" t="str">
        <f t="shared" ca="1" si="78"/>
        <v/>
      </c>
      <c r="Q576" s="494" t="s">
        <v>1448</v>
      </c>
      <c r="R576" s="494" t="str">
        <f t="shared" si="82"/>
        <v>H576</v>
      </c>
      <c r="S576" s="494" t="s">
        <v>1449</v>
      </c>
      <c r="T576" s="494">
        <v>10</v>
      </c>
      <c r="U576" s="556" t="str">
        <f t="shared" ca="1" si="86"/>
        <v/>
      </c>
      <c r="V576" s="494">
        <v>11</v>
      </c>
      <c r="W576" s="556" t="str">
        <f t="shared" ca="1" si="87"/>
        <v/>
      </c>
      <c r="X576" s="494" t="s">
        <v>1450</v>
      </c>
      <c r="Y576" s="547" t="str">
        <f t="shared" ca="1" si="79"/>
        <v/>
      </c>
      <c r="Z576" s="494" t="s">
        <v>1451</v>
      </c>
      <c r="AA576" s="547" t="str">
        <f t="shared" ca="1" si="80"/>
        <v/>
      </c>
      <c r="AB576" s="494" t="s">
        <v>1452</v>
      </c>
      <c r="AC576" s="547" t="str">
        <f t="shared" ca="1" si="81"/>
        <v/>
      </c>
      <c r="AD576" s="557"/>
      <c r="AE576" s="958"/>
    </row>
    <row r="577" spans="1:31" ht="15" customHeight="1">
      <c r="A577" s="957">
        <v>99</v>
      </c>
      <c r="B577" s="566" t="s">
        <v>491</v>
      </c>
      <c r="C577" s="567" t="s">
        <v>1443</v>
      </c>
      <c r="D577" s="958">
        <v>1.2</v>
      </c>
      <c r="E577" s="959" t="s">
        <v>254</v>
      </c>
      <c r="F577" s="558" t="s">
        <v>1444</v>
      </c>
      <c r="G577" s="558">
        <v>809</v>
      </c>
      <c r="H577" s="558">
        <v>2</v>
      </c>
      <c r="I577" s="559" t="s">
        <v>263</v>
      </c>
      <c r="J577" s="567" t="s">
        <v>1445</v>
      </c>
      <c r="K577" s="961" t="s">
        <v>1373</v>
      </c>
      <c r="L577" s="555" t="str">
        <f t="shared" ca="1" si="76"/>
        <v/>
      </c>
      <c r="M577" s="494" t="s">
        <v>1446</v>
      </c>
      <c r="N577" s="555" t="str">
        <f t="shared" ca="1" si="77"/>
        <v/>
      </c>
      <c r="O577" s="494" t="s">
        <v>1447</v>
      </c>
      <c r="P577" s="555" t="str">
        <f t="shared" ca="1" si="78"/>
        <v/>
      </c>
      <c r="Q577" s="494" t="s">
        <v>1448</v>
      </c>
      <c r="R577" s="494" t="str">
        <f t="shared" si="82"/>
        <v>H577</v>
      </c>
      <c r="S577" s="494" t="s">
        <v>1449</v>
      </c>
      <c r="T577" s="494">
        <v>10</v>
      </c>
      <c r="U577" s="556" t="str">
        <f t="shared" ca="1" si="86"/>
        <v/>
      </c>
      <c r="V577" s="494">
        <v>11</v>
      </c>
      <c r="W577" s="556" t="str">
        <f t="shared" ca="1" si="87"/>
        <v/>
      </c>
      <c r="X577" s="494" t="s">
        <v>1450</v>
      </c>
      <c r="Y577" s="547" t="str">
        <f t="shared" ca="1" si="79"/>
        <v/>
      </c>
      <c r="Z577" s="494" t="s">
        <v>1451</v>
      </c>
      <c r="AA577" s="547" t="str">
        <f t="shared" ca="1" si="80"/>
        <v/>
      </c>
      <c r="AB577" s="494" t="s">
        <v>1452</v>
      </c>
      <c r="AC577" s="547" t="str">
        <f t="shared" ca="1" si="81"/>
        <v/>
      </c>
      <c r="AD577" s="557"/>
      <c r="AE577" s="958"/>
    </row>
    <row r="578" spans="1:31" ht="15" customHeight="1">
      <c r="A578" s="957">
        <v>99</v>
      </c>
      <c r="B578" s="566" t="s">
        <v>491</v>
      </c>
      <c r="C578" s="567" t="s">
        <v>1443</v>
      </c>
      <c r="D578" s="958">
        <v>1.2</v>
      </c>
      <c r="E578" s="959" t="s">
        <v>254</v>
      </c>
      <c r="F578" s="558" t="s">
        <v>1444</v>
      </c>
      <c r="G578" s="558">
        <v>390</v>
      </c>
      <c r="H578" s="558">
        <v>2.1</v>
      </c>
      <c r="I578" s="559" t="s">
        <v>270</v>
      </c>
      <c r="J578" s="567" t="s">
        <v>1445</v>
      </c>
      <c r="K578" s="961" t="s">
        <v>1373</v>
      </c>
      <c r="L578" s="555" t="str">
        <f t="shared" ref="L578:L641" ca="1" si="88">IF(AND(INDIRECT(CONCATENATE($J578,$K578,5))=$B578,ISNUMBER(SEARCH("Please",INDIRECT(CONCATENATE($J578,$K578,2)),1))=FALSE),SUMPRODUCT(MID(0&amp;INDIRECT(CONCATENATE($J578,$K578,2)), LARGE(INDEX(ISNUMBER(--MID(INDIRECT(CONCATENATE($J578,$K578,2)), ROW(INDIRECT("1:"&amp;LEN(INDIRECT(CONCATENATE($J578,$K578,2))))),1))*ROW(INDIRECT("1:"&amp;LEN(INDIRECT(CONCATENATE($J578,$K578,2))))),0), ROW(INDIRECT("1:"&amp;LEN(INDIRECT(CONCATENATE($J578,$K578,2))))))+1,1)*10^ROW(INDIRECT("1:"&amp;LEN(INDIRECT(CONCATENATE($J578,$K578,2)))))/10),"")</f>
        <v/>
      </c>
      <c r="M578" s="494" t="s">
        <v>1446</v>
      </c>
      <c r="N578" s="555" t="str">
        <f t="shared" ref="N578:N641" ca="1" si="89">IF(AND(INDIRECT(CONCATENATE($J578,$K578,5))=$B578,ISNUMBER(SEARCH("Select",INDIRECT(CONCATENATE($J578,$M578,6)),1))=FALSE),INDIRECT(CONCATENATE($J578,$M578,6)),"")</f>
        <v/>
      </c>
      <c r="O578" s="494" t="s">
        <v>1447</v>
      </c>
      <c r="P578" s="555" t="str">
        <f t="shared" ref="P578:P641" ca="1" si="90">IF(AND(INDIRECT(CONCATENATE($J578,$K578,5))=$B578,ISNUMBER(SEARCH("Select",INDIRECT(CONCATENATE($J578,$O578,6)),1))=FALSE),INDIRECT(CONCATENATE($J578,$O578,6)),"")</f>
        <v/>
      </c>
      <c r="Q578" s="494" t="s">
        <v>1448</v>
      </c>
      <c r="R578" s="494" t="str">
        <f t="shared" si="82"/>
        <v>H578</v>
      </c>
      <c r="S578" s="494" t="s">
        <v>1449</v>
      </c>
      <c r="T578" s="494">
        <v>10</v>
      </c>
      <c r="U578" s="556" t="str">
        <f t="shared" ca="1" si="86"/>
        <v/>
      </c>
      <c r="V578" s="494">
        <v>11</v>
      </c>
      <c r="W578" s="556" t="str">
        <f t="shared" ca="1" si="87"/>
        <v/>
      </c>
      <c r="X578" s="494" t="s">
        <v>1450</v>
      </c>
      <c r="Y578" s="547" t="str">
        <f t="shared" ref="Y578:Y641" ca="1" si="91">IF(AND(INDIRECT(CONCATENATE($J578,$K578,5))=$B578,ISBLANK(INDIRECT(CONCATENATE($J578,X578)))=FALSE),INDIRECT(CONCATENATE($J578,X578)),"")</f>
        <v/>
      </c>
      <c r="Z578" s="494" t="s">
        <v>1451</v>
      </c>
      <c r="AA578" s="547" t="str">
        <f t="shared" ref="AA578:AA641" ca="1" si="92">IF(AND(INDIRECT(CONCATENATE($J578,$K578,"5"))=$B578,ISBLANK(INDIRECT(CONCATENATE($J578,Z578)))=FALSE),INDIRECT(CONCATENATE($J578,Z578)),"")</f>
        <v/>
      </c>
      <c r="AB578" s="494" t="s">
        <v>1452</v>
      </c>
      <c r="AC578" s="547" t="str">
        <f t="shared" ref="AC578:AC641" ca="1" si="93">IF(AND(INDIRECT(CONCATENATE($J578,$K578,"5"))=$B578,ISBLANK(INDIRECT(CONCATENATE($J578,AB578)))=FALSE),INDIRECT(CONCATENATE($J578,AB578)),"")</f>
        <v/>
      </c>
      <c r="AD578" s="557"/>
      <c r="AE578" s="958"/>
    </row>
    <row r="579" spans="1:31" ht="15" customHeight="1">
      <c r="A579" s="957">
        <v>99</v>
      </c>
      <c r="B579" s="566" t="s">
        <v>491</v>
      </c>
      <c r="C579" s="567" t="s">
        <v>1443</v>
      </c>
      <c r="D579" s="958">
        <v>1.2</v>
      </c>
      <c r="E579" s="959" t="s">
        <v>254</v>
      </c>
      <c r="F579" s="558" t="s">
        <v>1444</v>
      </c>
      <c r="G579" s="558">
        <v>391</v>
      </c>
      <c r="H579" s="558">
        <v>2.2000000000000002</v>
      </c>
      <c r="I579" s="559" t="s">
        <v>275</v>
      </c>
      <c r="J579" s="567" t="s">
        <v>1445</v>
      </c>
      <c r="K579" s="961" t="s">
        <v>1373</v>
      </c>
      <c r="L579" s="555" t="str">
        <f t="shared" ca="1" si="88"/>
        <v/>
      </c>
      <c r="M579" s="494" t="s">
        <v>1446</v>
      </c>
      <c r="N579" s="555" t="str">
        <f t="shared" ca="1" si="89"/>
        <v/>
      </c>
      <c r="O579" s="494" t="s">
        <v>1447</v>
      </c>
      <c r="P579" s="555" t="str">
        <f t="shared" ca="1" si="90"/>
        <v/>
      </c>
      <c r="Q579" s="494" t="s">
        <v>1448</v>
      </c>
      <c r="R579" s="494" t="str">
        <f t="shared" si="82"/>
        <v>H579</v>
      </c>
      <c r="S579" s="494" t="s">
        <v>1449</v>
      </c>
      <c r="T579" s="494">
        <v>10</v>
      </c>
      <c r="U579" s="556" t="str">
        <f t="shared" ca="1" si="86"/>
        <v/>
      </c>
      <c r="V579" s="494">
        <v>11</v>
      </c>
      <c r="W579" s="556" t="str">
        <f t="shared" ca="1" si="87"/>
        <v/>
      </c>
      <c r="X579" s="494" t="s">
        <v>1450</v>
      </c>
      <c r="Y579" s="547" t="str">
        <f t="shared" ca="1" si="91"/>
        <v/>
      </c>
      <c r="Z579" s="494" t="s">
        <v>1451</v>
      </c>
      <c r="AA579" s="547" t="str">
        <f t="shared" ca="1" si="92"/>
        <v/>
      </c>
      <c r="AB579" s="494" t="s">
        <v>1452</v>
      </c>
      <c r="AC579" s="547" t="str">
        <f t="shared" ca="1" si="93"/>
        <v/>
      </c>
      <c r="AD579" s="557"/>
      <c r="AE579" s="958"/>
    </row>
    <row r="580" spans="1:31" ht="15" customHeight="1">
      <c r="A580" s="957">
        <v>99</v>
      </c>
      <c r="B580" s="566" t="s">
        <v>491</v>
      </c>
      <c r="C580" s="567" t="s">
        <v>1443</v>
      </c>
      <c r="D580" s="958">
        <v>1.2</v>
      </c>
      <c r="E580" s="959" t="s">
        <v>254</v>
      </c>
      <c r="F580" s="558" t="s">
        <v>1444</v>
      </c>
      <c r="G580" s="558">
        <v>392</v>
      </c>
      <c r="H580" s="558">
        <v>2.2999999999999998</v>
      </c>
      <c r="I580" s="559" t="s">
        <v>278</v>
      </c>
      <c r="J580" s="567" t="s">
        <v>1445</v>
      </c>
      <c r="K580" s="961" t="s">
        <v>1373</v>
      </c>
      <c r="L580" s="555" t="str">
        <f t="shared" ca="1" si="88"/>
        <v/>
      </c>
      <c r="M580" s="494" t="s">
        <v>1446</v>
      </c>
      <c r="N580" s="555" t="str">
        <f t="shared" ca="1" si="89"/>
        <v/>
      </c>
      <c r="O580" s="494" t="s">
        <v>1447</v>
      </c>
      <c r="P580" s="555" t="str">
        <f t="shared" ca="1" si="90"/>
        <v/>
      </c>
      <c r="Q580" s="494" t="s">
        <v>1448</v>
      </c>
      <c r="R580" s="494" t="str">
        <f t="shared" si="82"/>
        <v>H580</v>
      </c>
      <c r="S580" s="494" t="s">
        <v>1449</v>
      </c>
      <c r="T580" s="494">
        <v>10</v>
      </c>
      <c r="U580" s="556" t="str">
        <f t="shared" ca="1" si="86"/>
        <v/>
      </c>
      <c r="V580" s="494">
        <v>11</v>
      </c>
      <c r="W580" s="556" t="str">
        <f t="shared" ca="1" si="87"/>
        <v/>
      </c>
      <c r="X580" s="494" t="s">
        <v>1450</v>
      </c>
      <c r="Y580" s="547" t="str">
        <f t="shared" ca="1" si="91"/>
        <v/>
      </c>
      <c r="Z580" s="494" t="s">
        <v>1451</v>
      </c>
      <c r="AA580" s="547" t="str">
        <f t="shared" ca="1" si="92"/>
        <v/>
      </c>
      <c r="AB580" s="494" t="s">
        <v>1452</v>
      </c>
      <c r="AC580" s="547" t="str">
        <f t="shared" ca="1" si="93"/>
        <v/>
      </c>
      <c r="AD580" s="557"/>
      <c r="AE580" s="958"/>
    </row>
    <row r="581" spans="1:31" ht="15" customHeight="1">
      <c r="A581" s="957">
        <v>99</v>
      </c>
      <c r="B581" s="566" t="s">
        <v>491</v>
      </c>
      <c r="C581" s="567" t="s">
        <v>1443</v>
      </c>
      <c r="D581" s="958">
        <v>1.2</v>
      </c>
      <c r="E581" s="959" t="s">
        <v>254</v>
      </c>
      <c r="F581" s="558" t="s">
        <v>1444</v>
      </c>
      <c r="G581" s="558">
        <v>393</v>
      </c>
      <c r="H581" s="558">
        <v>2.4</v>
      </c>
      <c r="I581" s="559" t="s">
        <v>281</v>
      </c>
      <c r="J581" s="567" t="s">
        <v>1445</v>
      </c>
      <c r="K581" s="961" t="s">
        <v>1373</v>
      </c>
      <c r="L581" s="555" t="str">
        <f t="shared" ca="1" si="88"/>
        <v/>
      </c>
      <c r="M581" s="494" t="s">
        <v>1446</v>
      </c>
      <c r="N581" s="555" t="str">
        <f t="shared" ca="1" si="89"/>
        <v/>
      </c>
      <c r="O581" s="494" t="s">
        <v>1447</v>
      </c>
      <c r="P581" s="555" t="str">
        <f t="shared" ca="1" si="90"/>
        <v/>
      </c>
      <c r="Q581" s="494" t="s">
        <v>1448</v>
      </c>
      <c r="R581" s="494" t="str">
        <f t="shared" ref="R581:R639" si="94">CONCATENATE("H",ROW(J581))</f>
        <v>H581</v>
      </c>
      <c r="S581" s="494" t="s">
        <v>1449</v>
      </c>
      <c r="T581" s="494">
        <v>10</v>
      </c>
      <c r="U581" s="556" t="str">
        <f t="shared" ca="1" si="86"/>
        <v/>
      </c>
      <c r="V581" s="494">
        <v>11</v>
      </c>
      <c r="W581" s="556" t="str">
        <f t="shared" ca="1" si="87"/>
        <v/>
      </c>
      <c r="X581" s="494" t="s">
        <v>1450</v>
      </c>
      <c r="Y581" s="547" t="str">
        <f t="shared" ca="1" si="91"/>
        <v/>
      </c>
      <c r="Z581" s="494" t="s">
        <v>1451</v>
      </c>
      <c r="AA581" s="547" t="str">
        <f t="shared" ca="1" si="92"/>
        <v/>
      </c>
      <c r="AB581" s="494" t="s">
        <v>1452</v>
      </c>
      <c r="AC581" s="547" t="str">
        <f t="shared" ca="1" si="93"/>
        <v/>
      </c>
      <c r="AD581" s="557"/>
      <c r="AE581" s="958"/>
    </row>
    <row r="582" spans="1:31" ht="15" customHeight="1">
      <c r="A582" s="957">
        <v>99</v>
      </c>
      <c r="B582" s="566" t="s">
        <v>491</v>
      </c>
      <c r="C582" s="567" t="s">
        <v>1443</v>
      </c>
      <c r="D582" s="958">
        <v>1.2</v>
      </c>
      <c r="E582" s="959" t="s">
        <v>254</v>
      </c>
      <c r="F582" s="558" t="s">
        <v>1444</v>
      </c>
      <c r="G582" s="558">
        <v>407</v>
      </c>
      <c r="H582" s="558">
        <v>3.1</v>
      </c>
      <c r="I582" s="559" t="s">
        <v>285</v>
      </c>
      <c r="J582" s="567" t="s">
        <v>1445</v>
      </c>
      <c r="K582" s="961" t="s">
        <v>1373</v>
      </c>
      <c r="L582" s="555" t="str">
        <f t="shared" ca="1" si="88"/>
        <v/>
      </c>
      <c r="M582" s="494" t="s">
        <v>1446</v>
      </c>
      <c r="N582" s="555" t="str">
        <f t="shared" ca="1" si="89"/>
        <v/>
      </c>
      <c r="O582" s="494" t="s">
        <v>1447</v>
      </c>
      <c r="P582" s="555" t="str">
        <f t="shared" ca="1" si="90"/>
        <v/>
      </c>
      <c r="Q582" s="494" t="s">
        <v>1448</v>
      </c>
      <c r="R582" s="494" t="str">
        <f t="shared" si="94"/>
        <v>H582</v>
      </c>
      <c r="S582" s="494" t="s">
        <v>1449</v>
      </c>
      <c r="T582" s="494">
        <v>10</v>
      </c>
      <c r="U582" s="556" t="str">
        <f t="shared" ca="1" si="86"/>
        <v/>
      </c>
      <c r="V582" s="494">
        <v>11</v>
      </c>
      <c r="W582" s="556" t="str">
        <f t="shared" ca="1" si="87"/>
        <v/>
      </c>
      <c r="X582" s="494" t="s">
        <v>1450</v>
      </c>
      <c r="Y582" s="547" t="str">
        <f t="shared" ca="1" si="91"/>
        <v/>
      </c>
      <c r="Z582" s="494" t="s">
        <v>1451</v>
      </c>
      <c r="AA582" s="547" t="str">
        <f t="shared" ca="1" si="92"/>
        <v/>
      </c>
      <c r="AB582" s="494" t="s">
        <v>1452</v>
      </c>
      <c r="AC582" s="547" t="str">
        <f t="shared" ca="1" si="93"/>
        <v/>
      </c>
      <c r="AD582" s="557"/>
      <c r="AE582" s="958"/>
    </row>
    <row r="583" spans="1:31" ht="15" customHeight="1">
      <c r="A583" s="957">
        <v>99</v>
      </c>
      <c r="B583" s="566" t="s">
        <v>491</v>
      </c>
      <c r="C583" s="567" t="s">
        <v>1443</v>
      </c>
      <c r="D583" s="958">
        <v>1.2</v>
      </c>
      <c r="E583" s="959" t="s">
        <v>254</v>
      </c>
      <c r="F583" s="558" t="s">
        <v>1444</v>
      </c>
      <c r="G583" s="558">
        <v>358</v>
      </c>
      <c r="H583" s="558">
        <v>4.0999999999999996</v>
      </c>
      <c r="I583" s="559" t="s">
        <v>38</v>
      </c>
      <c r="J583" s="567" t="s">
        <v>1445</v>
      </c>
      <c r="K583" s="961" t="s">
        <v>1373</v>
      </c>
      <c r="L583" s="555" t="str">
        <f t="shared" ca="1" si="88"/>
        <v/>
      </c>
      <c r="M583" s="494" t="s">
        <v>1446</v>
      </c>
      <c r="N583" s="555" t="str">
        <f t="shared" ca="1" si="89"/>
        <v/>
      </c>
      <c r="O583" s="494" t="s">
        <v>1447</v>
      </c>
      <c r="P583" s="555" t="str">
        <f t="shared" ca="1" si="90"/>
        <v/>
      </c>
      <c r="Q583" s="494" t="s">
        <v>1448</v>
      </c>
      <c r="R583" s="494" t="str">
        <f t="shared" si="94"/>
        <v>H583</v>
      </c>
      <c r="S583" s="494" t="s">
        <v>1449</v>
      </c>
      <c r="T583" s="494">
        <v>10</v>
      </c>
      <c r="U583" s="556" t="str">
        <f t="shared" ref="U583:U614" ca="1" si="95">IF(AND($B583=INDIRECT(CONCATENATE($J583,$K583,5)),ISBLANK(INDEX(INDIRECT(CONCATENATE($J583,$Q583)),MATCH(INDIRECT($R583),INDIRECT(CONCATENATE($J583,$S583)),0),T583))=FALSE),INDEX(INDIRECT(CONCATENATE($J583,$Q583)),MATCH(INDIRECT($R583),INDIRECT(CONCATENATE($J583,$S583)),0),T583),"")</f>
        <v/>
      </c>
      <c r="V583" s="494">
        <v>11</v>
      </c>
      <c r="W583" s="556" t="str">
        <f t="shared" ref="W583:W614" ca="1" si="96">IF(AND($B583=INDIRECT(CONCATENATE($J583,$K583,5)),ISBLANK(INDEX(INDIRECT(CONCATENATE($J583,$Q583)),MATCH(INDIRECT($R583),INDIRECT(CONCATENATE($J583,$S583)),0),V583))=FALSE),INDEX(INDIRECT(CONCATENATE($J583,$Q583)),MATCH(INDIRECT($R583),INDIRECT(CONCATENATE($J583,$S583)),0),V583),"")</f>
        <v/>
      </c>
      <c r="X583" s="494" t="s">
        <v>1450</v>
      </c>
      <c r="Y583" s="547" t="str">
        <f t="shared" ca="1" si="91"/>
        <v/>
      </c>
      <c r="Z583" s="494" t="s">
        <v>1451</v>
      </c>
      <c r="AA583" s="547" t="str">
        <f t="shared" ca="1" si="92"/>
        <v/>
      </c>
      <c r="AB583" s="494" t="s">
        <v>1452</v>
      </c>
      <c r="AC583" s="547" t="str">
        <f t="shared" ca="1" si="93"/>
        <v/>
      </c>
      <c r="AD583" s="557"/>
      <c r="AE583" s="958"/>
    </row>
    <row r="584" spans="1:31" ht="15" customHeight="1">
      <c r="A584" s="957">
        <v>99</v>
      </c>
      <c r="B584" s="566" t="s">
        <v>491</v>
      </c>
      <c r="C584" s="567" t="s">
        <v>1443</v>
      </c>
      <c r="D584" s="958">
        <v>1.2</v>
      </c>
      <c r="E584" s="959" t="s">
        <v>254</v>
      </c>
      <c r="F584" s="558" t="s">
        <v>1444</v>
      </c>
      <c r="G584" s="558">
        <v>399</v>
      </c>
      <c r="H584" s="558">
        <v>5.0999999999999996</v>
      </c>
      <c r="I584" s="559" t="s">
        <v>290</v>
      </c>
      <c r="J584" s="567" t="s">
        <v>1445</v>
      </c>
      <c r="K584" s="961" t="s">
        <v>1373</v>
      </c>
      <c r="L584" s="555" t="str">
        <f t="shared" ca="1" si="88"/>
        <v/>
      </c>
      <c r="M584" s="494" t="s">
        <v>1446</v>
      </c>
      <c r="N584" s="555" t="str">
        <f t="shared" ca="1" si="89"/>
        <v/>
      </c>
      <c r="O584" s="494" t="s">
        <v>1447</v>
      </c>
      <c r="P584" s="555" t="str">
        <f t="shared" ca="1" si="90"/>
        <v/>
      </c>
      <c r="Q584" s="494" t="s">
        <v>1448</v>
      </c>
      <c r="R584" s="494" t="str">
        <f t="shared" si="94"/>
        <v>H584</v>
      </c>
      <c r="S584" s="494" t="s">
        <v>1449</v>
      </c>
      <c r="T584" s="494">
        <v>10</v>
      </c>
      <c r="U584" s="556" t="str">
        <f t="shared" ca="1" si="95"/>
        <v/>
      </c>
      <c r="V584" s="494">
        <v>11</v>
      </c>
      <c r="W584" s="556" t="str">
        <f t="shared" ca="1" si="96"/>
        <v/>
      </c>
      <c r="X584" s="494" t="s">
        <v>1450</v>
      </c>
      <c r="Y584" s="547" t="str">
        <f t="shared" ca="1" si="91"/>
        <v/>
      </c>
      <c r="Z584" s="494" t="s">
        <v>1451</v>
      </c>
      <c r="AA584" s="547" t="str">
        <f t="shared" ca="1" si="92"/>
        <v/>
      </c>
      <c r="AB584" s="494" t="s">
        <v>1452</v>
      </c>
      <c r="AC584" s="547" t="str">
        <f t="shared" ca="1" si="93"/>
        <v/>
      </c>
      <c r="AD584" s="557"/>
      <c r="AE584" s="958"/>
    </row>
    <row r="585" spans="1:31" ht="15" customHeight="1">
      <c r="A585" s="957">
        <v>99</v>
      </c>
      <c r="B585" s="566" t="s">
        <v>491</v>
      </c>
      <c r="C585" s="567" t="s">
        <v>1443</v>
      </c>
      <c r="D585" s="958">
        <v>1.2</v>
      </c>
      <c r="E585" s="959" t="s">
        <v>254</v>
      </c>
      <c r="F585" s="558" t="s">
        <v>1444</v>
      </c>
      <c r="G585" s="558">
        <v>400</v>
      </c>
      <c r="H585" s="558">
        <v>5.2</v>
      </c>
      <c r="I585" s="559" t="s">
        <v>291</v>
      </c>
      <c r="J585" s="567" t="s">
        <v>1445</v>
      </c>
      <c r="K585" s="961" t="s">
        <v>1373</v>
      </c>
      <c r="L585" s="555" t="str">
        <f t="shared" ca="1" si="88"/>
        <v/>
      </c>
      <c r="M585" s="494" t="s">
        <v>1446</v>
      </c>
      <c r="N585" s="555" t="str">
        <f t="shared" ca="1" si="89"/>
        <v/>
      </c>
      <c r="O585" s="494" t="s">
        <v>1447</v>
      </c>
      <c r="P585" s="555" t="str">
        <f t="shared" ca="1" si="90"/>
        <v/>
      </c>
      <c r="Q585" s="494" t="s">
        <v>1448</v>
      </c>
      <c r="R585" s="494" t="str">
        <f t="shared" si="94"/>
        <v>H585</v>
      </c>
      <c r="S585" s="494" t="s">
        <v>1449</v>
      </c>
      <c r="T585" s="494">
        <v>10</v>
      </c>
      <c r="U585" s="556" t="str">
        <f t="shared" ca="1" si="95"/>
        <v/>
      </c>
      <c r="V585" s="494">
        <v>11</v>
      </c>
      <c r="W585" s="556" t="str">
        <f t="shared" ca="1" si="96"/>
        <v/>
      </c>
      <c r="X585" s="494" t="s">
        <v>1450</v>
      </c>
      <c r="Y585" s="547" t="str">
        <f t="shared" ca="1" si="91"/>
        <v/>
      </c>
      <c r="Z585" s="494" t="s">
        <v>1451</v>
      </c>
      <c r="AA585" s="547" t="str">
        <f t="shared" ca="1" si="92"/>
        <v/>
      </c>
      <c r="AB585" s="494" t="s">
        <v>1452</v>
      </c>
      <c r="AC585" s="547" t="str">
        <f t="shared" ca="1" si="93"/>
        <v/>
      </c>
      <c r="AD585" s="557"/>
      <c r="AE585" s="958"/>
    </row>
    <row r="586" spans="1:31" ht="15" customHeight="1">
      <c r="A586" s="957">
        <v>99</v>
      </c>
      <c r="B586" s="566" t="s">
        <v>491</v>
      </c>
      <c r="C586" s="567" t="s">
        <v>1443</v>
      </c>
      <c r="D586" s="958">
        <v>1.2</v>
      </c>
      <c r="E586" s="959" t="s">
        <v>254</v>
      </c>
      <c r="F586" s="558" t="s">
        <v>1444</v>
      </c>
      <c r="G586" s="558">
        <v>486</v>
      </c>
      <c r="H586" s="558">
        <v>6</v>
      </c>
      <c r="I586" s="559" t="s">
        <v>294</v>
      </c>
      <c r="J586" s="567" t="s">
        <v>1445</v>
      </c>
      <c r="K586" s="961" t="s">
        <v>1373</v>
      </c>
      <c r="L586" s="555" t="str">
        <f t="shared" ca="1" si="88"/>
        <v/>
      </c>
      <c r="M586" s="494" t="s">
        <v>1446</v>
      </c>
      <c r="N586" s="555" t="str">
        <f t="shared" ca="1" si="89"/>
        <v/>
      </c>
      <c r="O586" s="494" t="s">
        <v>1447</v>
      </c>
      <c r="P586" s="555" t="str">
        <f t="shared" ca="1" si="90"/>
        <v/>
      </c>
      <c r="Q586" s="494" t="s">
        <v>1448</v>
      </c>
      <c r="R586" s="494" t="str">
        <f t="shared" si="94"/>
        <v>H586</v>
      </c>
      <c r="S586" s="494" t="s">
        <v>1449</v>
      </c>
      <c r="T586" s="494">
        <v>10</v>
      </c>
      <c r="U586" s="556" t="str">
        <f t="shared" ca="1" si="95"/>
        <v/>
      </c>
      <c r="V586" s="494">
        <v>11</v>
      </c>
      <c r="W586" s="556" t="str">
        <f t="shared" ca="1" si="96"/>
        <v/>
      </c>
      <c r="X586" s="494" t="s">
        <v>1450</v>
      </c>
      <c r="Y586" s="547" t="str">
        <f t="shared" ca="1" si="91"/>
        <v/>
      </c>
      <c r="Z586" s="494" t="s">
        <v>1451</v>
      </c>
      <c r="AA586" s="547" t="str">
        <f t="shared" ca="1" si="92"/>
        <v/>
      </c>
      <c r="AB586" s="494" t="s">
        <v>1452</v>
      </c>
      <c r="AC586" s="547" t="str">
        <f t="shared" ca="1" si="93"/>
        <v/>
      </c>
      <c r="AD586" s="557"/>
      <c r="AE586" s="958"/>
    </row>
    <row r="587" spans="1:31" ht="15" customHeight="1">
      <c r="A587" s="957">
        <v>99</v>
      </c>
      <c r="B587" s="566" t="s">
        <v>491</v>
      </c>
      <c r="C587" s="567" t="s">
        <v>1443</v>
      </c>
      <c r="D587" s="958">
        <v>1.2</v>
      </c>
      <c r="E587" s="959" t="s">
        <v>254</v>
      </c>
      <c r="F587" s="558" t="s">
        <v>1444</v>
      </c>
      <c r="G587" s="558">
        <v>718</v>
      </c>
      <c r="H587" s="558">
        <v>6.1</v>
      </c>
      <c r="I587" s="559" t="s">
        <v>295</v>
      </c>
      <c r="J587" s="567" t="s">
        <v>1445</v>
      </c>
      <c r="K587" s="961" t="s">
        <v>1373</v>
      </c>
      <c r="L587" s="555" t="str">
        <f t="shared" ca="1" si="88"/>
        <v/>
      </c>
      <c r="M587" s="494" t="s">
        <v>1446</v>
      </c>
      <c r="N587" s="555" t="str">
        <f t="shared" ca="1" si="89"/>
        <v/>
      </c>
      <c r="O587" s="494" t="s">
        <v>1447</v>
      </c>
      <c r="P587" s="555" t="str">
        <f t="shared" ca="1" si="90"/>
        <v/>
      </c>
      <c r="Q587" s="494" t="s">
        <v>1448</v>
      </c>
      <c r="R587" s="494" t="str">
        <f t="shared" si="94"/>
        <v>H587</v>
      </c>
      <c r="S587" s="494" t="s">
        <v>1449</v>
      </c>
      <c r="T587" s="494">
        <v>10</v>
      </c>
      <c r="U587" s="556" t="str">
        <f t="shared" ca="1" si="95"/>
        <v/>
      </c>
      <c r="V587" s="494">
        <v>11</v>
      </c>
      <c r="W587" s="556" t="str">
        <f t="shared" ca="1" si="96"/>
        <v/>
      </c>
      <c r="X587" s="494" t="s">
        <v>1450</v>
      </c>
      <c r="Y587" s="547" t="str">
        <f t="shared" ca="1" si="91"/>
        <v/>
      </c>
      <c r="Z587" s="494" t="s">
        <v>1451</v>
      </c>
      <c r="AA587" s="547" t="str">
        <f t="shared" ca="1" si="92"/>
        <v/>
      </c>
      <c r="AB587" s="494" t="s">
        <v>1452</v>
      </c>
      <c r="AC587" s="547" t="str">
        <f t="shared" ca="1" si="93"/>
        <v/>
      </c>
      <c r="AD587" s="557"/>
      <c r="AE587" s="958"/>
    </row>
    <row r="588" spans="1:31" ht="15" customHeight="1">
      <c r="A588" s="957">
        <v>99</v>
      </c>
      <c r="B588" s="566" t="s">
        <v>491</v>
      </c>
      <c r="C588" s="567" t="s">
        <v>1443</v>
      </c>
      <c r="D588" s="958">
        <v>1.2</v>
      </c>
      <c r="E588" s="959" t="s">
        <v>254</v>
      </c>
      <c r="F588" s="558" t="s">
        <v>1444</v>
      </c>
      <c r="G588" s="558">
        <v>879</v>
      </c>
      <c r="H588" s="558">
        <v>7.1</v>
      </c>
      <c r="I588" s="559" t="s">
        <v>299</v>
      </c>
      <c r="J588" s="567" t="s">
        <v>1445</v>
      </c>
      <c r="K588" s="961" t="s">
        <v>1373</v>
      </c>
      <c r="L588" s="555" t="str">
        <f t="shared" ca="1" si="88"/>
        <v/>
      </c>
      <c r="M588" s="494" t="s">
        <v>1446</v>
      </c>
      <c r="N588" s="555" t="str">
        <f t="shared" ca="1" si="89"/>
        <v/>
      </c>
      <c r="O588" s="494" t="s">
        <v>1447</v>
      </c>
      <c r="P588" s="555" t="str">
        <f t="shared" ca="1" si="90"/>
        <v/>
      </c>
      <c r="Q588" s="494" t="s">
        <v>1448</v>
      </c>
      <c r="R588" s="494" t="str">
        <f t="shared" si="94"/>
        <v>H588</v>
      </c>
      <c r="S588" s="494" t="s">
        <v>1449</v>
      </c>
      <c r="T588" s="494">
        <v>10</v>
      </c>
      <c r="U588" s="556" t="str">
        <f t="shared" ca="1" si="95"/>
        <v/>
      </c>
      <c r="V588" s="494">
        <v>11</v>
      </c>
      <c r="W588" s="556" t="str">
        <f t="shared" ca="1" si="96"/>
        <v/>
      </c>
      <c r="X588" s="494" t="s">
        <v>1450</v>
      </c>
      <c r="Y588" s="547" t="str">
        <f t="shared" ca="1" si="91"/>
        <v/>
      </c>
      <c r="Z588" s="494" t="s">
        <v>1451</v>
      </c>
      <c r="AA588" s="547" t="str">
        <f t="shared" ca="1" si="92"/>
        <v/>
      </c>
      <c r="AB588" s="494" t="s">
        <v>1452</v>
      </c>
      <c r="AC588" s="547" t="str">
        <f t="shared" ca="1" si="93"/>
        <v/>
      </c>
      <c r="AD588" s="557"/>
      <c r="AE588" s="958"/>
    </row>
    <row r="589" spans="1:31" ht="15" customHeight="1">
      <c r="A589" s="957">
        <v>99</v>
      </c>
      <c r="B589" s="566" t="s">
        <v>491</v>
      </c>
      <c r="C589" s="567" t="s">
        <v>1443</v>
      </c>
      <c r="D589" s="958">
        <v>1.2</v>
      </c>
      <c r="E589" s="959" t="s">
        <v>254</v>
      </c>
      <c r="F589" s="558" t="s">
        <v>1444</v>
      </c>
      <c r="G589" s="558">
        <v>897</v>
      </c>
      <c r="H589" s="558">
        <v>7.2</v>
      </c>
      <c r="I589" s="559" t="s">
        <v>46</v>
      </c>
      <c r="J589" s="567" t="s">
        <v>1445</v>
      </c>
      <c r="K589" s="961" t="s">
        <v>1373</v>
      </c>
      <c r="L589" s="555" t="str">
        <f t="shared" ca="1" si="88"/>
        <v/>
      </c>
      <c r="M589" s="494" t="s">
        <v>1446</v>
      </c>
      <c r="N589" s="555" t="str">
        <f t="shared" ca="1" si="89"/>
        <v/>
      </c>
      <c r="O589" s="494" t="s">
        <v>1447</v>
      </c>
      <c r="P589" s="555" t="str">
        <f t="shared" ca="1" si="90"/>
        <v/>
      </c>
      <c r="Q589" s="494" t="s">
        <v>1448</v>
      </c>
      <c r="R589" s="494" t="str">
        <f t="shared" si="94"/>
        <v>H589</v>
      </c>
      <c r="S589" s="494" t="s">
        <v>1449</v>
      </c>
      <c r="T589" s="494">
        <v>10</v>
      </c>
      <c r="U589" s="556" t="str">
        <f t="shared" ca="1" si="95"/>
        <v/>
      </c>
      <c r="V589" s="494">
        <v>11</v>
      </c>
      <c r="W589" s="556" t="str">
        <f t="shared" ca="1" si="96"/>
        <v/>
      </c>
      <c r="X589" s="494" t="s">
        <v>1450</v>
      </c>
      <c r="Y589" s="547" t="str">
        <f t="shared" ca="1" si="91"/>
        <v/>
      </c>
      <c r="Z589" s="494" t="s">
        <v>1451</v>
      </c>
      <c r="AA589" s="547" t="str">
        <f t="shared" ca="1" si="92"/>
        <v/>
      </c>
      <c r="AB589" s="494" t="s">
        <v>1452</v>
      </c>
      <c r="AC589" s="547" t="str">
        <f t="shared" ca="1" si="93"/>
        <v/>
      </c>
      <c r="AD589" s="557"/>
      <c r="AE589" s="958"/>
    </row>
    <row r="590" spans="1:31" ht="15" customHeight="1">
      <c r="A590" s="957">
        <v>99</v>
      </c>
      <c r="B590" s="566" t="s">
        <v>491</v>
      </c>
      <c r="C590" s="567" t="s">
        <v>1443</v>
      </c>
      <c r="D590" s="958">
        <v>1.2</v>
      </c>
      <c r="E590" s="959" t="s">
        <v>254</v>
      </c>
      <c r="F590" s="558" t="s">
        <v>1444</v>
      </c>
      <c r="G590" s="558">
        <v>811</v>
      </c>
      <c r="H590" s="558" t="s">
        <v>301</v>
      </c>
      <c r="I590" s="559" t="s">
        <v>497</v>
      </c>
      <c r="J590" s="567" t="s">
        <v>1445</v>
      </c>
      <c r="K590" s="961" t="s">
        <v>1373</v>
      </c>
      <c r="L590" s="555" t="str">
        <f t="shared" ca="1" si="88"/>
        <v/>
      </c>
      <c r="M590" s="494" t="s">
        <v>1446</v>
      </c>
      <c r="N590" s="555" t="str">
        <f t="shared" ca="1" si="89"/>
        <v/>
      </c>
      <c r="O590" s="494" t="s">
        <v>1447</v>
      </c>
      <c r="P590" s="555" t="str">
        <f t="shared" ca="1" si="90"/>
        <v/>
      </c>
      <c r="Q590" s="494" t="s">
        <v>1448</v>
      </c>
      <c r="R590" s="494" t="str">
        <f t="shared" si="94"/>
        <v>H590</v>
      </c>
      <c r="S590" s="494" t="s">
        <v>1449</v>
      </c>
      <c r="T590" s="494">
        <v>10</v>
      </c>
      <c r="U590" s="556" t="str">
        <f t="shared" ca="1" si="95"/>
        <v/>
      </c>
      <c r="V590" s="494">
        <v>11</v>
      </c>
      <c r="W590" s="556" t="str">
        <f t="shared" ca="1" si="96"/>
        <v/>
      </c>
      <c r="X590" s="494" t="s">
        <v>1450</v>
      </c>
      <c r="Y590" s="547" t="str">
        <f t="shared" ca="1" si="91"/>
        <v/>
      </c>
      <c r="Z590" s="494" t="s">
        <v>1451</v>
      </c>
      <c r="AA590" s="547" t="str">
        <f t="shared" ca="1" si="92"/>
        <v/>
      </c>
      <c r="AB590" s="494" t="s">
        <v>1452</v>
      </c>
      <c r="AC590" s="547" t="str">
        <f t="shared" ca="1" si="93"/>
        <v/>
      </c>
      <c r="AD590" s="557"/>
      <c r="AE590" s="958"/>
    </row>
    <row r="591" spans="1:31" ht="15" customHeight="1">
      <c r="A591" s="957">
        <v>99</v>
      </c>
      <c r="B591" s="566" t="s">
        <v>491</v>
      </c>
      <c r="C591" s="567" t="s">
        <v>1443</v>
      </c>
      <c r="D591" s="958">
        <v>1.2</v>
      </c>
      <c r="E591" s="959" t="s">
        <v>254</v>
      </c>
      <c r="F591" s="558" t="s">
        <v>1444</v>
      </c>
      <c r="G591" s="558">
        <v>811</v>
      </c>
      <c r="H591" s="558" t="s">
        <v>303</v>
      </c>
      <c r="I591" s="559" t="s">
        <v>499</v>
      </c>
      <c r="J591" s="567" t="s">
        <v>1445</v>
      </c>
      <c r="K591" s="961" t="s">
        <v>1373</v>
      </c>
      <c r="L591" s="555" t="str">
        <f t="shared" ca="1" si="88"/>
        <v/>
      </c>
      <c r="M591" s="494" t="s">
        <v>1446</v>
      </c>
      <c r="N591" s="555" t="str">
        <f t="shared" ca="1" si="89"/>
        <v/>
      </c>
      <c r="O591" s="494" t="s">
        <v>1447</v>
      </c>
      <c r="P591" s="555" t="str">
        <f t="shared" ca="1" si="90"/>
        <v/>
      </c>
      <c r="Q591" s="494" t="s">
        <v>1448</v>
      </c>
      <c r="R591" s="494" t="str">
        <f t="shared" si="94"/>
        <v>H591</v>
      </c>
      <c r="S591" s="494" t="s">
        <v>1449</v>
      </c>
      <c r="T591" s="494">
        <v>10</v>
      </c>
      <c r="U591" s="556" t="str">
        <f t="shared" ca="1" si="95"/>
        <v/>
      </c>
      <c r="V591" s="494">
        <v>11</v>
      </c>
      <c r="W591" s="556" t="str">
        <f t="shared" ca="1" si="96"/>
        <v/>
      </c>
      <c r="X591" s="494" t="s">
        <v>1450</v>
      </c>
      <c r="Y591" s="547" t="str">
        <f t="shared" ca="1" si="91"/>
        <v/>
      </c>
      <c r="Z591" s="494" t="s">
        <v>1451</v>
      </c>
      <c r="AA591" s="547" t="str">
        <f t="shared" ca="1" si="92"/>
        <v/>
      </c>
      <c r="AB591" s="494" t="s">
        <v>1452</v>
      </c>
      <c r="AC591" s="547" t="str">
        <f t="shared" ca="1" si="93"/>
        <v/>
      </c>
      <c r="AD591" s="557"/>
      <c r="AE591" s="958"/>
    </row>
    <row r="592" spans="1:31" ht="15" customHeight="1">
      <c r="A592" s="957">
        <v>99</v>
      </c>
      <c r="B592" s="566" t="s">
        <v>491</v>
      </c>
      <c r="C592" s="567" t="s">
        <v>1443</v>
      </c>
      <c r="D592" s="958">
        <v>1.2</v>
      </c>
      <c r="E592" s="959" t="s">
        <v>306</v>
      </c>
      <c r="F592" s="558" t="s">
        <v>1454</v>
      </c>
      <c r="G592" s="558">
        <v>409</v>
      </c>
      <c r="H592" s="558">
        <v>9.1</v>
      </c>
      <c r="I592" s="559" t="s">
        <v>309</v>
      </c>
      <c r="J592" s="567" t="s">
        <v>1445</v>
      </c>
      <c r="K592" s="961" t="s">
        <v>1373</v>
      </c>
      <c r="L592" s="555" t="str">
        <f t="shared" ca="1" si="88"/>
        <v/>
      </c>
      <c r="M592" s="494" t="s">
        <v>1446</v>
      </c>
      <c r="N592" s="555" t="str">
        <f t="shared" ca="1" si="89"/>
        <v/>
      </c>
      <c r="O592" s="494" t="s">
        <v>1447</v>
      </c>
      <c r="P592" s="555" t="str">
        <f t="shared" ca="1" si="90"/>
        <v/>
      </c>
      <c r="Q592" s="494" t="s">
        <v>1448</v>
      </c>
      <c r="R592" s="494" t="str">
        <f t="shared" si="94"/>
        <v>H592</v>
      </c>
      <c r="S592" s="494" t="s">
        <v>1449</v>
      </c>
      <c r="T592" s="494">
        <v>10</v>
      </c>
      <c r="U592" s="556" t="str">
        <f t="shared" ca="1" si="95"/>
        <v/>
      </c>
      <c r="V592" s="494">
        <v>11</v>
      </c>
      <c r="W592" s="556" t="str">
        <f t="shared" ca="1" si="96"/>
        <v/>
      </c>
      <c r="X592" s="494" t="s">
        <v>1450</v>
      </c>
      <c r="Y592" s="547" t="str">
        <f t="shared" ca="1" si="91"/>
        <v/>
      </c>
      <c r="Z592" s="494" t="s">
        <v>1451</v>
      </c>
      <c r="AA592" s="547" t="str">
        <f t="shared" ca="1" si="92"/>
        <v/>
      </c>
      <c r="AB592" s="494" t="s">
        <v>1452</v>
      </c>
      <c r="AC592" s="547" t="str">
        <f t="shared" ca="1" si="93"/>
        <v/>
      </c>
      <c r="AD592" s="557"/>
      <c r="AE592" s="958"/>
    </row>
    <row r="593" spans="1:31" ht="15" customHeight="1">
      <c r="A593" s="957">
        <v>99</v>
      </c>
      <c r="B593" s="566" t="s">
        <v>491</v>
      </c>
      <c r="C593" s="567" t="s">
        <v>1443</v>
      </c>
      <c r="D593" s="958">
        <v>1.2</v>
      </c>
      <c r="E593" s="959" t="s">
        <v>306</v>
      </c>
      <c r="F593" s="558" t="s">
        <v>1454</v>
      </c>
      <c r="G593" s="558">
        <v>410</v>
      </c>
      <c r="H593" s="558">
        <v>9.1999999999999993</v>
      </c>
      <c r="I593" s="559" t="s">
        <v>310</v>
      </c>
      <c r="J593" s="567" t="s">
        <v>1445</v>
      </c>
      <c r="K593" s="961" t="s">
        <v>1373</v>
      </c>
      <c r="L593" s="555" t="str">
        <f t="shared" ca="1" si="88"/>
        <v/>
      </c>
      <c r="M593" s="494" t="s">
        <v>1446</v>
      </c>
      <c r="N593" s="555" t="str">
        <f t="shared" ca="1" si="89"/>
        <v/>
      </c>
      <c r="O593" s="494" t="s">
        <v>1447</v>
      </c>
      <c r="P593" s="555" t="str">
        <f t="shared" ca="1" si="90"/>
        <v/>
      </c>
      <c r="Q593" s="494" t="s">
        <v>1448</v>
      </c>
      <c r="R593" s="494" t="str">
        <f t="shared" si="94"/>
        <v>H593</v>
      </c>
      <c r="S593" s="494" t="s">
        <v>1449</v>
      </c>
      <c r="T593" s="494">
        <v>10</v>
      </c>
      <c r="U593" s="556" t="str">
        <f t="shared" ca="1" si="95"/>
        <v/>
      </c>
      <c r="V593" s="494">
        <v>11</v>
      </c>
      <c r="W593" s="556" t="str">
        <f t="shared" ca="1" si="96"/>
        <v/>
      </c>
      <c r="X593" s="494" t="s">
        <v>1450</v>
      </c>
      <c r="Y593" s="547" t="str">
        <f t="shared" ca="1" si="91"/>
        <v/>
      </c>
      <c r="Z593" s="494" t="s">
        <v>1451</v>
      </c>
      <c r="AA593" s="547" t="str">
        <f t="shared" ca="1" si="92"/>
        <v/>
      </c>
      <c r="AB593" s="494" t="s">
        <v>1452</v>
      </c>
      <c r="AC593" s="547" t="str">
        <f t="shared" ca="1" si="93"/>
        <v/>
      </c>
      <c r="AD593" s="557"/>
      <c r="AE593" s="958"/>
    </row>
    <row r="594" spans="1:31" ht="15" customHeight="1">
      <c r="A594" s="957">
        <v>99</v>
      </c>
      <c r="B594" s="566" t="s">
        <v>491</v>
      </c>
      <c r="C594" s="567" t="s">
        <v>1443</v>
      </c>
      <c r="D594" s="958">
        <v>1.2</v>
      </c>
      <c r="E594" s="959" t="s">
        <v>306</v>
      </c>
      <c r="F594" s="558" t="s">
        <v>1454</v>
      </c>
      <c r="G594" s="558">
        <v>411</v>
      </c>
      <c r="H594" s="558">
        <v>9.3000000000000007</v>
      </c>
      <c r="I594" s="559" t="s">
        <v>311</v>
      </c>
      <c r="J594" s="567" t="s">
        <v>1445</v>
      </c>
      <c r="K594" s="961" t="s">
        <v>1373</v>
      </c>
      <c r="L594" s="555" t="str">
        <f t="shared" ca="1" si="88"/>
        <v/>
      </c>
      <c r="M594" s="494" t="s">
        <v>1446</v>
      </c>
      <c r="N594" s="555" t="str">
        <f t="shared" ca="1" si="89"/>
        <v/>
      </c>
      <c r="O594" s="494" t="s">
        <v>1447</v>
      </c>
      <c r="P594" s="555" t="str">
        <f t="shared" ca="1" si="90"/>
        <v/>
      </c>
      <c r="Q594" s="494" t="s">
        <v>1448</v>
      </c>
      <c r="R594" s="494" t="str">
        <f t="shared" si="94"/>
        <v>H594</v>
      </c>
      <c r="S594" s="494" t="s">
        <v>1449</v>
      </c>
      <c r="T594" s="494">
        <v>10</v>
      </c>
      <c r="U594" s="556" t="str">
        <f t="shared" ca="1" si="95"/>
        <v/>
      </c>
      <c r="V594" s="494">
        <v>11</v>
      </c>
      <c r="W594" s="556" t="str">
        <f t="shared" ca="1" si="96"/>
        <v/>
      </c>
      <c r="X594" s="494" t="s">
        <v>1450</v>
      </c>
      <c r="Y594" s="547" t="str">
        <f t="shared" ca="1" si="91"/>
        <v/>
      </c>
      <c r="Z594" s="494" t="s">
        <v>1451</v>
      </c>
      <c r="AA594" s="547" t="str">
        <f t="shared" ca="1" si="92"/>
        <v/>
      </c>
      <c r="AB594" s="494" t="s">
        <v>1452</v>
      </c>
      <c r="AC594" s="547" t="str">
        <f t="shared" ca="1" si="93"/>
        <v/>
      </c>
      <c r="AD594" s="557"/>
      <c r="AE594" s="958"/>
    </row>
    <row r="595" spans="1:31" ht="15" customHeight="1">
      <c r="A595" s="957">
        <v>99</v>
      </c>
      <c r="B595" s="566" t="s">
        <v>491</v>
      </c>
      <c r="C595" s="567" t="s">
        <v>1443</v>
      </c>
      <c r="D595" s="958">
        <v>1.2</v>
      </c>
      <c r="E595" s="959" t="s">
        <v>306</v>
      </c>
      <c r="F595" s="558" t="s">
        <v>1454</v>
      </c>
      <c r="G595" s="558">
        <v>419</v>
      </c>
      <c r="H595" s="558">
        <v>10.1</v>
      </c>
      <c r="I595" s="559" t="s">
        <v>314</v>
      </c>
      <c r="J595" s="567" t="s">
        <v>1445</v>
      </c>
      <c r="K595" s="961" t="s">
        <v>1373</v>
      </c>
      <c r="L595" s="555" t="str">
        <f t="shared" ca="1" si="88"/>
        <v/>
      </c>
      <c r="M595" s="494" t="s">
        <v>1446</v>
      </c>
      <c r="N595" s="555" t="str">
        <f t="shared" ca="1" si="89"/>
        <v/>
      </c>
      <c r="O595" s="494" t="s">
        <v>1447</v>
      </c>
      <c r="P595" s="555" t="str">
        <f t="shared" ca="1" si="90"/>
        <v/>
      </c>
      <c r="Q595" s="494" t="s">
        <v>1448</v>
      </c>
      <c r="R595" s="494" t="str">
        <f t="shared" si="94"/>
        <v>H595</v>
      </c>
      <c r="S595" s="494" t="s">
        <v>1449</v>
      </c>
      <c r="T595" s="494">
        <v>10</v>
      </c>
      <c r="U595" s="556" t="str">
        <f t="shared" ca="1" si="95"/>
        <v/>
      </c>
      <c r="V595" s="494">
        <v>11</v>
      </c>
      <c r="W595" s="556" t="str">
        <f t="shared" ca="1" si="96"/>
        <v/>
      </c>
      <c r="X595" s="494" t="s">
        <v>1450</v>
      </c>
      <c r="Y595" s="547" t="str">
        <f t="shared" ca="1" si="91"/>
        <v/>
      </c>
      <c r="Z595" s="494" t="s">
        <v>1451</v>
      </c>
      <c r="AA595" s="547" t="str">
        <f t="shared" ca="1" si="92"/>
        <v/>
      </c>
      <c r="AB595" s="494" t="s">
        <v>1452</v>
      </c>
      <c r="AC595" s="547" t="str">
        <f t="shared" ca="1" si="93"/>
        <v/>
      </c>
      <c r="AD595" s="557"/>
      <c r="AE595" s="958"/>
    </row>
    <row r="596" spans="1:31" ht="15" customHeight="1">
      <c r="A596" s="957">
        <v>99</v>
      </c>
      <c r="B596" s="566" t="s">
        <v>491</v>
      </c>
      <c r="C596" s="567" t="s">
        <v>1443</v>
      </c>
      <c r="D596" s="958">
        <v>1.2</v>
      </c>
      <c r="E596" s="959" t="s">
        <v>306</v>
      </c>
      <c r="F596" s="558" t="s">
        <v>1454</v>
      </c>
      <c r="G596" s="558">
        <v>719</v>
      </c>
      <c r="H596" s="558">
        <v>10.199999999999999</v>
      </c>
      <c r="I596" s="559" t="s">
        <v>315</v>
      </c>
      <c r="J596" s="567" t="s">
        <v>1445</v>
      </c>
      <c r="K596" s="961" t="s">
        <v>1373</v>
      </c>
      <c r="L596" s="555" t="str">
        <f t="shared" ca="1" si="88"/>
        <v/>
      </c>
      <c r="M596" s="494" t="s">
        <v>1446</v>
      </c>
      <c r="N596" s="555" t="str">
        <f t="shared" ca="1" si="89"/>
        <v/>
      </c>
      <c r="O596" s="494" t="s">
        <v>1447</v>
      </c>
      <c r="P596" s="555" t="str">
        <f t="shared" ca="1" si="90"/>
        <v/>
      </c>
      <c r="Q596" s="494" t="s">
        <v>1448</v>
      </c>
      <c r="R596" s="494" t="str">
        <f t="shared" si="94"/>
        <v>H596</v>
      </c>
      <c r="S596" s="494" t="s">
        <v>1449</v>
      </c>
      <c r="T596" s="494">
        <v>10</v>
      </c>
      <c r="U596" s="556" t="str">
        <f t="shared" ca="1" si="95"/>
        <v/>
      </c>
      <c r="V596" s="494">
        <v>11</v>
      </c>
      <c r="W596" s="556" t="str">
        <f t="shared" ca="1" si="96"/>
        <v/>
      </c>
      <c r="X596" s="494" t="s">
        <v>1450</v>
      </c>
      <c r="Y596" s="547" t="str">
        <f t="shared" ca="1" si="91"/>
        <v/>
      </c>
      <c r="Z596" s="494" t="s">
        <v>1451</v>
      </c>
      <c r="AA596" s="547" t="str">
        <f t="shared" ca="1" si="92"/>
        <v/>
      </c>
      <c r="AB596" s="494" t="s">
        <v>1452</v>
      </c>
      <c r="AC596" s="547" t="str">
        <f t="shared" ca="1" si="93"/>
        <v/>
      </c>
      <c r="AD596" s="557"/>
      <c r="AE596" s="958"/>
    </row>
    <row r="597" spans="1:31" ht="15" customHeight="1">
      <c r="A597" s="957">
        <v>99</v>
      </c>
      <c r="B597" s="566" t="s">
        <v>491</v>
      </c>
      <c r="C597" s="567" t="s">
        <v>1443</v>
      </c>
      <c r="D597" s="958">
        <v>1.2</v>
      </c>
      <c r="E597" s="959" t="s">
        <v>306</v>
      </c>
      <c r="F597" s="558" t="s">
        <v>1454</v>
      </c>
      <c r="G597" s="558">
        <v>720</v>
      </c>
      <c r="H597" s="558">
        <v>10.3</v>
      </c>
      <c r="I597" s="559" t="s">
        <v>316</v>
      </c>
      <c r="J597" s="567" t="s">
        <v>1445</v>
      </c>
      <c r="K597" s="961" t="s">
        <v>1373</v>
      </c>
      <c r="L597" s="555" t="str">
        <f t="shared" ca="1" si="88"/>
        <v/>
      </c>
      <c r="M597" s="494" t="s">
        <v>1446</v>
      </c>
      <c r="N597" s="555" t="str">
        <f t="shared" ca="1" si="89"/>
        <v/>
      </c>
      <c r="O597" s="494" t="s">
        <v>1447</v>
      </c>
      <c r="P597" s="555" t="str">
        <f t="shared" ca="1" si="90"/>
        <v/>
      </c>
      <c r="Q597" s="494" t="s">
        <v>1448</v>
      </c>
      <c r="R597" s="494" t="str">
        <f t="shared" si="94"/>
        <v>H597</v>
      </c>
      <c r="S597" s="494" t="s">
        <v>1449</v>
      </c>
      <c r="T597" s="494">
        <v>10</v>
      </c>
      <c r="U597" s="556" t="str">
        <f t="shared" ca="1" si="95"/>
        <v/>
      </c>
      <c r="V597" s="494">
        <v>11</v>
      </c>
      <c r="W597" s="556" t="str">
        <f t="shared" ca="1" si="96"/>
        <v/>
      </c>
      <c r="X597" s="494" t="s">
        <v>1450</v>
      </c>
      <c r="Y597" s="547" t="str">
        <f t="shared" ca="1" si="91"/>
        <v/>
      </c>
      <c r="Z597" s="494" t="s">
        <v>1451</v>
      </c>
      <c r="AA597" s="547" t="str">
        <f t="shared" ca="1" si="92"/>
        <v/>
      </c>
      <c r="AB597" s="494" t="s">
        <v>1452</v>
      </c>
      <c r="AC597" s="547" t="str">
        <f t="shared" ca="1" si="93"/>
        <v/>
      </c>
      <c r="AD597" s="557"/>
      <c r="AE597" s="958"/>
    </row>
    <row r="598" spans="1:31" ht="15" customHeight="1">
      <c r="A598" s="957">
        <v>99</v>
      </c>
      <c r="B598" s="566" t="s">
        <v>491</v>
      </c>
      <c r="C598" s="567" t="s">
        <v>1443</v>
      </c>
      <c r="D598" s="958">
        <v>1.2</v>
      </c>
      <c r="E598" s="959" t="s">
        <v>306</v>
      </c>
      <c r="F598" s="558" t="s">
        <v>1454</v>
      </c>
      <c r="G598" s="558">
        <v>412</v>
      </c>
      <c r="H598" s="558">
        <v>11</v>
      </c>
      <c r="I598" s="559" t="s">
        <v>319</v>
      </c>
      <c r="J598" s="567" t="s">
        <v>1445</v>
      </c>
      <c r="K598" s="961" t="s">
        <v>1373</v>
      </c>
      <c r="L598" s="555" t="str">
        <f t="shared" ca="1" si="88"/>
        <v/>
      </c>
      <c r="M598" s="494" t="s">
        <v>1446</v>
      </c>
      <c r="N598" s="555" t="str">
        <f t="shared" ca="1" si="89"/>
        <v/>
      </c>
      <c r="O598" s="494" t="s">
        <v>1447</v>
      </c>
      <c r="P598" s="555" t="str">
        <f t="shared" ca="1" si="90"/>
        <v/>
      </c>
      <c r="Q598" s="494" t="s">
        <v>1448</v>
      </c>
      <c r="R598" s="494" t="str">
        <f t="shared" si="94"/>
        <v>H598</v>
      </c>
      <c r="S598" s="494" t="s">
        <v>1449</v>
      </c>
      <c r="T598" s="494">
        <v>10</v>
      </c>
      <c r="U598" s="556" t="str">
        <f t="shared" ca="1" si="95"/>
        <v/>
      </c>
      <c r="V598" s="494">
        <v>11</v>
      </c>
      <c r="W598" s="556" t="str">
        <f t="shared" ca="1" si="96"/>
        <v/>
      </c>
      <c r="X598" s="494" t="s">
        <v>1450</v>
      </c>
      <c r="Y598" s="547" t="str">
        <f t="shared" ca="1" si="91"/>
        <v/>
      </c>
      <c r="Z598" s="494" t="s">
        <v>1451</v>
      </c>
      <c r="AA598" s="547" t="str">
        <f t="shared" ca="1" si="92"/>
        <v/>
      </c>
      <c r="AB598" s="494" t="s">
        <v>1452</v>
      </c>
      <c r="AC598" s="547" t="str">
        <f t="shared" ca="1" si="93"/>
        <v/>
      </c>
      <c r="AD598" s="557"/>
      <c r="AE598" s="958"/>
    </row>
    <row r="599" spans="1:31" ht="15" customHeight="1">
      <c r="A599" s="957">
        <v>99</v>
      </c>
      <c r="B599" s="566" t="s">
        <v>491</v>
      </c>
      <c r="C599" s="567" t="s">
        <v>1443</v>
      </c>
      <c r="D599" s="958">
        <v>1.2</v>
      </c>
      <c r="E599" s="959" t="s">
        <v>306</v>
      </c>
      <c r="F599" s="558" t="s">
        <v>1454</v>
      </c>
      <c r="G599" s="558">
        <v>413</v>
      </c>
      <c r="H599" s="558">
        <v>11.1</v>
      </c>
      <c r="I599" s="559" t="s">
        <v>320</v>
      </c>
      <c r="J599" s="567" t="s">
        <v>1445</v>
      </c>
      <c r="K599" s="961" t="s">
        <v>1373</v>
      </c>
      <c r="L599" s="555" t="str">
        <f t="shared" ca="1" si="88"/>
        <v/>
      </c>
      <c r="M599" s="494" t="s">
        <v>1446</v>
      </c>
      <c r="N599" s="555" t="str">
        <f t="shared" ca="1" si="89"/>
        <v/>
      </c>
      <c r="O599" s="494" t="s">
        <v>1447</v>
      </c>
      <c r="P599" s="555" t="str">
        <f t="shared" ca="1" si="90"/>
        <v/>
      </c>
      <c r="Q599" s="494" t="s">
        <v>1448</v>
      </c>
      <c r="R599" s="494" t="str">
        <f t="shared" si="94"/>
        <v>H599</v>
      </c>
      <c r="S599" s="494" t="s">
        <v>1449</v>
      </c>
      <c r="T599" s="494">
        <v>10</v>
      </c>
      <c r="U599" s="556" t="str">
        <f t="shared" ca="1" si="95"/>
        <v/>
      </c>
      <c r="V599" s="494">
        <v>11</v>
      </c>
      <c r="W599" s="556" t="str">
        <f t="shared" ca="1" si="96"/>
        <v/>
      </c>
      <c r="X599" s="494" t="s">
        <v>1450</v>
      </c>
      <c r="Y599" s="547" t="str">
        <f t="shared" ca="1" si="91"/>
        <v/>
      </c>
      <c r="Z599" s="494" t="s">
        <v>1451</v>
      </c>
      <c r="AA599" s="547" t="str">
        <f t="shared" ca="1" si="92"/>
        <v/>
      </c>
      <c r="AB599" s="494" t="s">
        <v>1452</v>
      </c>
      <c r="AC599" s="547" t="str">
        <f t="shared" ca="1" si="93"/>
        <v/>
      </c>
      <c r="AD599" s="557"/>
      <c r="AE599" s="958"/>
    </row>
    <row r="600" spans="1:31" ht="15" customHeight="1">
      <c r="A600" s="957">
        <v>99</v>
      </c>
      <c r="B600" s="566" t="s">
        <v>491</v>
      </c>
      <c r="C600" s="567" t="s">
        <v>1443</v>
      </c>
      <c r="D600" s="958">
        <v>1.2</v>
      </c>
      <c r="E600" s="959" t="s">
        <v>306</v>
      </c>
      <c r="F600" s="558" t="s">
        <v>1454</v>
      </c>
      <c r="G600" s="558">
        <v>721</v>
      </c>
      <c r="H600" s="558">
        <v>11.2</v>
      </c>
      <c r="I600" s="559" t="s">
        <v>321</v>
      </c>
      <c r="J600" s="567" t="s">
        <v>1445</v>
      </c>
      <c r="K600" s="961" t="s">
        <v>1373</v>
      </c>
      <c r="L600" s="555" t="str">
        <f t="shared" ca="1" si="88"/>
        <v/>
      </c>
      <c r="M600" s="494" t="s">
        <v>1446</v>
      </c>
      <c r="N600" s="555" t="str">
        <f t="shared" ca="1" si="89"/>
        <v/>
      </c>
      <c r="O600" s="494" t="s">
        <v>1447</v>
      </c>
      <c r="P600" s="555" t="str">
        <f t="shared" ca="1" si="90"/>
        <v/>
      </c>
      <c r="Q600" s="494" t="s">
        <v>1448</v>
      </c>
      <c r="R600" s="494" t="str">
        <f t="shared" si="94"/>
        <v>H600</v>
      </c>
      <c r="S600" s="494" t="s">
        <v>1449</v>
      </c>
      <c r="T600" s="494">
        <v>10</v>
      </c>
      <c r="U600" s="556" t="str">
        <f t="shared" ca="1" si="95"/>
        <v/>
      </c>
      <c r="V600" s="494">
        <v>11</v>
      </c>
      <c r="W600" s="556" t="str">
        <f t="shared" ca="1" si="96"/>
        <v/>
      </c>
      <c r="X600" s="494" t="s">
        <v>1450</v>
      </c>
      <c r="Y600" s="547" t="str">
        <f t="shared" ca="1" si="91"/>
        <v/>
      </c>
      <c r="Z600" s="494" t="s">
        <v>1451</v>
      </c>
      <c r="AA600" s="547" t="str">
        <f t="shared" ca="1" si="92"/>
        <v/>
      </c>
      <c r="AB600" s="494" t="s">
        <v>1452</v>
      </c>
      <c r="AC600" s="547" t="str">
        <f t="shared" ca="1" si="93"/>
        <v/>
      </c>
      <c r="AD600" s="557"/>
      <c r="AE600" s="958"/>
    </row>
    <row r="601" spans="1:31" ht="15" customHeight="1">
      <c r="A601" s="957">
        <v>99</v>
      </c>
      <c r="B601" s="566" t="s">
        <v>491</v>
      </c>
      <c r="C601" s="567" t="s">
        <v>1443</v>
      </c>
      <c r="D601" s="958">
        <v>1.2</v>
      </c>
      <c r="E601" s="959" t="s">
        <v>306</v>
      </c>
      <c r="F601" s="558" t="s">
        <v>1454</v>
      </c>
      <c r="G601" s="558">
        <v>722</v>
      </c>
      <c r="H601" s="558">
        <v>11.3</v>
      </c>
      <c r="I601" s="559" t="s">
        <v>322</v>
      </c>
      <c r="J601" s="567" t="s">
        <v>1445</v>
      </c>
      <c r="K601" s="961" t="s">
        <v>1373</v>
      </c>
      <c r="L601" s="555" t="str">
        <f t="shared" ca="1" si="88"/>
        <v/>
      </c>
      <c r="M601" s="494" t="s">
        <v>1446</v>
      </c>
      <c r="N601" s="555" t="str">
        <f t="shared" ca="1" si="89"/>
        <v/>
      </c>
      <c r="O601" s="494" t="s">
        <v>1447</v>
      </c>
      <c r="P601" s="555" t="str">
        <f t="shared" ca="1" si="90"/>
        <v/>
      </c>
      <c r="Q601" s="494" t="s">
        <v>1448</v>
      </c>
      <c r="R601" s="494" t="str">
        <f t="shared" si="94"/>
        <v>H601</v>
      </c>
      <c r="S601" s="494" t="s">
        <v>1449</v>
      </c>
      <c r="T601" s="494">
        <v>10</v>
      </c>
      <c r="U601" s="556" t="str">
        <f t="shared" ca="1" si="95"/>
        <v/>
      </c>
      <c r="V601" s="494">
        <v>11</v>
      </c>
      <c r="W601" s="556" t="str">
        <f t="shared" ca="1" si="96"/>
        <v/>
      </c>
      <c r="X601" s="494" t="s">
        <v>1450</v>
      </c>
      <c r="Y601" s="547" t="str">
        <f t="shared" ca="1" si="91"/>
        <v/>
      </c>
      <c r="Z601" s="494" t="s">
        <v>1451</v>
      </c>
      <c r="AA601" s="547" t="str">
        <f t="shared" ca="1" si="92"/>
        <v/>
      </c>
      <c r="AB601" s="494" t="s">
        <v>1452</v>
      </c>
      <c r="AC601" s="547" t="str">
        <f t="shared" ca="1" si="93"/>
        <v/>
      </c>
      <c r="AD601" s="557"/>
      <c r="AE601" s="958"/>
    </row>
    <row r="602" spans="1:31" ht="15" customHeight="1">
      <c r="A602" s="957">
        <v>99</v>
      </c>
      <c r="B602" s="566" t="s">
        <v>491</v>
      </c>
      <c r="C602" s="567" t="s">
        <v>1443</v>
      </c>
      <c r="D602" s="958">
        <v>1.2</v>
      </c>
      <c r="E602" s="959" t="s">
        <v>306</v>
      </c>
      <c r="F602" s="558" t="s">
        <v>1454</v>
      </c>
      <c r="G602" s="558">
        <v>415</v>
      </c>
      <c r="H602" s="558">
        <v>12</v>
      </c>
      <c r="I602" s="559" t="s">
        <v>325</v>
      </c>
      <c r="J602" s="567" t="s">
        <v>1445</v>
      </c>
      <c r="K602" s="961" t="s">
        <v>1373</v>
      </c>
      <c r="L602" s="555" t="str">
        <f t="shared" ca="1" si="88"/>
        <v/>
      </c>
      <c r="M602" s="494" t="s">
        <v>1446</v>
      </c>
      <c r="N602" s="555" t="str">
        <f t="shared" ca="1" si="89"/>
        <v/>
      </c>
      <c r="O602" s="494" t="s">
        <v>1447</v>
      </c>
      <c r="P602" s="555" t="str">
        <f t="shared" ca="1" si="90"/>
        <v/>
      </c>
      <c r="Q602" s="494" t="s">
        <v>1448</v>
      </c>
      <c r="R602" s="494" t="str">
        <f t="shared" si="94"/>
        <v>H602</v>
      </c>
      <c r="S602" s="494" t="s">
        <v>1449</v>
      </c>
      <c r="T602" s="494">
        <v>10</v>
      </c>
      <c r="U602" s="556" t="str">
        <f t="shared" ca="1" si="95"/>
        <v/>
      </c>
      <c r="V602" s="494">
        <v>11</v>
      </c>
      <c r="W602" s="556" t="str">
        <f t="shared" ca="1" si="96"/>
        <v/>
      </c>
      <c r="X602" s="494" t="s">
        <v>1450</v>
      </c>
      <c r="Y602" s="547" t="str">
        <f t="shared" ca="1" si="91"/>
        <v/>
      </c>
      <c r="Z602" s="494" t="s">
        <v>1451</v>
      </c>
      <c r="AA602" s="547" t="str">
        <f t="shared" ca="1" si="92"/>
        <v/>
      </c>
      <c r="AB602" s="494" t="s">
        <v>1452</v>
      </c>
      <c r="AC602" s="547" t="str">
        <f t="shared" ca="1" si="93"/>
        <v/>
      </c>
      <c r="AD602" s="557"/>
      <c r="AE602" s="958"/>
    </row>
    <row r="603" spans="1:31" ht="15" customHeight="1">
      <c r="A603" s="957">
        <v>99</v>
      </c>
      <c r="B603" s="566" t="s">
        <v>491</v>
      </c>
      <c r="C603" s="567" t="s">
        <v>1443</v>
      </c>
      <c r="D603" s="958">
        <v>1.2</v>
      </c>
      <c r="E603" s="959" t="s">
        <v>306</v>
      </c>
      <c r="F603" s="558" t="s">
        <v>1454</v>
      </c>
      <c r="G603" s="558">
        <v>416</v>
      </c>
      <c r="H603" s="558">
        <v>12.1</v>
      </c>
      <c r="I603" s="559" t="s">
        <v>326</v>
      </c>
      <c r="J603" s="567" t="s">
        <v>1445</v>
      </c>
      <c r="K603" s="961" t="s">
        <v>1373</v>
      </c>
      <c r="L603" s="555" t="str">
        <f t="shared" ca="1" si="88"/>
        <v/>
      </c>
      <c r="M603" s="494" t="s">
        <v>1446</v>
      </c>
      <c r="N603" s="555" t="str">
        <f t="shared" ca="1" si="89"/>
        <v/>
      </c>
      <c r="O603" s="494" t="s">
        <v>1447</v>
      </c>
      <c r="P603" s="555" t="str">
        <f t="shared" ca="1" si="90"/>
        <v/>
      </c>
      <c r="Q603" s="494" t="s">
        <v>1448</v>
      </c>
      <c r="R603" s="494" t="str">
        <f t="shared" si="94"/>
        <v>H603</v>
      </c>
      <c r="S603" s="494" t="s">
        <v>1449</v>
      </c>
      <c r="T603" s="494">
        <v>10</v>
      </c>
      <c r="U603" s="556" t="str">
        <f t="shared" ca="1" si="95"/>
        <v/>
      </c>
      <c r="V603" s="494">
        <v>11</v>
      </c>
      <c r="W603" s="556" t="str">
        <f t="shared" ca="1" si="96"/>
        <v/>
      </c>
      <c r="X603" s="494" t="s">
        <v>1450</v>
      </c>
      <c r="Y603" s="547" t="str">
        <f t="shared" ca="1" si="91"/>
        <v/>
      </c>
      <c r="Z603" s="494" t="s">
        <v>1451</v>
      </c>
      <c r="AA603" s="547" t="str">
        <f t="shared" ca="1" si="92"/>
        <v/>
      </c>
      <c r="AB603" s="494" t="s">
        <v>1452</v>
      </c>
      <c r="AC603" s="547" t="str">
        <f t="shared" ca="1" si="93"/>
        <v/>
      </c>
      <c r="AD603" s="557"/>
      <c r="AE603" s="958"/>
    </row>
    <row r="604" spans="1:31" ht="15" customHeight="1">
      <c r="A604" s="957">
        <v>99</v>
      </c>
      <c r="B604" s="566" t="s">
        <v>491</v>
      </c>
      <c r="C604" s="567" t="s">
        <v>1443</v>
      </c>
      <c r="D604" s="958">
        <v>1.2</v>
      </c>
      <c r="E604" s="959" t="s">
        <v>306</v>
      </c>
      <c r="F604" s="558" t="s">
        <v>1454</v>
      </c>
      <c r="G604" s="558">
        <v>417</v>
      </c>
      <c r="H604" s="558">
        <v>12.2</v>
      </c>
      <c r="I604" s="559" t="s">
        <v>327</v>
      </c>
      <c r="J604" s="567" t="s">
        <v>1445</v>
      </c>
      <c r="K604" s="961" t="s">
        <v>1373</v>
      </c>
      <c r="L604" s="555" t="str">
        <f t="shared" ca="1" si="88"/>
        <v/>
      </c>
      <c r="M604" s="494" t="s">
        <v>1446</v>
      </c>
      <c r="N604" s="555" t="str">
        <f t="shared" ca="1" si="89"/>
        <v/>
      </c>
      <c r="O604" s="494" t="s">
        <v>1447</v>
      </c>
      <c r="P604" s="555" t="str">
        <f t="shared" ca="1" si="90"/>
        <v/>
      </c>
      <c r="Q604" s="494" t="s">
        <v>1448</v>
      </c>
      <c r="R604" s="494" t="str">
        <f t="shared" si="94"/>
        <v>H604</v>
      </c>
      <c r="S604" s="494" t="s">
        <v>1449</v>
      </c>
      <c r="T604" s="494">
        <v>10</v>
      </c>
      <c r="U604" s="556" t="str">
        <f t="shared" ca="1" si="95"/>
        <v/>
      </c>
      <c r="V604" s="494">
        <v>11</v>
      </c>
      <c r="W604" s="556" t="str">
        <f t="shared" ca="1" si="96"/>
        <v/>
      </c>
      <c r="X604" s="494" t="s">
        <v>1450</v>
      </c>
      <c r="Y604" s="547" t="str">
        <f t="shared" ca="1" si="91"/>
        <v/>
      </c>
      <c r="Z604" s="494" t="s">
        <v>1451</v>
      </c>
      <c r="AA604" s="547" t="str">
        <f t="shared" ca="1" si="92"/>
        <v/>
      </c>
      <c r="AB604" s="494" t="s">
        <v>1452</v>
      </c>
      <c r="AC604" s="547" t="str">
        <f t="shared" ca="1" si="93"/>
        <v/>
      </c>
      <c r="AD604" s="557"/>
      <c r="AE604" s="958"/>
    </row>
    <row r="605" spans="1:31" ht="15" customHeight="1">
      <c r="A605" s="957">
        <v>99</v>
      </c>
      <c r="B605" s="566" t="s">
        <v>491</v>
      </c>
      <c r="C605" s="567" t="s">
        <v>1443</v>
      </c>
      <c r="D605" s="958">
        <v>1.2</v>
      </c>
      <c r="E605" s="959" t="s">
        <v>306</v>
      </c>
      <c r="F605" s="558" t="s">
        <v>1454</v>
      </c>
      <c r="G605" s="558">
        <v>723</v>
      </c>
      <c r="H605" s="558">
        <v>13.1</v>
      </c>
      <c r="I605" s="559" t="s">
        <v>330</v>
      </c>
      <c r="J605" s="567" t="s">
        <v>1445</v>
      </c>
      <c r="K605" s="961" t="s">
        <v>1373</v>
      </c>
      <c r="L605" s="555" t="str">
        <f t="shared" ca="1" si="88"/>
        <v/>
      </c>
      <c r="M605" s="494" t="s">
        <v>1446</v>
      </c>
      <c r="N605" s="555" t="str">
        <f t="shared" ca="1" si="89"/>
        <v/>
      </c>
      <c r="O605" s="494" t="s">
        <v>1447</v>
      </c>
      <c r="P605" s="555" t="str">
        <f t="shared" ca="1" si="90"/>
        <v/>
      </c>
      <c r="Q605" s="494" t="s">
        <v>1448</v>
      </c>
      <c r="R605" s="494" t="str">
        <f t="shared" si="94"/>
        <v>H605</v>
      </c>
      <c r="S605" s="494" t="s">
        <v>1449</v>
      </c>
      <c r="T605" s="494">
        <v>10</v>
      </c>
      <c r="U605" s="556" t="str">
        <f t="shared" ca="1" si="95"/>
        <v/>
      </c>
      <c r="V605" s="494">
        <v>11</v>
      </c>
      <c r="W605" s="556" t="str">
        <f t="shared" ca="1" si="96"/>
        <v/>
      </c>
      <c r="X605" s="494" t="s">
        <v>1450</v>
      </c>
      <c r="Y605" s="547" t="str">
        <f t="shared" ca="1" si="91"/>
        <v/>
      </c>
      <c r="Z605" s="494" t="s">
        <v>1451</v>
      </c>
      <c r="AA605" s="547" t="str">
        <f t="shared" ca="1" si="92"/>
        <v/>
      </c>
      <c r="AB605" s="494" t="s">
        <v>1452</v>
      </c>
      <c r="AC605" s="547" t="str">
        <f t="shared" ca="1" si="93"/>
        <v/>
      </c>
      <c r="AD605" s="557"/>
      <c r="AE605" s="958"/>
    </row>
    <row r="606" spans="1:31" ht="15" customHeight="1">
      <c r="A606" s="957">
        <v>99</v>
      </c>
      <c r="B606" s="566" t="s">
        <v>491</v>
      </c>
      <c r="C606" s="567" t="s">
        <v>1443</v>
      </c>
      <c r="D606" s="958">
        <v>1.2</v>
      </c>
      <c r="E606" s="959" t="s">
        <v>306</v>
      </c>
      <c r="F606" s="558" t="s">
        <v>1454</v>
      </c>
      <c r="G606" s="558">
        <v>724</v>
      </c>
      <c r="H606" s="558">
        <v>13.2</v>
      </c>
      <c r="I606" s="559" t="s">
        <v>331</v>
      </c>
      <c r="J606" s="567" t="s">
        <v>1445</v>
      </c>
      <c r="K606" s="961" t="s">
        <v>1373</v>
      </c>
      <c r="L606" s="555" t="str">
        <f t="shared" ca="1" si="88"/>
        <v/>
      </c>
      <c r="M606" s="494" t="s">
        <v>1446</v>
      </c>
      <c r="N606" s="555" t="str">
        <f t="shared" ca="1" si="89"/>
        <v/>
      </c>
      <c r="O606" s="494" t="s">
        <v>1447</v>
      </c>
      <c r="P606" s="555" t="str">
        <f t="shared" ca="1" si="90"/>
        <v/>
      </c>
      <c r="Q606" s="494" t="s">
        <v>1448</v>
      </c>
      <c r="R606" s="494" t="str">
        <f t="shared" si="94"/>
        <v>H606</v>
      </c>
      <c r="S606" s="494" t="s">
        <v>1449</v>
      </c>
      <c r="T606" s="494">
        <v>10</v>
      </c>
      <c r="U606" s="556" t="str">
        <f t="shared" ca="1" si="95"/>
        <v/>
      </c>
      <c r="V606" s="494">
        <v>11</v>
      </c>
      <c r="W606" s="556" t="str">
        <f t="shared" ca="1" si="96"/>
        <v/>
      </c>
      <c r="X606" s="494" t="s">
        <v>1450</v>
      </c>
      <c r="Y606" s="547" t="str">
        <f t="shared" ca="1" si="91"/>
        <v/>
      </c>
      <c r="Z606" s="494" t="s">
        <v>1451</v>
      </c>
      <c r="AA606" s="547" t="str">
        <f t="shared" ca="1" si="92"/>
        <v/>
      </c>
      <c r="AB606" s="494" t="s">
        <v>1452</v>
      </c>
      <c r="AC606" s="547" t="str">
        <f t="shared" ca="1" si="93"/>
        <v/>
      </c>
      <c r="AD606" s="557"/>
      <c r="AE606" s="958"/>
    </row>
    <row r="607" spans="1:31" ht="15" customHeight="1">
      <c r="A607" s="957">
        <v>99</v>
      </c>
      <c r="B607" s="566" t="s">
        <v>491</v>
      </c>
      <c r="C607" s="567" t="s">
        <v>1443</v>
      </c>
      <c r="D607" s="958">
        <v>1.2</v>
      </c>
      <c r="E607" s="959" t="s">
        <v>306</v>
      </c>
      <c r="F607" s="558" t="s">
        <v>1454</v>
      </c>
      <c r="G607" s="558">
        <v>725</v>
      </c>
      <c r="H607" s="558">
        <v>14.1</v>
      </c>
      <c r="I607" s="559" t="s">
        <v>332</v>
      </c>
      <c r="J607" s="567" t="s">
        <v>1445</v>
      </c>
      <c r="K607" s="961" t="s">
        <v>1373</v>
      </c>
      <c r="L607" s="555" t="str">
        <f t="shared" ca="1" si="88"/>
        <v/>
      </c>
      <c r="M607" s="494" t="s">
        <v>1446</v>
      </c>
      <c r="N607" s="555" t="str">
        <f t="shared" ca="1" si="89"/>
        <v/>
      </c>
      <c r="O607" s="494" t="s">
        <v>1447</v>
      </c>
      <c r="P607" s="555" t="str">
        <f t="shared" ca="1" si="90"/>
        <v/>
      </c>
      <c r="Q607" s="494" t="s">
        <v>1448</v>
      </c>
      <c r="R607" s="494" t="str">
        <f t="shared" si="94"/>
        <v>H607</v>
      </c>
      <c r="S607" s="494" t="s">
        <v>1449</v>
      </c>
      <c r="T607" s="494">
        <v>10</v>
      </c>
      <c r="U607" s="556" t="str">
        <f t="shared" ca="1" si="95"/>
        <v/>
      </c>
      <c r="V607" s="494">
        <v>11</v>
      </c>
      <c r="W607" s="556" t="str">
        <f t="shared" ca="1" si="96"/>
        <v/>
      </c>
      <c r="X607" s="494" t="s">
        <v>1450</v>
      </c>
      <c r="Y607" s="547" t="str">
        <f t="shared" ca="1" si="91"/>
        <v/>
      </c>
      <c r="Z607" s="494" t="s">
        <v>1451</v>
      </c>
      <c r="AA607" s="547" t="str">
        <f t="shared" ca="1" si="92"/>
        <v/>
      </c>
      <c r="AB607" s="494" t="s">
        <v>1452</v>
      </c>
      <c r="AC607" s="547" t="str">
        <f t="shared" ca="1" si="93"/>
        <v/>
      </c>
      <c r="AD607" s="557"/>
      <c r="AE607" s="958"/>
    </row>
    <row r="608" spans="1:31" ht="15" customHeight="1">
      <c r="A608" s="957">
        <v>99</v>
      </c>
      <c r="B608" s="566" t="s">
        <v>491</v>
      </c>
      <c r="C608" s="567" t="s">
        <v>1443</v>
      </c>
      <c r="D608" s="958">
        <v>1.2</v>
      </c>
      <c r="E608" s="959" t="s">
        <v>306</v>
      </c>
      <c r="F608" s="558" t="s">
        <v>1454</v>
      </c>
      <c r="G608" s="558">
        <v>727</v>
      </c>
      <c r="H608" s="558">
        <v>14.2</v>
      </c>
      <c r="I608" s="559" t="s">
        <v>334</v>
      </c>
      <c r="J608" s="567" t="s">
        <v>1445</v>
      </c>
      <c r="K608" s="961" t="s">
        <v>1373</v>
      </c>
      <c r="L608" s="555" t="str">
        <f t="shared" ca="1" si="88"/>
        <v/>
      </c>
      <c r="M608" s="494" t="s">
        <v>1446</v>
      </c>
      <c r="N608" s="555" t="str">
        <f t="shared" ca="1" si="89"/>
        <v/>
      </c>
      <c r="O608" s="494" t="s">
        <v>1447</v>
      </c>
      <c r="P608" s="555" t="str">
        <f t="shared" ca="1" si="90"/>
        <v/>
      </c>
      <c r="Q608" s="494" t="s">
        <v>1448</v>
      </c>
      <c r="R608" s="494" t="str">
        <f t="shared" si="94"/>
        <v>H608</v>
      </c>
      <c r="S608" s="494" t="s">
        <v>1449</v>
      </c>
      <c r="T608" s="494">
        <v>10</v>
      </c>
      <c r="U608" s="556" t="str">
        <f t="shared" ca="1" si="95"/>
        <v/>
      </c>
      <c r="V608" s="494">
        <v>11</v>
      </c>
      <c r="W608" s="556" t="str">
        <f t="shared" ca="1" si="96"/>
        <v/>
      </c>
      <c r="X608" s="494" t="s">
        <v>1450</v>
      </c>
      <c r="Y608" s="547" t="str">
        <f t="shared" ca="1" si="91"/>
        <v/>
      </c>
      <c r="Z608" s="494" t="s">
        <v>1451</v>
      </c>
      <c r="AA608" s="547" t="str">
        <f t="shared" ca="1" si="92"/>
        <v/>
      </c>
      <c r="AB608" s="494" t="s">
        <v>1452</v>
      </c>
      <c r="AC608" s="547" t="str">
        <f t="shared" ca="1" si="93"/>
        <v/>
      </c>
      <c r="AD608" s="557"/>
      <c r="AE608" s="958"/>
    </row>
    <row r="609" spans="1:31" ht="15" customHeight="1">
      <c r="A609" s="957">
        <v>99</v>
      </c>
      <c r="B609" s="566" t="s">
        <v>491</v>
      </c>
      <c r="C609" s="567" t="s">
        <v>1443</v>
      </c>
      <c r="D609" s="958">
        <v>1.2</v>
      </c>
      <c r="E609" s="959" t="s">
        <v>335</v>
      </c>
      <c r="F609" s="558" t="s">
        <v>1455</v>
      </c>
      <c r="G609" s="558">
        <v>714</v>
      </c>
      <c r="H609" s="558" t="s">
        <v>1456</v>
      </c>
      <c r="I609" s="559" t="s">
        <v>565</v>
      </c>
      <c r="J609" s="567" t="s">
        <v>1445</v>
      </c>
      <c r="K609" s="961" t="s">
        <v>1373</v>
      </c>
      <c r="L609" s="555" t="str">
        <f t="shared" ca="1" si="88"/>
        <v/>
      </c>
      <c r="M609" s="494" t="s">
        <v>1446</v>
      </c>
      <c r="N609" s="555" t="str">
        <f t="shared" ca="1" si="89"/>
        <v/>
      </c>
      <c r="O609" s="494" t="s">
        <v>1447</v>
      </c>
      <c r="P609" s="555" t="str">
        <f t="shared" ca="1" si="90"/>
        <v/>
      </c>
      <c r="Q609" s="494" t="s">
        <v>1448</v>
      </c>
      <c r="R609" s="494" t="str">
        <f t="shared" si="94"/>
        <v>H609</v>
      </c>
      <c r="S609" s="494" t="s">
        <v>1449</v>
      </c>
      <c r="T609" s="494">
        <v>10</v>
      </c>
      <c r="U609" s="556" t="str">
        <f t="shared" ca="1" si="95"/>
        <v/>
      </c>
      <c r="V609" s="494">
        <v>11</v>
      </c>
      <c r="W609" s="556" t="str">
        <f t="shared" ca="1" si="96"/>
        <v/>
      </c>
      <c r="X609" s="494" t="s">
        <v>1450</v>
      </c>
      <c r="Y609" s="547" t="str">
        <f t="shared" ca="1" si="91"/>
        <v/>
      </c>
      <c r="Z609" s="494" t="s">
        <v>1451</v>
      </c>
      <c r="AA609" s="547" t="str">
        <f t="shared" ca="1" si="92"/>
        <v/>
      </c>
      <c r="AB609" s="494" t="s">
        <v>1452</v>
      </c>
      <c r="AC609" s="547" t="str">
        <f t="shared" ca="1" si="93"/>
        <v/>
      </c>
      <c r="AD609" s="557"/>
      <c r="AE609" s="958"/>
    </row>
    <row r="610" spans="1:31" ht="15" customHeight="1">
      <c r="A610" s="957">
        <v>99</v>
      </c>
      <c r="B610" s="566" t="s">
        <v>491</v>
      </c>
      <c r="C610" s="567" t="s">
        <v>1443</v>
      </c>
      <c r="D610" s="958">
        <v>1.2</v>
      </c>
      <c r="E610" s="959" t="s">
        <v>335</v>
      </c>
      <c r="F610" s="558" t="s">
        <v>1455</v>
      </c>
      <c r="G610" s="558">
        <v>714</v>
      </c>
      <c r="H610" s="558" t="s">
        <v>1457</v>
      </c>
      <c r="I610" s="559" t="s">
        <v>1458</v>
      </c>
      <c r="J610" s="567" t="s">
        <v>1445</v>
      </c>
      <c r="K610" s="961" t="s">
        <v>1373</v>
      </c>
      <c r="L610" s="555" t="str">
        <f t="shared" ca="1" si="88"/>
        <v/>
      </c>
      <c r="M610" s="494" t="s">
        <v>1446</v>
      </c>
      <c r="N610" s="555" t="str">
        <f t="shared" ca="1" si="89"/>
        <v/>
      </c>
      <c r="O610" s="494" t="s">
        <v>1447</v>
      </c>
      <c r="P610" s="555" t="str">
        <f t="shared" ca="1" si="90"/>
        <v/>
      </c>
      <c r="Q610" s="494" t="s">
        <v>1448</v>
      </c>
      <c r="R610" s="494" t="str">
        <f t="shared" si="94"/>
        <v>H610</v>
      </c>
      <c r="S610" s="494" t="s">
        <v>1449</v>
      </c>
      <c r="T610" s="494">
        <v>10</v>
      </c>
      <c r="U610" s="556" t="str">
        <f t="shared" ca="1" si="95"/>
        <v/>
      </c>
      <c r="V610" s="494">
        <v>11</v>
      </c>
      <c r="W610" s="556" t="str">
        <f t="shared" ca="1" si="96"/>
        <v/>
      </c>
      <c r="X610" s="494" t="s">
        <v>1450</v>
      </c>
      <c r="Y610" s="547" t="str">
        <f t="shared" ca="1" si="91"/>
        <v/>
      </c>
      <c r="Z610" s="494" t="s">
        <v>1451</v>
      </c>
      <c r="AA610" s="547" t="str">
        <f t="shared" ca="1" si="92"/>
        <v/>
      </c>
      <c r="AB610" s="494" t="s">
        <v>1452</v>
      </c>
      <c r="AC610" s="547" t="str">
        <f t="shared" ca="1" si="93"/>
        <v/>
      </c>
      <c r="AD610" s="557"/>
      <c r="AE610" s="958"/>
    </row>
    <row r="611" spans="1:31" ht="15" customHeight="1">
      <c r="A611" s="957">
        <v>99</v>
      </c>
      <c r="B611" s="566" t="s">
        <v>491</v>
      </c>
      <c r="C611" s="567" t="s">
        <v>1443</v>
      </c>
      <c r="D611" s="958">
        <v>1.2</v>
      </c>
      <c r="E611" s="959" t="s">
        <v>335</v>
      </c>
      <c r="F611" s="558" t="s">
        <v>1455</v>
      </c>
      <c r="G611" s="558">
        <v>714</v>
      </c>
      <c r="H611" s="558" t="s">
        <v>1459</v>
      </c>
      <c r="I611" s="559" t="s">
        <v>1460</v>
      </c>
      <c r="J611" s="567" t="s">
        <v>1445</v>
      </c>
      <c r="K611" s="961" t="s">
        <v>1373</v>
      </c>
      <c r="L611" s="555" t="str">
        <f t="shared" ca="1" si="88"/>
        <v/>
      </c>
      <c r="M611" s="494" t="s">
        <v>1446</v>
      </c>
      <c r="N611" s="555" t="str">
        <f t="shared" ca="1" si="89"/>
        <v/>
      </c>
      <c r="O611" s="494" t="s">
        <v>1447</v>
      </c>
      <c r="P611" s="555" t="str">
        <f t="shared" ca="1" si="90"/>
        <v/>
      </c>
      <c r="Q611" s="494" t="s">
        <v>1448</v>
      </c>
      <c r="R611" s="494" t="str">
        <f t="shared" si="94"/>
        <v>H611</v>
      </c>
      <c r="S611" s="494" t="s">
        <v>1449</v>
      </c>
      <c r="T611" s="494">
        <v>10</v>
      </c>
      <c r="U611" s="556" t="str">
        <f t="shared" ca="1" si="95"/>
        <v/>
      </c>
      <c r="V611" s="494">
        <v>11</v>
      </c>
      <c r="W611" s="556" t="str">
        <f t="shared" ca="1" si="96"/>
        <v/>
      </c>
      <c r="X611" s="494" t="s">
        <v>1450</v>
      </c>
      <c r="Y611" s="547" t="str">
        <f t="shared" ca="1" si="91"/>
        <v/>
      </c>
      <c r="Z611" s="494" t="s">
        <v>1451</v>
      </c>
      <c r="AA611" s="547" t="str">
        <f t="shared" ca="1" si="92"/>
        <v/>
      </c>
      <c r="AB611" s="494" t="s">
        <v>1452</v>
      </c>
      <c r="AC611" s="547" t="str">
        <f t="shared" ca="1" si="93"/>
        <v/>
      </c>
      <c r="AD611" s="557"/>
      <c r="AE611" s="958"/>
    </row>
    <row r="612" spans="1:31" ht="15" customHeight="1">
      <c r="A612" s="957">
        <v>99</v>
      </c>
      <c r="B612" s="566" t="s">
        <v>491</v>
      </c>
      <c r="C612" s="567" t="s">
        <v>1443</v>
      </c>
      <c r="D612" s="958">
        <v>1.2</v>
      </c>
      <c r="E612" s="959" t="s">
        <v>335</v>
      </c>
      <c r="F612" s="558" t="s">
        <v>1455</v>
      </c>
      <c r="G612" s="558">
        <v>714</v>
      </c>
      <c r="H612" s="558" t="s">
        <v>1461</v>
      </c>
      <c r="I612" s="559" t="s">
        <v>619</v>
      </c>
      <c r="J612" s="567" t="s">
        <v>1445</v>
      </c>
      <c r="K612" s="961" t="s">
        <v>1373</v>
      </c>
      <c r="L612" s="555" t="str">
        <f t="shared" ca="1" si="88"/>
        <v/>
      </c>
      <c r="M612" s="494" t="s">
        <v>1446</v>
      </c>
      <c r="N612" s="555" t="str">
        <f t="shared" ca="1" si="89"/>
        <v/>
      </c>
      <c r="O612" s="494" t="s">
        <v>1447</v>
      </c>
      <c r="P612" s="555" t="str">
        <f t="shared" ca="1" si="90"/>
        <v/>
      </c>
      <c r="Q612" s="494" t="s">
        <v>1448</v>
      </c>
      <c r="R612" s="494" t="str">
        <f t="shared" si="94"/>
        <v>H612</v>
      </c>
      <c r="S612" s="494" t="s">
        <v>1449</v>
      </c>
      <c r="T612" s="494">
        <v>10</v>
      </c>
      <c r="U612" s="556" t="str">
        <f t="shared" ca="1" si="95"/>
        <v/>
      </c>
      <c r="V612" s="494">
        <v>11</v>
      </c>
      <c r="W612" s="556" t="str">
        <f t="shared" ca="1" si="96"/>
        <v/>
      </c>
      <c r="X612" s="494" t="s">
        <v>1450</v>
      </c>
      <c r="Y612" s="547" t="str">
        <f t="shared" ca="1" si="91"/>
        <v/>
      </c>
      <c r="Z612" s="494" t="s">
        <v>1451</v>
      </c>
      <c r="AA612" s="547" t="str">
        <f t="shared" ca="1" si="92"/>
        <v/>
      </c>
      <c r="AB612" s="494" t="s">
        <v>1452</v>
      </c>
      <c r="AC612" s="547" t="str">
        <f t="shared" ca="1" si="93"/>
        <v/>
      </c>
      <c r="AD612" s="557"/>
      <c r="AE612" s="958"/>
    </row>
    <row r="613" spans="1:31" ht="15" customHeight="1">
      <c r="A613" s="957">
        <v>99</v>
      </c>
      <c r="B613" s="566" t="s">
        <v>491</v>
      </c>
      <c r="C613" s="567" t="s">
        <v>1443</v>
      </c>
      <c r="D613" s="958">
        <v>1.2</v>
      </c>
      <c r="E613" s="959" t="s">
        <v>335</v>
      </c>
      <c r="F613" s="558" t="s">
        <v>1455</v>
      </c>
      <c r="G613" s="558">
        <v>714</v>
      </c>
      <c r="H613" s="558" t="s">
        <v>1462</v>
      </c>
      <c r="I613" s="559" t="s">
        <v>1463</v>
      </c>
      <c r="J613" s="567" t="s">
        <v>1445</v>
      </c>
      <c r="K613" s="961" t="s">
        <v>1373</v>
      </c>
      <c r="L613" s="555" t="str">
        <f t="shared" ca="1" si="88"/>
        <v/>
      </c>
      <c r="M613" s="494" t="s">
        <v>1446</v>
      </c>
      <c r="N613" s="555" t="str">
        <f t="shared" ca="1" si="89"/>
        <v/>
      </c>
      <c r="O613" s="494" t="s">
        <v>1447</v>
      </c>
      <c r="P613" s="555" t="str">
        <f t="shared" ca="1" si="90"/>
        <v/>
      </c>
      <c r="Q613" s="494" t="s">
        <v>1448</v>
      </c>
      <c r="R613" s="494" t="str">
        <f t="shared" si="94"/>
        <v>H613</v>
      </c>
      <c r="S613" s="494" t="s">
        <v>1449</v>
      </c>
      <c r="T613" s="494">
        <v>10</v>
      </c>
      <c r="U613" s="556" t="str">
        <f t="shared" ca="1" si="95"/>
        <v/>
      </c>
      <c r="V613" s="494">
        <v>11</v>
      </c>
      <c r="W613" s="556" t="str">
        <f t="shared" ca="1" si="96"/>
        <v/>
      </c>
      <c r="X613" s="494" t="s">
        <v>1450</v>
      </c>
      <c r="Y613" s="547" t="str">
        <f t="shared" ca="1" si="91"/>
        <v/>
      </c>
      <c r="Z613" s="494" t="s">
        <v>1451</v>
      </c>
      <c r="AA613" s="547" t="str">
        <f t="shared" ca="1" si="92"/>
        <v/>
      </c>
      <c r="AB613" s="494" t="s">
        <v>1452</v>
      </c>
      <c r="AC613" s="547" t="str">
        <f t="shared" ca="1" si="93"/>
        <v/>
      </c>
      <c r="AD613" s="557"/>
      <c r="AE613" s="958"/>
    </row>
    <row r="614" spans="1:31" ht="15" customHeight="1">
      <c r="A614" s="957">
        <v>99</v>
      </c>
      <c r="B614" s="566" t="s">
        <v>491</v>
      </c>
      <c r="C614" s="567" t="s">
        <v>1443</v>
      </c>
      <c r="D614" s="958">
        <v>1.2</v>
      </c>
      <c r="E614" s="959" t="s">
        <v>335</v>
      </c>
      <c r="F614" s="558" t="s">
        <v>1455</v>
      </c>
      <c r="G614" s="558">
        <v>714</v>
      </c>
      <c r="H614" s="558" t="s">
        <v>1464</v>
      </c>
      <c r="I614" s="559" t="s">
        <v>1465</v>
      </c>
      <c r="J614" s="567" t="s">
        <v>1445</v>
      </c>
      <c r="K614" s="961" t="s">
        <v>1373</v>
      </c>
      <c r="L614" s="555" t="str">
        <f t="shared" ca="1" si="88"/>
        <v/>
      </c>
      <c r="M614" s="494" t="s">
        <v>1446</v>
      </c>
      <c r="N614" s="555" t="str">
        <f t="shared" ca="1" si="89"/>
        <v/>
      </c>
      <c r="O614" s="494" t="s">
        <v>1447</v>
      </c>
      <c r="P614" s="555" t="str">
        <f t="shared" ca="1" si="90"/>
        <v/>
      </c>
      <c r="Q614" s="494" t="s">
        <v>1448</v>
      </c>
      <c r="R614" s="494" t="str">
        <f t="shared" si="94"/>
        <v>H614</v>
      </c>
      <c r="S614" s="494" t="s">
        <v>1449</v>
      </c>
      <c r="T614" s="494">
        <v>10</v>
      </c>
      <c r="U614" s="556" t="str">
        <f t="shared" ca="1" si="95"/>
        <v/>
      </c>
      <c r="V614" s="494">
        <v>11</v>
      </c>
      <c r="W614" s="556" t="str">
        <f t="shared" ca="1" si="96"/>
        <v/>
      </c>
      <c r="X614" s="494" t="s">
        <v>1450</v>
      </c>
      <c r="Y614" s="547" t="str">
        <f t="shared" ca="1" si="91"/>
        <v/>
      </c>
      <c r="Z614" s="494" t="s">
        <v>1451</v>
      </c>
      <c r="AA614" s="547" t="str">
        <f t="shared" ca="1" si="92"/>
        <v/>
      </c>
      <c r="AB614" s="494" t="s">
        <v>1452</v>
      </c>
      <c r="AC614" s="547" t="str">
        <f t="shared" ca="1" si="93"/>
        <v/>
      </c>
      <c r="AD614" s="557"/>
      <c r="AE614" s="958"/>
    </row>
    <row r="615" spans="1:31" ht="15" customHeight="1">
      <c r="A615" s="957">
        <v>99</v>
      </c>
      <c r="B615" s="566" t="s">
        <v>491</v>
      </c>
      <c r="C615" s="567" t="s">
        <v>1443</v>
      </c>
      <c r="D615" s="958">
        <v>1.2</v>
      </c>
      <c r="E615" s="959" t="s">
        <v>335</v>
      </c>
      <c r="F615" s="558" t="s">
        <v>1455</v>
      </c>
      <c r="G615" s="558">
        <v>714</v>
      </c>
      <c r="H615" s="558" t="s">
        <v>1466</v>
      </c>
      <c r="I615" s="559" t="s">
        <v>67</v>
      </c>
      <c r="J615" s="567" t="s">
        <v>1445</v>
      </c>
      <c r="K615" s="961" t="s">
        <v>1373</v>
      </c>
      <c r="L615" s="555" t="str">
        <f t="shared" ca="1" si="88"/>
        <v/>
      </c>
      <c r="M615" s="494" t="s">
        <v>1446</v>
      </c>
      <c r="N615" s="555" t="str">
        <f t="shared" ca="1" si="89"/>
        <v/>
      </c>
      <c r="O615" s="494" t="s">
        <v>1447</v>
      </c>
      <c r="P615" s="555" t="str">
        <f t="shared" ca="1" si="90"/>
        <v/>
      </c>
      <c r="Q615" s="494" t="s">
        <v>1448</v>
      </c>
      <c r="R615" s="494" t="str">
        <f t="shared" si="94"/>
        <v>H615</v>
      </c>
      <c r="S615" s="494" t="s">
        <v>1449</v>
      </c>
      <c r="T615" s="494">
        <v>10</v>
      </c>
      <c r="U615" s="556" t="str">
        <f t="shared" ref="U615:U642" ca="1" si="97">IF(AND($B615=INDIRECT(CONCATENATE($J615,$K615,5)),ISBLANK(INDEX(INDIRECT(CONCATENATE($J615,$Q615)),MATCH(INDIRECT($R615),INDIRECT(CONCATENATE($J615,$S615)),0),T615))=FALSE),INDEX(INDIRECT(CONCATENATE($J615,$Q615)),MATCH(INDIRECT($R615),INDIRECT(CONCATENATE($J615,$S615)),0),T615),"")</f>
        <v/>
      </c>
      <c r="V615" s="494">
        <v>11</v>
      </c>
      <c r="W615" s="556" t="str">
        <f t="shared" ref="W615:W642" ca="1" si="98">IF(AND($B615=INDIRECT(CONCATENATE($J615,$K615,5)),ISBLANK(INDEX(INDIRECT(CONCATENATE($J615,$Q615)),MATCH(INDIRECT($R615),INDIRECT(CONCATENATE($J615,$S615)),0),V615))=FALSE),INDEX(INDIRECT(CONCATENATE($J615,$Q615)),MATCH(INDIRECT($R615),INDIRECT(CONCATENATE($J615,$S615)),0),V615),"")</f>
        <v/>
      </c>
      <c r="X615" s="494" t="s">
        <v>1450</v>
      </c>
      <c r="Y615" s="547" t="str">
        <f t="shared" ca="1" si="91"/>
        <v/>
      </c>
      <c r="Z615" s="494" t="s">
        <v>1451</v>
      </c>
      <c r="AA615" s="547" t="str">
        <f t="shared" ca="1" si="92"/>
        <v/>
      </c>
      <c r="AB615" s="494" t="s">
        <v>1452</v>
      </c>
      <c r="AC615" s="547" t="str">
        <f t="shared" ca="1" si="93"/>
        <v/>
      </c>
      <c r="AD615" s="557"/>
      <c r="AE615" s="958"/>
    </row>
    <row r="616" spans="1:31" ht="15" customHeight="1">
      <c r="A616" s="957">
        <v>99</v>
      </c>
      <c r="B616" s="566" t="s">
        <v>491</v>
      </c>
      <c r="C616" s="567" t="s">
        <v>1443</v>
      </c>
      <c r="D616" s="958">
        <v>1.2</v>
      </c>
      <c r="E616" s="959" t="s">
        <v>335</v>
      </c>
      <c r="F616" s="558" t="s">
        <v>1455</v>
      </c>
      <c r="G616" s="558">
        <v>714</v>
      </c>
      <c r="H616" s="558" t="s">
        <v>1468</v>
      </c>
      <c r="I616" s="559" t="s">
        <v>1469</v>
      </c>
      <c r="J616" s="567" t="s">
        <v>1445</v>
      </c>
      <c r="K616" s="961" t="s">
        <v>1373</v>
      </c>
      <c r="L616" s="555" t="str">
        <f t="shared" ca="1" si="88"/>
        <v/>
      </c>
      <c r="M616" s="494" t="s">
        <v>1446</v>
      </c>
      <c r="N616" s="555" t="str">
        <f t="shared" ca="1" si="89"/>
        <v/>
      </c>
      <c r="O616" s="494" t="s">
        <v>1447</v>
      </c>
      <c r="P616" s="555" t="str">
        <f t="shared" ca="1" si="90"/>
        <v/>
      </c>
      <c r="Q616" s="494" t="s">
        <v>1448</v>
      </c>
      <c r="R616" s="494" t="str">
        <f t="shared" si="94"/>
        <v>H616</v>
      </c>
      <c r="S616" s="494" t="s">
        <v>1449</v>
      </c>
      <c r="T616" s="494">
        <v>10</v>
      </c>
      <c r="U616" s="556" t="str">
        <f t="shared" ca="1" si="97"/>
        <v/>
      </c>
      <c r="V616" s="494">
        <v>11</v>
      </c>
      <c r="W616" s="556" t="str">
        <f t="shared" ca="1" si="98"/>
        <v/>
      </c>
      <c r="X616" s="494" t="s">
        <v>1450</v>
      </c>
      <c r="Y616" s="547" t="str">
        <f t="shared" ca="1" si="91"/>
        <v/>
      </c>
      <c r="Z616" s="494" t="s">
        <v>1451</v>
      </c>
      <c r="AA616" s="547" t="str">
        <f t="shared" ca="1" si="92"/>
        <v/>
      </c>
      <c r="AB616" s="494" t="s">
        <v>1452</v>
      </c>
      <c r="AC616" s="547" t="str">
        <f t="shared" ca="1" si="93"/>
        <v/>
      </c>
      <c r="AD616" s="557"/>
      <c r="AE616" s="958"/>
    </row>
    <row r="617" spans="1:31" ht="15" customHeight="1">
      <c r="A617" s="957">
        <v>99</v>
      </c>
      <c r="B617" s="566" t="s">
        <v>491</v>
      </c>
      <c r="C617" s="567" t="s">
        <v>1443</v>
      </c>
      <c r="D617" s="958">
        <v>1.2</v>
      </c>
      <c r="E617" s="959" t="s">
        <v>335</v>
      </c>
      <c r="F617" s="558" t="s">
        <v>1455</v>
      </c>
      <c r="G617" s="558">
        <v>714</v>
      </c>
      <c r="H617" s="558" t="s">
        <v>1470</v>
      </c>
      <c r="I617" s="559" t="s">
        <v>1471</v>
      </c>
      <c r="J617" s="567" t="s">
        <v>1445</v>
      </c>
      <c r="K617" s="961" t="s">
        <v>1373</v>
      </c>
      <c r="L617" s="555" t="str">
        <f t="shared" ca="1" si="88"/>
        <v/>
      </c>
      <c r="M617" s="494" t="s">
        <v>1446</v>
      </c>
      <c r="N617" s="555" t="str">
        <f t="shared" ca="1" si="89"/>
        <v/>
      </c>
      <c r="O617" s="494" t="s">
        <v>1447</v>
      </c>
      <c r="P617" s="555" t="str">
        <f t="shared" ca="1" si="90"/>
        <v/>
      </c>
      <c r="Q617" s="494" t="s">
        <v>1448</v>
      </c>
      <c r="R617" s="494" t="str">
        <f t="shared" si="94"/>
        <v>H617</v>
      </c>
      <c r="S617" s="494" t="s">
        <v>1449</v>
      </c>
      <c r="T617" s="494">
        <v>10</v>
      </c>
      <c r="U617" s="556" t="str">
        <f t="shared" ca="1" si="97"/>
        <v/>
      </c>
      <c r="V617" s="494">
        <v>11</v>
      </c>
      <c r="W617" s="556" t="str">
        <f t="shared" ca="1" si="98"/>
        <v/>
      </c>
      <c r="X617" s="494" t="s">
        <v>1450</v>
      </c>
      <c r="Y617" s="547" t="str">
        <f t="shared" ca="1" si="91"/>
        <v/>
      </c>
      <c r="Z617" s="494" t="s">
        <v>1451</v>
      </c>
      <c r="AA617" s="547" t="str">
        <f t="shared" ca="1" si="92"/>
        <v/>
      </c>
      <c r="AB617" s="494" t="s">
        <v>1452</v>
      </c>
      <c r="AC617" s="547" t="str">
        <f t="shared" ca="1" si="93"/>
        <v/>
      </c>
      <c r="AD617" s="557"/>
      <c r="AE617" s="958"/>
    </row>
    <row r="618" spans="1:31" ht="15" customHeight="1">
      <c r="A618" s="957">
        <v>99</v>
      </c>
      <c r="B618" s="566" t="s">
        <v>491</v>
      </c>
      <c r="C618" s="567" t="s">
        <v>1443</v>
      </c>
      <c r="D618" s="958">
        <v>1.2</v>
      </c>
      <c r="E618" s="959" t="s">
        <v>335</v>
      </c>
      <c r="F618" s="558" t="s">
        <v>1455</v>
      </c>
      <c r="G618" s="558">
        <v>714</v>
      </c>
      <c r="H618" s="558" t="s">
        <v>1472</v>
      </c>
      <c r="I618" s="559" t="s">
        <v>1473</v>
      </c>
      <c r="J618" s="567" t="s">
        <v>1445</v>
      </c>
      <c r="K618" s="961" t="s">
        <v>1373</v>
      </c>
      <c r="L618" s="555" t="str">
        <f t="shared" ca="1" si="88"/>
        <v/>
      </c>
      <c r="M618" s="494" t="s">
        <v>1446</v>
      </c>
      <c r="N618" s="555" t="str">
        <f t="shared" ca="1" si="89"/>
        <v/>
      </c>
      <c r="O618" s="494" t="s">
        <v>1447</v>
      </c>
      <c r="P618" s="555" t="str">
        <f t="shared" ca="1" si="90"/>
        <v/>
      </c>
      <c r="Q618" s="494" t="s">
        <v>1448</v>
      </c>
      <c r="R618" s="494" t="str">
        <f t="shared" si="94"/>
        <v>H618</v>
      </c>
      <c r="S618" s="494" t="s">
        <v>1449</v>
      </c>
      <c r="T618" s="494">
        <v>10</v>
      </c>
      <c r="U618" s="556" t="str">
        <f t="shared" ca="1" si="97"/>
        <v/>
      </c>
      <c r="V618" s="494">
        <v>11</v>
      </c>
      <c r="W618" s="556" t="str">
        <f t="shared" ca="1" si="98"/>
        <v/>
      </c>
      <c r="X618" s="494" t="s">
        <v>1450</v>
      </c>
      <c r="Y618" s="547" t="str">
        <f t="shared" ca="1" si="91"/>
        <v/>
      </c>
      <c r="Z618" s="494" t="s">
        <v>1451</v>
      </c>
      <c r="AA618" s="547" t="str">
        <f t="shared" ca="1" si="92"/>
        <v/>
      </c>
      <c r="AB618" s="494" t="s">
        <v>1452</v>
      </c>
      <c r="AC618" s="547" t="str">
        <f t="shared" ca="1" si="93"/>
        <v/>
      </c>
      <c r="AD618" s="557"/>
      <c r="AE618" s="958"/>
    </row>
    <row r="619" spans="1:31" ht="15" customHeight="1">
      <c r="A619" s="957">
        <v>99</v>
      </c>
      <c r="B619" s="566" t="s">
        <v>491</v>
      </c>
      <c r="C619" s="567" t="s">
        <v>1443</v>
      </c>
      <c r="D619" s="958">
        <v>1.2</v>
      </c>
      <c r="E619" s="959" t="s">
        <v>335</v>
      </c>
      <c r="F619" s="558" t="s">
        <v>1455</v>
      </c>
      <c r="G619" s="558">
        <v>714</v>
      </c>
      <c r="H619" s="558" t="s">
        <v>1474</v>
      </c>
      <c r="I619" s="559" t="s">
        <v>1475</v>
      </c>
      <c r="J619" s="567" t="s">
        <v>1445</v>
      </c>
      <c r="K619" s="961" t="s">
        <v>1373</v>
      </c>
      <c r="L619" s="555" t="str">
        <f t="shared" ca="1" si="88"/>
        <v/>
      </c>
      <c r="M619" s="494" t="s">
        <v>1446</v>
      </c>
      <c r="N619" s="555" t="str">
        <f t="shared" ca="1" si="89"/>
        <v/>
      </c>
      <c r="O619" s="494" t="s">
        <v>1447</v>
      </c>
      <c r="P619" s="555" t="str">
        <f t="shared" ca="1" si="90"/>
        <v/>
      </c>
      <c r="Q619" s="494" t="s">
        <v>1448</v>
      </c>
      <c r="R619" s="494" t="str">
        <f t="shared" si="94"/>
        <v>H619</v>
      </c>
      <c r="S619" s="494" t="s">
        <v>1449</v>
      </c>
      <c r="T619" s="494">
        <v>10</v>
      </c>
      <c r="U619" s="556" t="str">
        <f t="shared" ca="1" si="97"/>
        <v/>
      </c>
      <c r="V619" s="494">
        <v>11</v>
      </c>
      <c r="W619" s="556" t="str">
        <f t="shared" ca="1" si="98"/>
        <v/>
      </c>
      <c r="X619" s="494" t="s">
        <v>1450</v>
      </c>
      <c r="Y619" s="547" t="str">
        <f t="shared" ca="1" si="91"/>
        <v/>
      </c>
      <c r="Z619" s="494" t="s">
        <v>1451</v>
      </c>
      <c r="AA619" s="547" t="str">
        <f t="shared" ca="1" si="92"/>
        <v/>
      </c>
      <c r="AB619" s="494" t="s">
        <v>1452</v>
      </c>
      <c r="AC619" s="547" t="str">
        <f t="shared" ca="1" si="93"/>
        <v/>
      </c>
      <c r="AD619" s="557"/>
      <c r="AE619" s="958"/>
    </row>
    <row r="620" spans="1:31" ht="15" customHeight="1">
      <c r="A620" s="957">
        <v>99</v>
      </c>
      <c r="B620" s="566" t="s">
        <v>491</v>
      </c>
      <c r="C620" s="567" t="s">
        <v>1443</v>
      </c>
      <c r="D620" s="958">
        <v>1.2</v>
      </c>
      <c r="E620" s="959" t="s">
        <v>335</v>
      </c>
      <c r="F620" s="558" t="s">
        <v>1455</v>
      </c>
      <c r="G620" s="558">
        <v>714</v>
      </c>
      <c r="H620" s="558" t="s">
        <v>1476</v>
      </c>
      <c r="I620" s="559" t="s">
        <v>1477</v>
      </c>
      <c r="J620" s="567" t="s">
        <v>1445</v>
      </c>
      <c r="K620" s="961" t="s">
        <v>1373</v>
      </c>
      <c r="L620" s="555" t="str">
        <f t="shared" ca="1" si="88"/>
        <v/>
      </c>
      <c r="M620" s="494" t="s">
        <v>1446</v>
      </c>
      <c r="N620" s="555" t="str">
        <f t="shared" ca="1" si="89"/>
        <v/>
      </c>
      <c r="O620" s="494" t="s">
        <v>1447</v>
      </c>
      <c r="P620" s="555" t="str">
        <f t="shared" ca="1" si="90"/>
        <v/>
      </c>
      <c r="Q620" s="494" t="s">
        <v>1448</v>
      </c>
      <c r="R620" s="494" t="str">
        <f t="shared" si="94"/>
        <v>H620</v>
      </c>
      <c r="S620" s="494" t="s">
        <v>1449</v>
      </c>
      <c r="T620" s="494">
        <v>10</v>
      </c>
      <c r="U620" s="556" t="str">
        <f t="shared" ca="1" si="97"/>
        <v/>
      </c>
      <c r="V620" s="494">
        <v>11</v>
      </c>
      <c r="W620" s="556" t="str">
        <f t="shared" ca="1" si="98"/>
        <v/>
      </c>
      <c r="X620" s="494" t="s">
        <v>1450</v>
      </c>
      <c r="Y620" s="547" t="str">
        <f t="shared" ca="1" si="91"/>
        <v/>
      </c>
      <c r="Z620" s="494" t="s">
        <v>1451</v>
      </c>
      <c r="AA620" s="547" t="str">
        <f t="shared" ca="1" si="92"/>
        <v/>
      </c>
      <c r="AB620" s="494" t="s">
        <v>1452</v>
      </c>
      <c r="AC620" s="547" t="str">
        <f t="shared" ca="1" si="93"/>
        <v/>
      </c>
      <c r="AD620" s="557"/>
      <c r="AE620" s="958"/>
    </row>
    <row r="621" spans="1:31" ht="15" customHeight="1">
      <c r="A621" s="957">
        <v>99</v>
      </c>
      <c r="B621" s="566" t="s">
        <v>491</v>
      </c>
      <c r="C621" s="567" t="s">
        <v>1443</v>
      </c>
      <c r="D621" s="958">
        <v>1.2</v>
      </c>
      <c r="E621" s="959" t="s">
        <v>335</v>
      </c>
      <c r="F621" s="558" t="s">
        <v>1455</v>
      </c>
      <c r="G621" s="558">
        <v>714</v>
      </c>
      <c r="H621" s="558" t="s">
        <v>1478</v>
      </c>
      <c r="I621" s="559" t="s">
        <v>1479</v>
      </c>
      <c r="J621" s="567" t="s">
        <v>1445</v>
      </c>
      <c r="K621" s="961" t="s">
        <v>1373</v>
      </c>
      <c r="L621" s="555" t="str">
        <f t="shared" ca="1" si="88"/>
        <v/>
      </c>
      <c r="M621" s="494" t="s">
        <v>1446</v>
      </c>
      <c r="N621" s="555" t="str">
        <f t="shared" ca="1" si="89"/>
        <v/>
      </c>
      <c r="O621" s="494" t="s">
        <v>1447</v>
      </c>
      <c r="P621" s="555" t="str">
        <f t="shared" ca="1" si="90"/>
        <v/>
      </c>
      <c r="Q621" s="494" t="s">
        <v>1448</v>
      </c>
      <c r="R621" s="494" t="str">
        <f t="shared" si="94"/>
        <v>H621</v>
      </c>
      <c r="S621" s="494" t="s">
        <v>1449</v>
      </c>
      <c r="T621" s="494">
        <v>10</v>
      </c>
      <c r="U621" s="556" t="str">
        <f t="shared" ca="1" si="97"/>
        <v/>
      </c>
      <c r="V621" s="494">
        <v>11</v>
      </c>
      <c r="W621" s="556" t="str">
        <f t="shared" ca="1" si="98"/>
        <v/>
      </c>
      <c r="X621" s="494" t="s">
        <v>1450</v>
      </c>
      <c r="Y621" s="547" t="str">
        <f t="shared" ca="1" si="91"/>
        <v/>
      </c>
      <c r="Z621" s="494" t="s">
        <v>1451</v>
      </c>
      <c r="AA621" s="547" t="str">
        <f t="shared" ca="1" si="92"/>
        <v/>
      </c>
      <c r="AB621" s="494" t="s">
        <v>1452</v>
      </c>
      <c r="AC621" s="547" t="str">
        <f t="shared" ca="1" si="93"/>
        <v/>
      </c>
      <c r="AD621" s="557"/>
      <c r="AE621" s="958"/>
    </row>
    <row r="622" spans="1:31" ht="15" customHeight="1">
      <c r="A622" s="957">
        <v>99</v>
      </c>
      <c r="B622" s="566" t="s">
        <v>491</v>
      </c>
      <c r="C622" s="567" t="s">
        <v>1443</v>
      </c>
      <c r="D622" s="958">
        <v>1.2</v>
      </c>
      <c r="E622" s="959" t="s">
        <v>335</v>
      </c>
      <c r="F622" s="558" t="s">
        <v>1455</v>
      </c>
      <c r="G622" s="558">
        <v>714</v>
      </c>
      <c r="H622" s="558" t="s">
        <v>1480</v>
      </c>
      <c r="I622" s="559" t="s">
        <v>1481</v>
      </c>
      <c r="J622" s="567" t="s">
        <v>1445</v>
      </c>
      <c r="K622" s="961" t="s">
        <v>1373</v>
      </c>
      <c r="L622" s="555" t="str">
        <f t="shared" ca="1" si="88"/>
        <v/>
      </c>
      <c r="M622" s="494" t="s">
        <v>1446</v>
      </c>
      <c r="N622" s="555" t="str">
        <f t="shared" ca="1" si="89"/>
        <v/>
      </c>
      <c r="O622" s="494" t="s">
        <v>1447</v>
      </c>
      <c r="P622" s="555" t="str">
        <f t="shared" ca="1" si="90"/>
        <v/>
      </c>
      <c r="Q622" s="494" t="s">
        <v>1448</v>
      </c>
      <c r="R622" s="494" t="str">
        <f t="shared" si="94"/>
        <v>H622</v>
      </c>
      <c r="S622" s="494" t="s">
        <v>1449</v>
      </c>
      <c r="T622" s="494">
        <v>10</v>
      </c>
      <c r="U622" s="556" t="str">
        <f t="shared" ca="1" si="97"/>
        <v/>
      </c>
      <c r="V622" s="494">
        <v>11</v>
      </c>
      <c r="W622" s="556" t="str">
        <f t="shared" ca="1" si="98"/>
        <v/>
      </c>
      <c r="X622" s="494" t="s">
        <v>1450</v>
      </c>
      <c r="Y622" s="547" t="str">
        <f t="shared" ca="1" si="91"/>
        <v/>
      </c>
      <c r="Z622" s="494" t="s">
        <v>1451</v>
      </c>
      <c r="AA622" s="547" t="str">
        <f t="shared" ca="1" si="92"/>
        <v/>
      </c>
      <c r="AB622" s="494" t="s">
        <v>1452</v>
      </c>
      <c r="AC622" s="547" t="str">
        <f t="shared" ca="1" si="93"/>
        <v/>
      </c>
      <c r="AD622" s="557"/>
      <c r="AE622" s="958"/>
    </row>
    <row r="623" spans="1:31" ht="15" customHeight="1">
      <c r="A623" s="957">
        <v>99</v>
      </c>
      <c r="B623" s="566" t="s">
        <v>491</v>
      </c>
      <c r="C623" s="567" t="s">
        <v>1443</v>
      </c>
      <c r="D623" s="958">
        <v>1.2</v>
      </c>
      <c r="E623" s="959" t="s">
        <v>335</v>
      </c>
      <c r="F623" s="558" t="s">
        <v>1455</v>
      </c>
      <c r="G623" s="558">
        <v>714</v>
      </c>
      <c r="H623" s="558" t="s">
        <v>1482</v>
      </c>
      <c r="I623" s="559" t="s">
        <v>1483</v>
      </c>
      <c r="J623" s="567" t="s">
        <v>1445</v>
      </c>
      <c r="K623" s="961" t="s">
        <v>1373</v>
      </c>
      <c r="L623" s="555" t="str">
        <f t="shared" ca="1" si="88"/>
        <v/>
      </c>
      <c r="M623" s="494" t="s">
        <v>1446</v>
      </c>
      <c r="N623" s="555" t="str">
        <f t="shared" ca="1" si="89"/>
        <v/>
      </c>
      <c r="O623" s="494" t="s">
        <v>1447</v>
      </c>
      <c r="P623" s="555" t="str">
        <f t="shared" ca="1" si="90"/>
        <v/>
      </c>
      <c r="Q623" s="494" t="s">
        <v>1448</v>
      </c>
      <c r="R623" s="494" t="str">
        <f t="shared" si="94"/>
        <v>H623</v>
      </c>
      <c r="S623" s="494" t="s">
        <v>1449</v>
      </c>
      <c r="T623" s="494">
        <v>10</v>
      </c>
      <c r="U623" s="556" t="str">
        <f t="shared" ca="1" si="97"/>
        <v/>
      </c>
      <c r="V623" s="494">
        <v>11</v>
      </c>
      <c r="W623" s="556" t="str">
        <f t="shared" ca="1" si="98"/>
        <v/>
      </c>
      <c r="X623" s="494" t="s">
        <v>1450</v>
      </c>
      <c r="Y623" s="547" t="str">
        <f t="shared" ca="1" si="91"/>
        <v/>
      </c>
      <c r="Z623" s="494" t="s">
        <v>1451</v>
      </c>
      <c r="AA623" s="547" t="str">
        <f t="shared" ca="1" si="92"/>
        <v/>
      </c>
      <c r="AB623" s="494" t="s">
        <v>1452</v>
      </c>
      <c r="AC623" s="547" t="str">
        <f t="shared" ca="1" si="93"/>
        <v/>
      </c>
      <c r="AD623" s="557"/>
      <c r="AE623" s="958"/>
    </row>
    <row r="624" spans="1:31" ht="15" customHeight="1">
      <c r="A624" s="957">
        <v>99</v>
      </c>
      <c r="B624" s="566" t="s">
        <v>491</v>
      </c>
      <c r="C624" s="567" t="s">
        <v>1443</v>
      </c>
      <c r="D624" s="958">
        <v>1.2</v>
      </c>
      <c r="E624" s="959" t="s">
        <v>335</v>
      </c>
      <c r="F624" s="558" t="s">
        <v>1455</v>
      </c>
      <c r="G624" s="558">
        <v>715</v>
      </c>
      <c r="H624" s="558" t="s">
        <v>341</v>
      </c>
      <c r="I624" s="559" t="s">
        <v>342</v>
      </c>
      <c r="J624" s="567" t="s">
        <v>1445</v>
      </c>
      <c r="K624" s="961" t="s">
        <v>1373</v>
      </c>
      <c r="L624" s="555" t="str">
        <f t="shared" ca="1" si="88"/>
        <v/>
      </c>
      <c r="M624" s="494" t="s">
        <v>1446</v>
      </c>
      <c r="N624" s="555" t="str">
        <f t="shared" ca="1" si="89"/>
        <v/>
      </c>
      <c r="O624" s="494" t="s">
        <v>1447</v>
      </c>
      <c r="P624" s="555" t="str">
        <f t="shared" ca="1" si="90"/>
        <v/>
      </c>
      <c r="Q624" s="494" t="s">
        <v>1448</v>
      </c>
      <c r="R624" s="494" t="str">
        <f t="shared" si="94"/>
        <v>H624</v>
      </c>
      <c r="S624" s="494" t="s">
        <v>1449</v>
      </c>
      <c r="T624" s="494">
        <v>10</v>
      </c>
      <c r="U624" s="556" t="str">
        <f t="shared" ca="1" si="97"/>
        <v/>
      </c>
      <c r="V624" s="494">
        <v>11</v>
      </c>
      <c r="W624" s="556" t="str">
        <f t="shared" ca="1" si="98"/>
        <v/>
      </c>
      <c r="X624" s="494" t="s">
        <v>1450</v>
      </c>
      <c r="Y624" s="547" t="str">
        <f t="shared" ca="1" si="91"/>
        <v/>
      </c>
      <c r="Z624" s="494" t="s">
        <v>1451</v>
      </c>
      <c r="AA624" s="547" t="str">
        <f t="shared" ca="1" si="92"/>
        <v/>
      </c>
      <c r="AB624" s="494" t="s">
        <v>1452</v>
      </c>
      <c r="AC624" s="547" t="str">
        <f t="shared" ca="1" si="93"/>
        <v/>
      </c>
      <c r="AD624" s="557"/>
      <c r="AE624" s="958"/>
    </row>
    <row r="625" spans="1:31" ht="15" customHeight="1">
      <c r="A625" s="957">
        <v>99</v>
      </c>
      <c r="B625" s="566" t="s">
        <v>491</v>
      </c>
      <c r="C625" s="567" t="s">
        <v>1443</v>
      </c>
      <c r="D625" s="958">
        <v>1.2</v>
      </c>
      <c r="E625" s="959" t="s">
        <v>335</v>
      </c>
      <c r="F625" s="558" t="s">
        <v>1455</v>
      </c>
      <c r="G625" s="558">
        <v>715</v>
      </c>
      <c r="H625" s="558" t="s">
        <v>343</v>
      </c>
      <c r="I625" s="559" t="s">
        <v>505</v>
      </c>
      <c r="J625" s="567" t="s">
        <v>1445</v>
      </c>
      <c r="K625" s="961" t="s">
        <v>1373</v>
      </c>
      <c r="L625" s="555" t="str">
        <f t="shared" ca="1" si="88"/>
        <v/>
      </c>
      <c r="M625" s="494" t="s">
        <v>1446</v>
      </c>
      <c r="N625" s="555" t="str">
        <f t="shared" ca="1" si="89"/>
        <v/>
      </c>
      <c r="O625" s="494" t="s">
        <v>1447</v>
      </c>
      <c r="P625" s="555" t="str">
        <f t="shared" ca="1" si="90"/>
        <v/>
      </c>
      <c r="Q625" s="494" t="s">
        <v>1448</v>
      </c>
      <c r="R625" s="494" t="str">
        <f t="shared" si="94"/>
        <v>H625</v>
      </c>
      <c r="S625" s="494" t="s">
        <v>1449</v>
      </c>
      <c r="T625" s="494">
        <v>10</v>
      </c>
      <c r="U625" s="556" t="str">
        <f t="shared" ca="1" si="97"/>
        <v/>
      </c>
      <c r="V625" s="494">
        <v>11</v>
      </c>
      <c r="W625" s="556" t="str">
        <f t="shared" ca="1" si="98"/>
        <v/>
      </c>
      <c r="X625" s="494" t="s">
        <v>1450</v>
      </c>
      <c r="Y625" s="547" t="str">
        <f t="shared" ca="1" si="91"/>
        <v/>
      </c>
      <c r="Z625" s="494" t="s">
        <v>1451</v>
      </c>
      <c r="AA625" s="547" t="str">
        <f t="shared" ca="1" si="92"/>
        <v/>
      </c>
      <c r="AB625" s="494" t="s">
        <v>1452</v>
      </c>
      <c r="AC625" s="547" t="str">
        <f t="shared" ca="1" si="93"/>
        <v/>
      </c>
      <c r="AD625" s="557"/>
      <c r="AE625" s="958"/>
    </row>
    <row r="626" spans="1:31" ht="15" customHeight="1">
      <c r="A626" s="957">
        <v>99</v>
      </c>
      <c r="B626" s="566" t="s">
        <v>491</v>
      </c>
      <c r="C626" s="567" t="s">
        <v>1443</v>
      </c>
      <c r="D626" s="958">
        <v>1.2</v>
      </c>
      <c r="E626" s="959" t="s">
        <v>345</v>
      </c>
      <c r="F626" s="558" t="s">
        <v>1484</v>
      </c>
      <c r="G626" s="558">
        <v>728</v>
      </c>
      <c r="H626" s="558" t="s">
        <v>1485</v>
      </c>
      <c r="I626" s="559" t="s">
        <v>265</v>
      </c>
      <c r="J626" s="567" t="s">
        <v>1445</v>
      </c>
      <c r="K626" s="961" t="s">
        <v>1373</v>
      </c>
      <c r="L626" s="555" t="str">
        <f t="shared" ca="1" si="88"/>
        <v/>
      </c>
      <c r="M626" s="494" t="s">
        <v>1446</v>
      </c>
      <c r="N626" s="555" t="str">
        <f t="shared" ca="1" si="89"/>
        <v/>
      </c>
      <c r="O626" s="494" t="s">
        <v>1447</v>
      </c>
      <c r="P626" s="555" t="str">
        <f t="shared" ca="1" si="90"/>
        <v/>
      </c>
      <c r="Q626" s="494" t="s">
        <v>1448</v>
      </c>
      <c r="R626" s="494" t="str">
        <f t="shared" si="94"/>
        <v>H626</v>
      </c>
      <c r="S626" s="494" t="s">
        <v>1449</v>
      </c>
      <c r="T626" s="494">
        <v>10</v>
      </c>
      <c r="U626" s="556" t="str">
        <f t="shared" ca="1" si="97"/>
        <v/>
      </c>
      <c r="V626" s="494">
        <v>11</v>
      </c>
      <c r="W626" s="556" t="str">
        <f t="shared" ca="1" si="98"/>
        <v/>
      </c>
      <c r="X626" s="494" t="s">
        <v>1450</v>
      </c>
      <c r="Y626" s="547" t="str">
        <f t="shared" ca="1" si="91"/>
        <v/>
      </c>
      <c r="Z626" s="494" t="s">
        <v>1451</v>
      </c>
      <c r="AA626" s="547" t="str">
        <f t="shared" ca="1" si="92"/>
        <v/>
      </c>
      <c r="AB626" s="494" t="s">
        <v>1452</v>
      </c>
      <c r="AC626" s="547" t="str">
        <f t="shared" ca="1" si="93"/>
        <v/>
      </c>
      <c r="AD626" s="557"/>
      <c r="AE626" s="958"/>
    </row>
    <row r="627" spans="1:31" ht="15" customHeight="1">
      <c r="A627" s="957">
        <v>99</v>
      </c>
      <c r="B627" s="566" t="s">
        <v>491</v>
      </c>
      <c r="C627" s="567" t="s">
        <v>1443</v>
      </c>
      <c r="D627" s="958">
        <v>1.2</v>
      </c>
      <c r="E627" s="959" t="s">
        <v>345</v>
      </c>
      <c r="F627" s="558" t="s">
        <v>1484</v>
      </c>
      <c r="G627" s="558">
        <v>728</v>
      </c>
      <c r="H627" s="558" t="s">
        <v>467</v>
      </c>
      <c r="I627" s="559" t="s">
        <v>348</v>
      </c>
      <c r="J627" s="567" t="s">
        <v>1445</v>
      </c>
      <c r="K627" s="961" t="s">
        <v>1373</v>
      </c>
      <c r="L627" s="555" t="str">
        <f t="shared" ca="1" si="88"/>
        <v/>
      </c>
      <c r="M627" s="494" t="s">
        <v>1446</v>
      </c>
      <c r="N627" s="555" t="str">
        <f t="shared" ca="1" si="89"/>
        <v/>
      </c>
      <c r="O627" s="494" t="s">
        <v>1447</v>
      </c>
      <c r="P627" s="555" t="str">
        <f t="shared" ca="1" si="90"/>
        <v/>
      </c>
      <c r="Q627" s="494" t="s">
        <v>1448</v>
      </c>
      <c r="R627" s="494" t="str">
        <f t="shared" si="94"/>
        <v>H627</v>
      </c>
      <c r="S627" s="494" t="s">
        <v>1449</v>
      </c>
      <c r="T627" s="494">
        <v>10</v>
      </c>
      <c r="U627" s="556" t="str">
        <f t="shared" ca="1" si="97"/>
        <v/>
      </c>
      <c r="V627" s="494">
        <v>11</v>
      </c>
      <c r="W627" s="556" t="str">
        <f t="shared" ca="1" si="98"/>
        <v/>
      </c>
      <c r="X627" s="494" t="s">
        <v>1450</v>
      </c>
      <c r="Y627" s="547" t="str">
        <f t="shared" ca="1" si="91"/>
        <v/>
      </c>
      <c r="Z627" s="494" t="s">
        <v>1451</v>
      </c>
      <c r="AA627" s="547" t="str">
        <f t="shared" ca="1" si="92"/>
        <v/>
      </c>
      <c r="AB627" s="494" t="s">
        <v>1452</v>
      </c>
      <c r="AC627" s="547" t="str">
        <f t="shared" ca="1" si="93"/>
        <v/>
      </c>
      <c r="AD627" s="557"/>
      <c r="AE627" s="958"/>
    </row>
    <row r="628" spans="1:31" ht="15" customHeight="1">
      <c r="A628" s="957">
        <v>99</v>
      </c>
      <c r="B628" s="566" t="s">
        <v>491</v>
      </c>
      <c r="C628" s="567" t="s">
        <v>1443</v>
      </c>
      <c r="D628" s="958">
        <v>1.2</v>
      </c>
      <c r="E628" s="959" t="s">
        <v>345</v>
      </c>
      <c r="F628" s="558" t="s">
        <v>1484</v>
      </c>
      <c r="G628" s="558">
        <v>728</v>
      </c>
      <c r="H628" s="558" t="s">
        <v>470</v>
      </c>
      <c r="I628" s="559" t="s">
        <v>349</v>
      </c>
      <c r="J628" s="567" t="s">
        <v>1445</v>
      </c>
      <c r="K628" s="961" t="s">
        <v>1373</v>
      </c>
      <c r="L628" s="555" t="str">
        <f t="shared" ca="1" si="88"/>
        <v/>
      </c>
      <c r="M628" s="494" t="s">
        <v>1446</v>
      </c>
      <c r="N628" s="555" t="str">
        <f t="shared" ca="1" si="89"/>
        <v/>
      </c>
      <c r="O628" s="494" t="s">
        <v>1447</v>
      </c>
      <c r="P628" s="555" t="str">
        <f t="shared" ca="1" si="90"/>
        <v/>
      </c>
      <c r="Q628" s="494" t="s">
        <v>1448</v>
      </c>
      <c r="R628" s="494" t="str">
        <f t="shared" si="94"/>
        <v>H628</v>
      </c>
      <c r="S628" s="494" t="s">
        <v>1449</v>
      </c>
      <c r="T628" s="494">
        <v>10</v>
      </c>
      <c r="U628" s="556" t="str">
        <f t="shared" ca="1" si="97"/>
        <v/>
      </c>
      <c r="V628" s="494">
        <v>11</v>
      </c>
      <c r="W628" s="556" t="str">
        <f t="shared" ca="1" si="98"/>
        <v/>
      </c>
      <c r="X628" s="494" t="s">
        <v>1450</v>
      </c>
      <c r="Y628" s="547" t="str">
        <f t="shared" ca="1" si="91"/>
        <v/>
      </c>
      <c r="Z628" s="494" t="s">
        <v>1451</v>
      </c>
      <c r="AA628" s="547" t="str">
        <f t="shared" ca="1" si="92"/>
        <v/>
      </c>
      <c r="AB628" s="494" t="s">
        <v>1452</v>
      </c>
      <c r="AC628" s="547" t="str">
        <f t="shared" ca="1" si="93"/>
        <v/>
      </c>
      <c r="AD628" s="557"/>
      <c r="AE628" s="958"/>
    </row>
    <row r="629" spans="1:31" ht="15" customHeight="1">
      <c r="A629" s="957">
        <v>99</v>
      </c>
      <c r="B629" s="566" t="s">
        <v>491</v>
      </c>
      <c r="C629" s="567" t="s">
        <v>1443</v>
      </c>
      <c r="D629" s="958">
        <v>1.2</v>
      </c>
      <c r="E629" s="959" t="s">
        <v>345</v>
      </c>
      <c r="F629" s="558" t="s">
        <v>1484</v>
      </c>
      <c r="G629" s="558">
        <v>728</v>
      </c>
      <c r="H629" s="558" t="s">
        <v>472</v>
      </c>
      <c r="I629" s="559" t="s">
        <v>350</v>
      </c>
      <c r="J629" s="567" t="s">
        <v>1445</v>
      </c>
      <c r="K629" s="961" t="s">
        <v>1373</v>
      </c>
      <c r="L629" s="555" t="str">
        <f t="shared" ca="1" si="88"/>
        <v/>
      </c>
      <c r="M629" s="494" t="s">
        <v>1446</v>
      </c>
      <c r="N629" s="555" t="str">
        <f t="shared" ca="1" si="89"/>
        <v/>
      </c>
      <c r="O629" s="494" t="s">
        <v>1447</v>
      </c>
      <c r="P629" s="555" t="str">
        <f t="shared" ca="1" si="90"/>
        <v/>
      </c>
      <c r="Q629" s="494" t="s">
        <v>1448</v>
      </c>
      <c r="R629" s="494" t="str">
        <f t="shared" si="94"/>
        <v>H629</v>
      </c>
      <c r="S629" s="494" t="s">
        <v>1449</v>
      </c>
      <c r="T629" s="494">
        <v>10</v>
      </c>
      <c r="U629" s="556" t="str">
        <f t="shared" ca="1" si="97"/>
        <v/>
      </c>
      <c r="V629" s="494">
        <v>11</v>
      </c>
      <c r="W629" s="556" t="str">
        <f t="shared" ca="1" si="98"/>
        <v/>
      </c>
      <c r="X629" s="494" t="s">
        <v>1450</v>
      </c>
      <c r="Y629" s="547" t="str">
        <f t="shared" ca="1" si="91"/>
        <v/>
      </c>
      <c r="Z629" s="494" t="s">
        <v>1451</v>
      </c>
      <c r="AA629" s="547" t="str">
        <f t="shared" ca="1" si="92"/>
        <v/>
      </c>
      <c r="AB629" s="494" t="s">
        <v>1452</v>
      </c>
      <c r="AC629" s="547" t="str">
        <f t="shared" ca="1" si="93"/>
        <v/>
      </c>
      <c r="AD629" s="557"/>
      <c r="AE629" s="958"/>
    </row>
    <row r="630" spans="1:31" ht="15" customHeight="1">
      <c r="A630" s="957">
        <v>99</v>
      </c>
      <c r="B630" s="566" t="s">
        <v>491</v>
      </c>
      <c r="C630" s="567" t="s">
        <v>1443</v>
      </c>
      <c r="D630" s="958">
        <v>1.2</v>
      </c>
      <c r="E630" s="959" t="s">
        <v>345</v>
      </c>
      <c r="F630" s="558" t="s">
        <v>1484</v>
      </c>
      <c r="G630" s="558">
        <v>728</v>
      </c>
      <c r="H630" s="558" t="s">
        <v>474</v>
      </c>
      <c r="I630" s="559" t="s">
        <v>351</v>
      </c>
      <c r="J630" s="567" t="s">
        <v>1445</v>
      </c>
      <c r="K630" s="961" t="s">
        <v>1373</v>
      </c>
      <c r="L630" s="555" t="str">
        <f t="shared" ca="1" si="88"/>
        <v/>
      </c>
      <c r="M630" s="494" t="s">
        <v>1446</v>
      </c>
      <c r="N630" s="555" t="str">
        <f t="shared" ca="1" si="89"/>
        <v/>
      </c>
      <c r="O630" s="494" t="s">
        <v>1447</v>
      </c>
      <c r="P630" s="555" t="str">
        <f t="shared" ca="1" si="90"/>
        <v/>
      </c>
      <c r="Q630" s="494" t="s">
        <v>1448</v>
      </c>
      <c r="R630" s="494" t="str">
        <f t="shared" si="94"/>
        <v>H630</v>
      </c>
      <c r="S630" s="494" t="s">
        <v>1449</v>
      </c>
      <c r="T630" s="494">
        <v>10</v>
      </c>
      <c r="U630" s="556" t="str">
        <f t="shared" ca="1" si="97"/>
        <v/>
      </c>
      <c r="V630" s="494">
        <v>11</v>
      </c>
      <c r="W630" s="556" t="str">
        <f t="shared" ca="1" si="98"/>
        <v/>
      </c>
      <c r="X630" s="494" t="s">
        <v>1450</v>
      </c>
      <c r="Y630" s="547" t="str">
        <f t="shared" ca="1" si="91"/>
        <v/>
      </c>
      <c r="Z630" s="494" t="s">
        <v>1451</v>
      </c>
      <c r="AA630" s="547" t="str">
        <f t="shared" ca="1" si="92"/>
        <v/>
      </c>
      <c r="AB630" s="494" t="s">
        <v>1452</v>
      </c>
      <c r="AC630" s="547" t="str">
        <f t="shared" ca="1" si="93"/>
        <v/>
      </c>
      <c r="AD630" s="557"/>
      <c r="AE630" s="958"/>
    </row>
    <row r="631" spans="1:31" ht="15" customHeight="1">
      <c r="A631" s="957">
        <v>99</v>
      </c>
      <c r="B631" s="566" t="s">
        <v>491</v>
      </c>
      <c r="C631" s="567" t="s">
        <v>1443</v>
      </c>
      <c r="D631" s="958">
        <v>1.2</v>
      </c>
      <c r="E631" s="959" t="s">
        <v>345</v>
      </c>
      <c r="F631" s="558" t="s">
        <v>1484</v>
      </c>
      <c r="G631" s="558">
        <v>728</v>
      </c>
      <c r="H631" s="558" t="s">
        <v>476</v>
      </c>
      <c r="I631" s="559" t="s">
        <v>352</v>
      </c>
      <c r="J631" s="567" t="s">
        <v>1445</v>
      </c>
      <c r="K631" s="961" t="s">
        <v>1373</v>
      </c>
      <c r="L631" s="555" t="str">
        <f t="shared" ca="1" si="88"/>
        <v/>
      </c>
      <c r="M631" s="494" t="s">
        <v>1446</v>
      </c>
      <c r="N631" s="555" t="str">
        <f t="shared" ca="1" si="89"/>
        <v/>
      </c>
      <c r="O631" s="494" t="s">
        <v>1447</v>
      </c>
      <c r="P631" s="555" t="str">
        <f t="shared" ca="1" si="90"/>
        <v/>
      </c>
      <c r="Q631" s="494" t="s">
        <v>1448</v>
      </c>
      <c r="R631" s="494" t="str">
        <f t="shared" si="94"/>
        <v>H631</v>
      </c>
      <c r="S631" s="494" t="s">
        <v>1449</v>
      </c>
      <c r="T631" s="494">
        <v>10</v>
      </c>
      <c r="U631" s="556" t="str">
        <f t="shared" ca="1" si="97"/>
        <v/>
      </c>
      <c r="V631" s="494">
        <v>11</v>
      </c>
      <c r="W631" s="556" t="str">
        <f t="shared" ca="1" si="98"/>
        <v/>
      </c>
      <c r="X631" s="494" t="s">
        <v>1450</v>
      </c>
      <c r="Y631" s="547" t="str">
        <f t="shared" ca="1" si="91"/>
        <v/>
      </c>
      <c r="Z631" s="494" t="s">
        <v>1451</v>
      </c>
      <c r="AA631" s="547" t="str">
        <f t="shared" ca="1" si="92"/>
        <v/>
      </c>
      <c r="AB631" s="494" t="s">
        <v>1452</v>
      </c>
      <c r="AC631" s="547" t="str">
        <f t="shared" ca="1" si="93"/>
        <v/>
      </c>
      <c r="AD631" s="557"/>
      <c r="AE631" s="958"/>
    </row>
    <row r="632" spans="1:31" ht="15" customHeight="1">
      <c r="A632" s="957">
        <v>99</v>
      </c>
      <c r="B632" s="566" t="s">
        <v>491</v>
      </c>
      <c r="C632" s="567" t="s">
        <v>1443</v>
      </c>
      <c r="D632" s="958">
        <v>1.2</v>
      </c>
      <c r="E632" s="959" t="s">
        <v>353</v>
      </c>
      <c r="F632" s="558" t="s">
        <v>1486</v>
      </c>
      <c r="G632" s="558">
        <v>729</v>
      </c>
      <c r="H632" s="558" t="s">
        <v>1487</v>
      </c>
      <c r="I632" s="559" t="s">
        <v>356</v>
      </c>
      <c r="J632" s="567" t="s">
        <v>1445</v>
      </c>
      <c r="K632" s="961" t="s">
        <v>1373</v>
      </c>
      <c r="L632" s="555" t="str">
        <f t="shared" ca="1" si="88"/>
        <v/>
      </c>
      <c r="M632" s="494" t="s">
        <v>1446</v>
      </c>
      <c r="N632" s="555" t="str">
        <f t="shared" ca="1" si="89"/>
        <v/>
      </c>
      <c r="O632" s="494" t="s">
        <v>1447</v>
      </c>
      <c r="P632" s="555" t="str">
        <f t="shared" ca="1" si="90"/>
        <v/>
      </c>
      <c r="Q632" s="494" t="s">
        <v>1448</v>
      </c>
      <c r="R632" s="494" t="str">
        <f t="shared" si="94"/>
        <v>H632</v>
      </c>
      <c r="S632" s="494" t="s">
        <v>1449</v>
      </c>
      <c r="T632" s="494">
        <v>10</v>
      </c>
      <c r="U632" s="556" t="str">
        <f t="shared" ca="1" si="97"/>
        <v/>
      </c>
      <c r="V632" s="494">
        <v>11</v>
      </c>
      <c r="W632" s="556" t="str">
        <f t="shared" ca="1" si="98"/>
        <v/>
      </c>
      <c r="X632" s="494" t="s">
        <v>1450</v>
      </c>
      <c r="Y632" s="547" t="str">
        <f t="shared" ca="1" si="91"/>
        <v/>
      </c>
      <c r="Z632" s="494" t="s">
        <v>1451</v>
      </c>
      <c r="AA632" s="547" t="str">
        <f t="shared" ca="1" si="92"/>
        <v/>
      </c>
      <c r="AB632" s="494" t="s">
        <v>1452</v>
      </c>
      <c r="AC632" s="547" t="str">
        <f t="shared" ca="1" si="93"/>
        <v/>
      </c>
      <c r="AD632" s="557"/>
      <c r="AE632" s="958"/>
    </row>
    <row r="633" spans="1:31" ht="15" customHeight="1">
      <c r="A633" s="957">
        <v>99</v>
      </c>
      <c r="B633" s="566" t="s">
        <v>491</v>
      </c>
      <c r="C633" s="567" t="s">
        <v>1443</v>
      </c>
      <c r="D633" s="958">
        <v>1.2</v>
      </c>
      <c r="E633" s="959" t="s">
        <v>353</v>
      </c>
      <c r="F633" s="558" t="s">
        <v>1486</v>
      </c>
      <c r="G633" s="558">
        <v>729</v>
      </c>
      <c r="H633" s="558" t="s">
        <v>357</v>
      </c>
      <c r="I633" s="559" t="s">
        <v>358</v>
      </c>
      <c r="J633" s="567" t="s">
        <v>1445</v>
      </c>
      <c r="K633" s="961" t="s">
        <v>1373</v>
      </c>
      <c r="L633" s="555" t="str">
        <f t="shared" ca="1" si="88"/>
        <v/>
      </c>
      <c r="M633" s="494" t="s">
        <v>1446</v>
      </c>
      <c r="N633" s="555" t="str">
        <f t="shared" ca="1" si="89"/>
        <v/>
      </c>
      <c r="O633" s="494" t="s">
        <v>1447</v>
      </c>
      <c r="P633" s="555" t="str">
        <f t="shared" ca="1" si="90"/>
        <v/>
      </c>
      <c r="Q633" s="494" t="s">
        <v>1448</v>
      </c>
      <c r="R633" s="494" t="str">
        <f t="shared" si="94"/>
        <v>H633</v>
      </c>
      <c r="S633" s="494" t="s">
        <v>1449</v>
      </c>
      <c r="T633" s="494">
        <v>10</v>
      </c>
      <c r="U633" s="556" t="str">
        <f t="shared" ca="1" si="97"/>
        <v/>
      </c>
      <c r="V633" s="494">
        <v>11</v>
      </c>
      <c r="W633" s="556" t="str">
        <f t="shared" ca="1" si="98"/>
        <v/>
      </c>
      <c r="X633" s="494" t="s">
        <v>1450</v>
      </c>
      <c r="Y633" s="547" t="str">
        <f t="shared" ca="1" si="91"/>
        <v/>
      </c>
      <c r="Z633" s="494" t="s">
        <v>1451</v>
      </c>
      <c r="AA633" s="547" t="str">
        <f t="shared" ca="1" si="92"/>
        <v/>
      </c>
      <c r="AB633" s="494" t="s">
        <v>1452</v>
      </c>
      <c r="AC633" s="547" t="str">
        <f t="shared" ca="1" si="93"/>
        <v/>
      </c>
      <c r="AD633" s="557"/>
      <c r="AE633" s="958"/>
    </row>
    <row r="634" spans="1:31" ht="15" customHeight="1">
      <c r="A634" s="957">
        <v>99</v>
      </c>
      <c r="B634" s="566" t="s">
        <v>491</v>
      </c>
      <c r="C634" s="567" t="s">
        <v>1443</v>
      </c>
      <c r="D634" s="958">
        <v>1.2</v>
      </c>
      <c r="E634" s="959" t="s">
        <v>353</v>
      </c>
      <c r="F634" s="558" t="s">
        <v>1486</v>
      </c>
      <c r="G634" s="558">
        <v>729</v>
      </c>
      <c r="H634" s="558" t="s">
        <v>359</v>
      </c>
      <c r="I634" s="559" t="s">
        <v>360</v>
      </c>
      <c r="J634" s="567" t="s">
        <v>1445</v>
      </c>
      <c r="K634" s="961" t="s">
        <v>1373</v>
      </c>
      <c r="L634" s="555" t="str">
        <f t="shared" ca="1" si="88"/>
        <v/>
      </c>
      <c r="M634" s="494" t="s">
        <v>1446</v>
      </c>
      <c r="N634" s="555" t="str">
        <f t="shared" ca="1" si="89"/>
        <v/>
      </c>
      <c r="O634" s="494" t="s">
        <v>1447</v>
      </c>
      <c r="P634" s="555" t="str">
        <f t="shared" ca="1" si="90"/>
        <v/>
      </c>
      <c r="Q634" s="494" t="s">
        <v>1448</v>
      </c>
      <c r="R634" s="494" t="str">
        <f t="shared" si="94"/>
        <v>H634</v>
      </c>
      <c r="S634" s="494" t="s">
        <v>1449</v>
      </c>
      <c r="T634" s="494">
        <v>10</v>
      </c>
      <c r="U634" s="556" t="str">
        <f t="shared" ca="1" si="97"/>
        <v/>
      </c>
      <c r="V634" s="494">
        <v>11</v>
      </c>
      <c r="W634" s="556" t="str">
        <f t="shared" ca="1" si="98"/>
        <v/>
      </c>
      <c r="X634" s="494" t="s">
        <v>1450</v>
      </c>
      <c r="Y634" s="547" t="str">
        <f t="shared" ca="1" si="91"/>
        <v/>
      </c>
      <c r="Z634" s="494" t="s">
        <v>1451</v>
      </c>
      <c r="AA634" s="547" t="str">
        <f t="shared" ca="1" si="92"/>
        <v/>
      </c>
      <c r="AB634" s="494" t="s">
        <v>1452</v>
      </c>
      <c r="AC634" s="547" t="str">
        <f t="shared" ca="1" si="93"/>
        <v/>
      </c>
      <c r="AD634" s="557"/>
      <c r="AE634" s="958"/>
    </row>
    <row r="635" spans="1:31" ht="15" customHeight="1">
      <c r="A635" s="957">
        <v>99</v>
      </c>
      <c r="B635" s="566" t="s">
        <v>491</v>
      </c>
      <c r="C635" s="567" t="s">
        <v>1443</v>
      </c>
      <c r="D635" s="958">
        <v>1.2</v>
      </c>
      <c r="E635" s="959" t="s">
        <v>353</v>
      </c>
      <c r="F635" s="558" t="s">
        <v>1486</v>
      </c>
      <c r="G635" s="558">
        <v>729</v>
      </c>
      <c r="H635" s="558" t="s">
        <v>361</v>
      </c>
      <c r="I635" s="559" t="s">
        <v>362</v>
      </c>
      <c r="J635" s="567" t="s">
        <v>1445</v>
      </c>
      <c r="K635" s="961" t="s">
        <v>1373</v>
      </c>
      <c r="L635" s="555" t="str">
        <f t="shared" ca="1" si="88"/>
        <v/>
      </c>
      <c r="M635" s="494" t="s">
        <v>1446</v>
      </c>
      <c r="N635" s="555" t="str">
        <f t="shared" ca="1" si="89"/>
        <v/>
      </c>
      <c r="O635" s="494" t="s">
        <v>1447</v>
      </c>
      <c r="P635" s="555" t="str">
        <f t="shared" ca="1" si="90"/>
        <v/>
      </c>
      <c r="Q635" s="494" t="s">
        <v>1448</v>
      </c>
      <c r="R635" s="494" t="str">
        <f t="shared" si="94"/>
        <v>H635</v>
      </c>
      <c r="S635" s="494" t="s">
        <v>1449</v>
      </c>
      <c r="T635" s="494">
        <v>10</v>
      </c>
      <c r="U635" s="556" t="str">
        <f t="shared" ca="1" si="97"/>
        <v/>
      </c>
      <c r="V635" s="494">
        <v>11</v>
      </c>
      <c r="W635" s="556" t="str">
        <f t="shared" ca="1" si="98"/>
        <v/>
      </c>
      <c r="X635" s="494" t="s">
        <v>1450</v>
      </c>
      <c r="Y635" s="547" t="str">
        <f t="shared" ca="1" si="91"/>
        <v/>
      </c>
      <c r="Z635" s="494" t="s">
        <v>1451</v>
      </c>
      <c r="AA635" s="547" t="str">
        <f t="shared" ca="1" si="92"/>
        <v/>
      </c>
      <c r="AB635" s="494" t="s">
        <v>1452</v>
      </c>
      <c r="AC635" s="547" t="str">
        <f t="shared" ca="1" si="93"/>
        <v/>
      </c>
      <c r="AD635" s="557"/>
      <c r="AE635" s="958"/>
    </row>
    <row r="636" spans="1:31" ht="15" customHeight="1">
      <c r="A636" s="957">
        <v>99</v>
      </c>
      <c r="B636" s="566" t="s">
        <v>491</v>
      </c>
      <c r="C636" s="567" t="s">
        <v>1443</v>
      </c>
      <c r="D636" s="958">
        <v>1.2</v>
      </c>
      <c r="E636" s="959" t="s">
        <v>353</v>
      </c>
      <c r="F636" s="558" t="s">
        <v>1486</v>
      </c>
      <c r="G636" s="558">
        <v>729</v>
      </c>
      <c r="H636" s="558" t="s">
        <v>363</v>
      </c>
      <c r="I636" s="559" t="s">
        <v>364</v>
      </c>
      <c r="J636" s="567" t="s">
        <v>1445</v>
      </c>
      <c r="K636" s="961" t="s">
        <v>1373</v>
      </c>
      <c r="L636" s="555" t="str">
        <f t="shared" ca="1" si="88"/>
        <v/>
      </c>
      <c r="M636" s="494" t="s">
        <v>1446</v>
      </c>
      <c r="N636" s="555" t="str">
        <f t="shared" ca="1" si="89"/>
        <v/>
      </c>
      <c r="O636" s="494" t="s">
        <v>1447</v>
      </c>
      <c r="P636" s="555" t="str">
        <f t="shared" ca="1" si="90"/>
        <v/>
      </c>
      <c r="Q636" s="494" t="s">
        <v>1448</v>
      </c>
      <c r="R636" s="494" t="str">
        <f t="shared" si="94"/>
        <v>H636</v>
      </c>
      <c r="S636" s="494" t="s">
        <v>1449</v>
      </c>
      <c r="T636" s="494">
        <v>10</v>
      </c>
      <c r="U636" s="556" t="str">
        <f t="shared" ca="1" si="97"/>
        <v/>
      </c>
      <c r="V636" s="494">
        <v>11</v>
      </c>
      <c r="W636" s="556" t="str">
        <f t="shared" ca="1" si="98"/>
        <v/>
      </c>
      <c r="X636" s="494" t="s">
        <v>1450</v>
      </c>
      <c r="Y636" s="547" t="str">
        <f t="shared" ca="1" si="91"/>
        <v/>
      </c>
      <c r="Z636" s="494" t="s">
        <v>1451</v>
      </c>
      <c r="AA636" s="547" t="str">
        <f t="shared" ca="1" si="92"/>
        <v/>
      </c>
      <c r="AB636" s="494" t="s">
        <v>1452</v>
      </c>
      <c r="AC636" s="547" t="str">
        <f t="shared" ca="1" si="93"/>
        <v/>
      </c>
      <c r="AD636" s="557"/>
      <c r="AE636" s="958"/>
    </row>
    <row r="637" spans="1:31" ht="15" customHeight="1">
      <c r="A637" s="957">
        <v>99</v>
      </c>
      <c r="B637" s="566" t="s">
        <v>491</v>
      </c>
      <c r="C637" s="567" t="s">
        <v>1443</v>
      </c>
      <c r="D637" s="958">
        <v>1.2</v>
      </c>
      <c r="E637" s="959" t="s">
        <v>353</v>
      </c>
      <c r="F637" s="558" t="s">
        <v>1486</v>
      </c>
      <c r="G637" s="558">
        <v>729</v>
      </c>
      <c r="H637" s="558" t="s">
        <v>365</v>
      </c>
      <c r="I637" s="559" t="s">
        <v>366</v>
      </c>
      <c r="J637" s="567" t="s">
        <v>1445</v>
      </c>
      <c r="K637" s="961" t="s">
        <v>1373</v>
      </c>
      <c r="L637" s="555" t="str">
        <f t="shared" ca="1" si="88"/>
        <v/>
      </c>
      <c r="M637" s="494" t="s">
        <v>1446</v>
      </c>
      <c r="N637" s="555" t="str">
        <f t="shared" ca="1" si="89"/>
        <v/>
      </c>
      <c r="O637" s="494" t="s">
        <v>1447</v>
      </c>
      <c r="P637" s="555" t="str">
        <f t="shared" ca="1" si="90"/>
        <v/>
      </c>
      <c r="Q637" s="494" t="s">
        <v>1448</v>
      </c>
      <c r="R637" s="494" t="str">
        <f t="shared" si="94"/>
        <v>H637</v>
      </c>
      <c r="S637" s="494" t="s">
        <v>1449</v>
      </c>
      <c r="T637" s="494">
        <v>10</v>
      </c>
      <c r="U637" s="556" t="str">
        <f t="shared" ca="1" si="97"/>
        <v/>
      </c>
      <c r="V637" s="494">
        <v>11</v>
      </c>
      <c r="W637" s="556" t="str">
        <f t="shared" ca="1" si="98"/>
        <v/>
      </c>
      <c r="X637" s="494" t="s">
        <v>1450</v>
      </c>
      <c r="Y637" s="547" t="str">
        <f t="shared" ca="1" si="91"/>
        <v/>
      </c>
      <c r="Z637" s="494" t="s">
        <v>1451</v>
      </c>
      <c r="AA637" s="547" t="str">
        <f t="shared" ca="1" si="92"/>
        <v/>
      </c>
      <c r="AB637" s="494" t="s">
        <v>1452</v>
      </c>
      <c r="AC637" s="547" t="str">
        <f t="shared" ca="1" si="93"/>
        <v/>
      </c>
      <c r="AD637" s="557"/>
      <c r="AE637" s="958"/>
    </row>
    <row r="638" spans="1:31" ht="15" customHeight="1">
      <c r="A638" s="957">
        <v>99</v>
      </c>
      <c r="B638" s="566" t="s">
        <v>491</v>
      </c>
      <c r="C638" s="567" t="s">
        <v>1443</v>
      </c>
      <c r="D638" s="958">
        <v>1.2</v>
      </c>
      <c r="E638" s="959" t="s">
        <v>367</v>
      </c>
      <c r="F638" s="558" t="s">
        <v>1488</v>
      </c>
      <c r="G638" s="558">
        <v>907</v>
      </c>
      <c r="H638" s="558" t="s">
        <v>370</v>
      </c>
      <c r="I638" s="559" t="s">
        <v>371</v>
      </c>
      <c r="J638" s="567" t="s">
        <v>1445</v>
      </c>
      <c r="K638" s="961" t="s">
        <v>1373</v>
      </c>
      <c r="L638" s="555" t="str">
        <f t="shared" ca="1" si="88"/>
        <v/>
      </c>
      <c r="M638" s="494" t="s">
        <v>1446</v>
      </c>
      <c r="N638" s="555" t="str">
        <f t="shared" ca="1" si="89"/>
        <v/>
      </c>
      <c r="O638" s="494" t="s">
        <v>1447</v>
      </c>
      <c r="P638" s="555" t="str">
        <f t="shared" ca="1" si="90"/>
        <v/>
      </c>
      <c r="Q638" s="494" t="s">
        <v>1448</v>
      </c>
      <c r="R638" s="494" t="str">
        <f t="shared" si="94"/>
        <v>H638</v>
      </c>
      <c r="S638" s="494" t="s">
        <v>1449</v>
      </c>
      <c r="T638" s="494">
        <v>10</v>
      </c>
      <c r="U638" s="556" t="str">
        <f t="shared" ca="1" si="97"/>
        <v/>
      </c>
      <c r="V638" s="494">
        <v>11</v>
      </c>
      <c r="W638" s="556" t="str">
        <f t="shared" ca="1" si="98"/>
        <v/>
      </c>
      <c r="X638" s="494" t="s">
        <v>1450</v>
      </c>
      <c r="Y638" s="547" t="str">
        <f t="shared" ca="1" si="91"/>
        <v/>
      </c>
      <c r="Z638" s="494" t="s">
        <v>1451</v>
      </c>
      <c r="AA638" s="547" t="str">
        <f t="shared" ca="1" si="92"/>
        <v/>
      </c>
      <c r="AB638" s="494" t="s">
        <v>1452</v>
      </c>
      <c r="AC638" s="547" t="str">
        <f t="shared" ca="1" si="93"/>
        <v/>
      </c>
      <c r="AD638" s="557"/>
      <c r="AE638" s="958"/>
    </row>
    <row r="639" spans="1:31" ht="15" customHeight="1">
      <c r="A639" s="957">
        <v>99</v>
      </c>
      <c r="B639" s="566" t="s">
        <v>491</v>
      </c>
      <c r="C639" s="567" t="s">
        <v>1443</v>
      </c>
      <c r="D639" s="958">
        <v>1.2</v>
      </c>
      <c r="E639" s="959" t="s">
        <v>367</v>
      </c>
      <c r="F639" s="558" t="s">
        <v>1488</v>
      </c>
      <c r="G639" s="558">
        <v>908</v>
      </c>
      <c r="H639" s="558" t="s">
        <v>373</v>
      </c>
      <c r="I639" s="559" t="s">
        <v>587</v>
      </c>
      <c r="J639" s="567" t="s">
        <v>1445</v>
      </c>
      <c r="K639" s="961" t="s">
        <v>1373</v>
      </c>
      <c r="L639" s="555" t="str">
        <f t="shared" ca="1" si="88"/>
        <v/>
      </c>
      <c r="M639" s="494" t="s">
        <v>1446</v>
      </c>
      <c r="N639" s="555" t="str">
        <f t="shared" ca="1" si="89"/>
        <v/>
      </c>
      <c r="O639" s="494" t="s">
        <v>1447</v>
      </c>
      <c r="P639" s="555" t="str">
        <f t="shared" ca="1" si="90"/>
        <v/>
      </c>
      <c r="Q639" s="494" t="s">
        <v>1448</v>
      </c>
      <c r="R639" s="494" t="str">
        <f t="shared" si="94"/>
        <v>H639</v>
      </c>
      <c r="S639" s="494" t="s">
        <v>1449</v>
      </c>
      <c r="T639" s="494">
        <v>10</v>
      </c>
      <c r="U639" s="556" t="str">
        <f t="shared" ca="1" si="97"/>
        <v/>
      </c>
      <c r="V639" s="494">
        <v>11</v>
      </c>
      <c r="W639" s="556" t="str">
        <f t="shared" ca="1" si="98"/>
        <v/>
      </c>
      <c r="X639" s="494" t="s">
        <v>1450</v>
      </c>
      <c r="Y639" s="547" t="str">
        <f t="shared" ca="1" si="91"/>
        <v/>
      </c>
      <c r="Z639" s="494" t="s">
        <v>1451</v>
      </c>
      <c r="AA639" s="547" t="str">
        <f t="shared" ca="1" si="92"/>
        <v/>
      </c>
      <c r="AB639" s="494" t="s">
        <v>1452</v>
      </c>
      <c r="AC639" s="547" t="str">
        <f t="shared" ca="1" si="93"/>
        <v/>
      </c>
      <c r="AD639" s="557"/>
      <c r="AE639" s="958"/>
    </row>
    <row r="640" spans="1:31" ht="15" customHeight="1">
      <c r="A640" s="957">
        <v>99</v>
      </c>
      <c r="B640" s="566" t="s">
        <v>491</v>
      </c>
      <c r="C640" s="567" t="s">
        <v>1443</v>
      </c>
      <c r="D640" s="958">
        <v>1.2</v>
      </c>
      <c r="E640" s="959" t="s">
        <v>367</v>
      </c>
      <c r="F640" s="558" t="s">
        <v>1488</v>
      </c>
      <c r="G640" s="558">
        <v>909</v>
      </c>
      <c r="H640" s="558" t="s">
        <v>1489</v>
      </c>
      <c r="I640" s="559" t="s">
        <v>1490</v>
      </c>
      <c r="J640" s="567" t="s">
        <v>1445</v>
      </c>
      <c r="K640" s="961" t="s">
        <v>1373</v>
      </c>
      <c r="L640" s="555" t="str">
        <f t="shared" ca="1" si="88"/>
        <v/>
      </c>
      <c r="M640" s="494" t="s">
        <v>1446</v>
      </c>
      <c r="N640" s="555" t="str">
        <f t="shared" ca="1" si="89"/>
        <v/>
      </c>
      <c r="O640" s="494" t="s">
        <v>1447</v>
      </c>
      <c r="P640" s="555" t="str">
        <f t="shared" ca="1" si="90"/>
        <v/>
      </c>
      <c r="Q640" s="494" t="s">
        <v>1448</v>
      </c>
      <c r="R640" s="494" t="str">
        <f t="shared" ref="R640:R648" si="99">CONCATENATE("I",ROW(J640))</f>
        <v>I640</v>
      </c>
      <c r="S640" s="494" t="s">
        <v>1491</v>
      </c>
      <c r="T640" s="494">
        <v>10</v>
      </c>
      <c r="U640" s="556" t="str">
        <f t="shared" ca="1" si="97"/>
        <v/>
      </c>
      <c r="V640" s="494">
        <v>11</v>
      </c>
      <c r="W640" s="556" t="str">
        <f t="shared" ca="1" si="98"/>
        <v/>
      </c>
      <c r="X640" s="494" t="s">
        <v>1450</v>
      </c>
      <c r="Y640" s="547" t="str">
        <f t="shared" ca="1" si="91"/>
        <v/>
      </c>
      <c r="Z640" s="494" t="s">
        <v>1451</v>
      </c>
      <c r="AA640" s="547" t="str">
        <f t="shared" ca="1" si="92"/>
        <v/>
      </c>
      <c r="AB640" s="494" t="s">
        <v>1452</v>
      </c>
      <c r="AC640" s="547" t="str">
        <f t="shared" ca="1" si="93"/>
        <v/>
      </c>
      <c r="AD640" s="557"/>
      <c r="AE640" s="958"/>
    </row>
    <row r="641" spans="1:31" ht="15" customHeight="1">
      <c r="A641" s="957">
        <v>99</v>
      </c>
      <c r="B641" s="566" t="s">
        <v>491</v>
      </c>
      <c r="C641" s="567" t="s">
        <v>1443</v>
      </c>
      <c r="D641" s="958">
        <v>1.2</v>
      </c>
      <c r="E641" s="959" t="s">
        <v>367</v>
      </c>
      <c r="F641" s="558" t="s">
        <v>1488</v>
      </c>
      <c r="G641" s="558">
        <v>910</v>
      </c>
      <c r="H641" s="558" t="s">
        <v>1492</v>
      </c>
      <c r="I641" s="559" t="s">
        <v>1493</v>
      </c>
      <c r="J641" s="567" t="s">
        <v>1445</v>
      </c>
      <c r="K641" s="961" t="s">
        <v>1373</v>
      </c>
      <c r="L641" s="555" t="str">
        <f t="shared" ca="1" si="88"/>
        <v/>
      </c>
      <c r="M641" s="494" t="s">
        <v>1446</v>
      </c>
      <c r="N641" s="555" t="str">
        <f t="shared" ca="1" si="89"/>
        <v/>
      </c>
      <c r="O641" s="494" t="s">
        <v>1447</v>
      </c>
      <c r="P641" s="555" t="str">
        <f t="shared" ca="1" si="90"/>
        <v/>
      </c>
      <c r="Q641" s="494" t="s">
        <v>1448</v>
      </c>
      <c r="R641" s="494" t="str">
        <f t="shared" si="99"/>
        <v>I641</v>
      </c>
      <c r="S641" s="494" t="s">
        <v>1491</v>
      </c>
      <c r="T641" s="494">
        <v>10</v>
      </c>
      <c r="U641" s="556" t="str">
        <f t="shared" ca="1" si="97"/>
        <v/>
      </c>
      <c r="V641" s="494">
        <v>11</v>
      </c>
      <c r="W641" s="556" t="str">
        <f t="shared" ca="1" si="98"/>
        <v/>
      </c>
      <c r="X641" s="494" t="s">
        <v>1450</v>
      </c>
      <c r="Y641" s="547" t="str">
        <f t="shared" ca="1" si="91"/>
        <v/>
      </c>
      <c r="Z641" s="494" t="s">
        <v>1451</v>
      </c>
      <c r="AA641" s="547" t="str">
        <f t="shared" ca="1" si="92"/>
        <v/>
      </c>
      <c r="AB641" s="494" t="s">
        <v>1452</v>
      </c>
      <c r="AC641" s="547" t="str">
        <f t="shared" ca="1" si="93"/>
        <v/>
      </c>
      <c r="AD641" s="557"/>
      <c r="AE641" s="958"/>
    </row>
    <row r="642" spans="1:31" ht="15" customHeight="1">
      <c r="A642" s="957">
        <v>99</v>
      </c>
      <c r="B642" s="566" t="s">
        <v>491</v>
      </c>
      <c r="C642" s="567" t="s">
        <v>1443</v>
      </c>
      <c r="D642" s="958">
        <v>1.2</v>
      </c>
      <c r="E642" s="959" t="s">
        <v>367</v>
      </c>
      <c r="F642" s="558" t="s">
        <v>1488</v>
      </c>
      <c r="G642" s="558">
        <v>911</v>
      </c>
      <c r="H642" s="558" t="s">
        <v>1494</v>
      </c>
      <c r="I642" s="559" t="s">
        <v>1495</v>
      </c>
      <c r="J642" s="567" t="s">
        <v>1445</v>
      </c>
      <c r="K642" s="961" t="s">
        <v>1373</v>
      </c>
      <c r="L642" s="555" t="str">
        <f t="shared" ref="L642:L705" ca="1" si="100">IF(AND(INDIRECT(CONCATENATE($J642,$K642,5))=$B642,ISNUMBER(SEARCH("Please",INDIRECT(CONCATENATE($J642,$K642,2)),1))=FALSE),SUMPRODUCT(MID(0&amp;INDIRECT(CONCATENATE($J642,$K642,2)), LARGE(INDEX(ISNUMBER(--MID(INDIRECT(CONCATENATE($J642,$K642,2)), ROW(INDIRECT("1:"&amp;LEN(INDIRECT(CONCATENATE($J642,$K642,2))))),1))*ROW(INDIRECT("1:"&amp;LEN(INDIRECT(CONCATENATE($J642,$K642,2))))),0), ROW(INDIRECT("1:"&amp;LEN(INDIRECT(CONCATENATE($J642,$K642,2))))))+1,1)*10^ROW(INDIRECT("1:"&amp;LEN(INDIRECT(CONCATENATE($J642,$K642,2)))))/10),"")</f>
        <v/>
      </c>
      <c r="M642" s="494" t="s">
        <v>1446</v>
      </c>
      <c r="N642" s="555" t="str">
        <f t="shared" ref="N642:N705" ca="1" si="101">IF(AND(INDIRECT(CONCATENATE($J642,$K642,5))=$B642,ISNUMBER(SEARCH("Select",INDIRECT(CONCATENATE($J642,$M642,6)),1))=FALSE),INDIRECT(CONCATENATE($J642,$M642,6)),"")</f>
        <v/>
      </c>
      <c r="O642" s="494" t="s">
        <v>1447</v>
      </c>
      <c r="P642" s="555" t="str">
        <f t="shared" ref="P642:P705" ca="1" si="102">IF(AND(INDIRECT(CONCATENATE($J642,$K642,5))=$B642,ISNUMBER(SEARCH("Select",INDIRECT(CONCATENATE($J642,$O642,6)),1))=FALSE),INDIRECT(CONCATENATE($J642,$O642,6)),"")</f>
        <v/>
      </c>
      <c r="Q642" s="494" t="s">
        <v>1448</v>
      </c>
      <c r="R642" s="494" t="str">
        <f t="shared" si="99"/>
        <v>I642</v>
      </c>
      <c r="S642" s="494" t="s">
        <v>1491</v>
      </c>
      <c r="T642" s="494">
        <v>10</v>
      </c>
      <c r="U642" s="556" t="str">
        <f t="shared" ca="1" si="97"/>
        <v/>
      </c>
      <c r="V642" s="494">
        <v>11</v>
      </c>
      <c r="W642" s="556" t="str">
        <f t="shared" ca="1" si="98"/>
        <v/>
      </c>
      <c r="X642" s="494" t="s">
        <v>1450</v>
      </c>
      <c r="Y642" s="547" t="str">
        <f t="shared" ref="Y642:Y705" ca="1" si="103">IF(AND(INDIRECT(CONCATENATE($J642,$K642,5))=$B642,ISBLANK(INDIRECT(CONCATENATE($J642,X642)))=FALSE),INDIRECT(CONCATENATE($J642,X642)),"")</f>
        <v/>
      </c>
      <c r="Z642" s="494" t="s">
        <v>1451</v>
      </c>
      <c r="AA642" s="547" t="str">
        <f t="shared" ref="AA642:AA705" ca="1" si="104">IF(AND(INDIRECT(CONCATENATE($J642,$K642,"5"))=$B642,ISBLANK(INDIRECT(CONCATENATE($J642,Z642)))=FALSE),INDIRECT(CONCATENATE($J642,Z642)),"")</f>
        <v/>
      </c>
      <c r="AB642" s="494" t="s">
        <v>1452</v>
      </c>
      <c r="AC642" s="547" t="str">
        <f t="shared" ref="AC642:AC705" ca="1" si="105">IF(AND(INDIRECT(CONCATENATE($J642,$K642,"5"))=$B642,ISBLANK(INDIRECT(CONCATENATE($J642,AB642)))=FALSE),INDIRECT(CONCATENATE($J642,AB642)),"")</f>
        <v/>
      </c>
      <c r="AD642" s="557"/>
      <c r="AE642" s="958"/>
    </row>
    <row r="643" spans="1:31" ht="15" customHeight="1">
      <c r="A643" s="957">
        <v>99</v>
      </c>
      <c r="B643" s="566" t="s">
        <v>491</v>
      </c>
      <c r="C643" s="567" t="s">
        <v>1443</v>
      </c>
      <c r="D643" s="958">
        <v>1.2</v>
      </c>
      <c r="E643" s="959" t="s">
        <v>367</v>
      </c>
      <c r="F643" s="558" t="s">
        <v>1488</v>
      </c>
      <c r="G643" s="558">
        <v>912</v>
      </c>
      <c r="H643" s="558" t="s">
        <v>377</v>
      </c>
      <c r="I643" s="559" t="s">
        <v>508</v>
      </c>
      <c r="J643" s="567" t="s">
        <v>1445</v>
      </c>
      <c r="K643" s="961" t="s">
        <v>1373</v>
      </c>
      <c r="L643" s="555" t="str">
        <f t="shared" ca="1" si="100"/>
        <v/>
      </c>
      <c r="M643" s="494" t="s">
        <v>1446</v>
      </c>
      <c r="N643" s="555" t="str">
        <f t="shared" ca="1" si="101"/>
        <v/>
      </c>
      <c r="O643" s="494" t="s">
        <v>1447</v>
      </c>
      <c r="P643" s="555" t="str">
        <f t="shared" ca="1" si="102"/>
        <v/>
      </c>
      <c r="Q643" s="494" t="s">
        <v>1448</v>
      </c>
      <c r="R643" s="494" t="str">
        <f t="shared" si="99"/>
        <v>I643</v>
      </c>
      <c r="S643" s="494" t="s">
        <v>1491</v>
      </c>
      <c r="T643" s="494">
        <v>10</v>
      </c>
      <c r="U643" s="556" t="str">
        <f ca="1">_xlfn.IFNA(IF(AND($B643=INDIRECT(CONCATENATE($J643,$K643,5)),ISBLANK(INDEX(INDIRECT(CONCATENATE($J643,$Q643)),MATCH(INDIRECT($R643),INDIRECT(CONCATENATE($J643,$S643)),0),T643))=FALSE),INDEX(INDIRECT(CONCATENATE($J643,$Q643)),MATCH(INDIRECT($R643),INDIRECT(CONCATENATE($J643,$S643)),0),T643),""),"")</f>
        <v/>
      </c>
      <c r="V643" s="494">
        <v>11</v>
      </c>
      <c r="W643" s="556" t="str">
        <f ca="1">_xlfn.IFNA(IF(AND($B643=INDIRECT(CONCATENATE($J643,$K643,5)),ISBLANK(INDEX(INDIRECT(CONCATENATE($J643,$Q643)),MATCH(INDIRECT($R643),INDIRECT(CONCATENATE($J643,$S643)),0),V643))=FALSE),INDEX(INDIRECT(CONCATENATE($J643,$Q643)),MATCH(INDIRECT($R643),INDIRECT(CONCATENATE($J643,$S643)),0),V643),""),"")</f>
        <v/>
      </c>
      <c r="X643" s="494" t="s">
        <v>1450</v>
      </c>
      <c r="Y643" s="547" t="str">
        <f t="shared" ca="1" si="103"/>
        <v/>
      </c>
      <c r="Z643" s="494" t="s">
        <v>1451</v>
      </c>
      <c r="AA643" s="547" t="str">
        <f t="shared" ca="1" si="104"/>
        <v/>
      </c>
      <c r="AB643" s="494" t="s">
        <v>1452</v>
      </c>
      <c r="AC643" s="547" t="str">
        <f t="shared" ca="1" si="105"/>
        <v/>
      </c>
      <c r="AD643" s="557"/>
      <c r="AE643" s="958"/>
    </row>
    <row r="644" spans="1:31" ht="15" customHeight="1">
      <c r="A644" s="957">
        <v>99</v>
      </c>
      <c r="B644" s="566" t="s">
        <v>491</v>
      </c>
      <c r="C644" s="567" t="s">
        <v>1443</v>
      </c>
      <c r="D644" s="958">
        <v>1.2</v>
      </c>
      <c r="E644" s="959" t="s">
        <v>367</v>
      </c>
      <c r="F644" s="558" t="s">
        <v>1488</v>
      </c>
      <c r="G644" s="558">
        <v>913</v>
      </c>
      <c r="H644" s="558" t="s">
        <v>377</v>
      </c>
      <c r="I644" s="559" t="s">
        <v>509</v>
      </c>
      <c r="J644" s="567" t="s">
        <v>1445</v>
      </c>
      <c r="K644" s="961" t="s">
        <v>1373</v>
      </c>
      <c r="L644" s="555" t="str">
        <f t="shared" ca="1" si="100"/>
        <v/>
      </c>
      <c r="M644" s="494" t="s">
        <v>1446</v>
      </c>
      <c r="N644" s="555" t="str">
        <f t="shared" ca="1" si="101"/>
        <v/>
      </c>
      <c r="O644" s="494" t="s">
        <v>1447</v>
      </c>
      <c r="P644" s="555" t="str">
        <f t="shared" ca="1" si="102"/>
        <v/>
      </c>
      <c r="Q644" s="494" t="s">
        <v>1448</v>
      </c>
      <c r="R644" s="494" t="str">
        <f t="shared" si="99"/>
        <v>I644</v>
      </c>
      <c r="S644" s="494" t="s">
        <v>1491</v>
      </c>
      <c r="T644" s="494">
        <v>10</v>
      </c>
      <c r="U644" s="556" t="str">
        <f ca="1">_xlfn.IFNA(IF(AND($B644=INDIRECT(CONCATENATE($J644,$K644,5)),ISBLANK(INDEX(INDIRECT(CONCATENATE($J644,$Q644)),MATCH(INDIRECT($R644),INDIRECT(CONCATENATE($J644,$S644)),0),T644))=FALSE),INDEX(INDIRECT(CONCATENATE($J644,$Q644)),MATCH(INDIRECT($R644),INDIRECT(CONCATENATE($J644,$S644)),0),T644),""),"")</f>
        <v/>
      </c>
      <c r="V644" s="494">
        <v>11</v>
      </c>
      <c r="W644" s="556" t="str">
        <f ca="1">_xlfn.IFNA(IF(AND($B644=INDIRECT(CONCATENATE($J644,$K644,5)),ISBLANK(INDEX(INDIRECT(CONCATENATE($J644,$Q644)),MATCH(INDIRECT($R644),INDIRECT(CONCATENATE($J644,$S644)),0),V644))=FALSE),INDEX(INDIRECT(CONCATENATE($J644,$Q644)),MATCH(INDIRECT($R644),INDIRECT(CONCATENATE($J644,$S644)),0),V644),""),"")</f>
        <v/>
      </c>
      <c r="X644" s="494" t="s">
        <v>1450</v>
      </c>
      <c r="Y644" s="547" t="str">
        <f t="shared" ca="1" si="103"/>
        <v/>
      </c>
      <c r="Z644" s="494" t="s">
        <v>1451</v>
      </c>
      <c r="AA644" s="547" t="str">
        <f t="shared" ca="1" si="104"/>
        <v/>
      </c>
      <c r="AB644" s="494" t="s">
        <v>1452</v>
      </c>
      <c r="AC644" s="547" t="str">
        <f t="shared" ca="1" si="105"/>
        <v/>
      </c>
      <c r="AD644" s="557"/>
      <c r="AE644" s="958"/>
    </row>
    <row r="645" spans="1:31" ht="15" customHeight="1">
      <c r="A645" s="957">
        <v>99</v>
      </c>
      <c r="B645" s="566" t="s">
        <v>491</v>
      </c>
      <c r="C645" s="567" t="s">
        <v>1443</v>
      </c>
      <c r="D645" s="958">
        <v>1.2</v>
      </c>
      <c r="E645" s="959" t="s">
        <v>367</v>
      </c>
      <c r="F645" s="558" t="s">
        <v>1488</v>
      </c>
      <c r="G645" s="558">
        <v>914</v>
      </c>
      <c r="H645" s="558" t="s">
        <v>379</v>
      </c>
      <c r="I645" s="559" t="s">
        <v>1502</v>
      </c>
      <c r="J645" s="567" t="s">
        <v>1445</v>
      </c>
      <c r="K645" s="961" t="s">
        <v>1373</v>
      </c>
      <c r="L645" s="555" t="str">
        <f t="shared" ca="1" si="100"/>
        <v/>
      </c>
      <c r="M645" s="494" t="s">
        <v>1446</v>
      </c>
      <c r="N645" s="555" t="str">
        <f t="shared" ca="1" si="101"/>
        <v/>
      </c>
      <c r="O645" s="494" t="s">
        <v>1447</v>
      </c>
      <c r="P645" s="555" t="str">
        <f t="shared" ca="1" si="102"/>
        <v/>
      </c>
      <c r="Q645" s="494" t="s">
        <v>1448</v>
      </c>
      <c r="R645" s="494" t="str">
        <f t="shared" si="99"/>
        <v>I645</v>
      </c>
      <c r="S645" s="494" t="s">
        <v>1491</v>
      </c>
      <c r="T645" s="494">
        <v>10</v>
      </c>
      <c r="U645" s="556" t="str">
        <f t="shared" ref="U645:U676" ca="1" si="106">IF(AND($B645=INDIRECT(CONCATENATE($J645,$K645,5)),ISBLANK(INDEX(INDIRECT(CONCATENATE($J645,$Q645)),MATCH(INDIRECT($R645),INDIRECT(CONCATENATE($J645,$S645)),0),T645))=FALSE),INDEX(INDIRECT(CONCATENATE($J645,$Q645)),MATCH(INDIRECT($R645),INDIRECT(CONCATENATE($J645,$S645)),0),T645),"")</f>
        <v/>
      </c>
      <c r="V645" s="494">
        <v>11</v>
      </c>
      <c r="W645" s="556" t="str">
        <f t="shared" ref="W645:W676" ca="1" si="107">IF(AND($B645=INDIRECT(CONCATENATE($J645,$K645,5)),ISBLANK(INDEX(INDIRECT(CONCATENATE($J645,$Q645)),MATCH(INDIRECT($R645),INDIRECT(CONCATENATE($J645,$S645)),0),V645))=FALSE),INDEX(INDIRECT(CONCATENATE($J645,$Q645)),MATCH(INDIRECT($R645),INDIRECT(CONCATENATE($J645,$S645)),0),V645),"")</f>
        <v/>
      </c>
      <c r="X645" s="494" t="s">
        <v>1450</v>
      </c>
      <c r="Y645" s="547" t="str">
        <f t="shared" ca="1" si="103"/>
        <v/>
      </c>
      <c r="Z645" s="494" t="s">
        <v>1451</v>
      </c>
      <c r="AA645" s="547" t="str">
        <f t="shared" ca="1" si="104"/>
        <v/>
      </c>
      <c r="AB645" s="494" t="s">
        <v>1452</v>
      </c>
      <c r="AC645" s="547" t="str">
        <f t="shared" ca="1" si="105"/>
        <v/>
      </c>
      <c r="AD645" s="557"/>
      <c r="AE645" s="958"/>
    </row>
    <row r="646" spans="1:31" ht="15" customHeight="1">
      <c r="A646" s="957">
        <v>99</v>
      </c>
      <c r="B646" s="566" t="s">
        <v>491</v>
      </c>
      <c r="C646" s="567" t="s">
        <v>1443</v>
      </c>
      <c r="D646" s="958">
        <v>1.2</v>
      </c>
      <c r="E646" s="959" t="s">
        <v>367</v>
      </c>
      <c r="F646" s="558" t="s">
        <v>1488</v>
      </c>
      <c r="G646" s="558">
        <v>915</v>
      </c>
      <c r="H646" s="558" t="s">
        <v>379</v>
      </c>
      <c r="I646" s="559" t="s">
        <v>1503</v>
      </c>
      <c r="J646" s="567" t="s">
        <v>1445</v>
      </c>
      <c r="K646" s="961" t="s">
        <v>1373</v>
      </c>
      <c r="L646" s="555" t="str">
        <f t="shared" ca="1" si="100"/>
        <v/>
      </c>
      <c r="M646" s="494" t="s">
        <v>1446</v>
      </c>
      <c r="N646" s="555" t="str">
        <f t="shared" ca="1" si="101"/>
        <v/>
      </c>
      <c r="O646" s="494" t="s">
        <v>1447</v>
      </c>
      <c r="P646" s="555" t="str">
        <f t="shared" ca="1" si="102"/>
        <v/>
      </c>
      <c r="Q646" s="494" t="s">
        <v>1448</v>
      </c>
      <c r="R646" s="494" t="str">
        <f t="shared" si="99"/>
        <v>I646</v>
      </c>
      <c r="S646" s="494" t="s">
        <v>1491</v>
      </c>
      <c r="T646" s="494">
        <v>10</v>
      </c>
      <c r="U646" s="556" t="str">
        <f t="shared" ca="1" si="106"/>
        <v/>
      </c>
      <c r="V646" s="494">
        <v>11</v>
      </c>
      <c r="W646" s="556" t="str">
        <f t="shared" ca="1" si="107"/>
        <v/>
      </c>
      <c r="X646" s="494" t="s">
        <v>1450</v>
      </c>
      <c r="Y646" s="547" t="str">
        <f t="shared" ca="1" si="103"/>
        <v/>
      </c>
      <c r="Z646" s="494" t="s">
        <v>1451</v>
      </c>
      <c r="AA646" s="547" t="str">
        <f t="shared" ca="1" si="104"/>
        <v/>
      </c>
      <c r="AB646" s="494" t="s">
        <v>1452</v>
      </c>
      <c r="AC646" s="547" t="str">
        <f t="shared" ca="1" si="105"/>
        <v/>
      </c>
      <c r="AD646" s="557"/>
      <c r="AE646" s="958"/>
    </row>
    <row r="647" spans="1:31" ht="15" customHeight="1">
      <c r="A647" s="957">
        <v>99</v>
      </c>
      <c r="B647" s="566" t="s">
        <v>491</v>
      </c>
      <c r="C647" s="567" t="s">
        <v>1443</v>
      </c>
      <c r="D647" s="958">
        <v>1.2</v>
      </c>
      <c r="E647" s="959" t="s">
        <v>367</v>
      </c>
      <c r="F647" s="558" t="s">
        <v>1488</v>
      </c>
      <c r="G647" s="558">
        <v>916</v>
      </c>
      <c r="H647" s="558" t="s">
        <v>381</v>
      </c>
      <c r="I647" s="559" t="s">
        <v>1504</v>
      </c>
      <c r="J647" s="567" t="s">
        <v>1445</v>
      </c>
      <c r="K647" s="961" t="s">
        <v>1373</v>
      </c>
      <c r="L647" s="555" t="str">
        <f t="shared" ca="1" si="100"/>
        <v/>
      </c>
      <c r="M647" s="494" t="s">
        <v>1446</v>
      </c>
      <c r="N647" s="555" t="str">
        <f t="shared" ca="1" si="101"/>
        <v/>
      </c>
      <c r="O647" s="494" t="s">
        <v>1447</v>
      </c>
      <c r="P647" s="555" t="str">
        <f t="shared" ca="1" si="102"/>
        <v/>
      </c>
      <c r="Q647" s="494" t="s">
        <v>1448</v>
      </c>
      <c r="R647" s="494" t="str">
        <f t="shared" si="99"/>
        <v>I647</v>
      </c>
      <c r="S647" s="494" t="s">
        <v>1491</v>
      </c>
      <c r="T647" s="494">
        <v>10</v>
      </c>
      <c r="U647" s="556" t="str">
        <f t="shared" ca="1" si="106"/>
        <v/>
      </c>
      <c r="V647" s="494">
        <v>11</v>
      </c>
      <c r="W647" s="556" t="str">
        <f t="shared" ca="1" si="107"/>
        <v/>
      </c>
      <c r="X647" s="494" t="s">
        <v>1450</v>
      </c>
      <c r="Y647" s="547" t="str">
        <f t="shared" ca="1" si="103"/>
        <v/>
      </c>
      <c r="Z647" s="494" t="s">
        <v>1451</v>
      </c>
      <c r="AA647" s="547" t="str">
        <f t="shared" ca="1" si="104"/>
        <v/>
      </c>
      <c r="AB647" s="494" t="s">
        <v>1452</v>
      </c>
      <c r="AC647" s="547" t="str">
        <f t="shared" ca="1" si="105"/>
        <v/>
      </c>
      <c r="AD647" s="557"/>
      <c r="AE647" s="958"/>
    </row>
    <row r="648" spans="1:31" ht="15" customHeight="1">
      <c r="A648" s="957">
        <v>99</v>
      </c>
      <c r="B648" s="566" t="s">
        <v>491</v>
      </c>
      <c r="C648" s="567" t="s">
        <v>1443</v>
      </c>
      <c r="D648" s="958">
        <v>1.2</v>
      </c>
      <c r="E648" s="959" t="s">
        <v>367</v>
      </c>
      <c r="F648" s="558" t="s">
        <v>1488</v>
      </c>
      <c r="G648" s="558">
        <v>917</v>
      </c>
      <c r="H648" s="558" t="s">
        <v>381</v>
      </c>
      <c r="I648" s="559" t="s">
        <v>1505</v>
      </c>
      <c r="J648" s="567" t="s">
        <v>1445</v>
      </c>
      <c r="K648" s="961" t="s">
        <v>1373</v>
      </c>
      <c r="L648" s="555" t="str">
        <f t="shared" ca="1" si="100"/>
        <v/>
      </c>
      <c r="M648" s="494" t="s">
        <v>1446</v>
      </c>
      <c r="N648" s="555" t="str">
        <f t="shared" ca="1" si="101"/>
        <v/>
      </c>
      <c r="O648" s="494" t="s">
        <v>1447</v>
      </c>
      <c r="P648" s="555" t="str">
        <f t="shared" ca="1" si="102"/>
        <v/>
      </c>
      <c r="Q648" s="494" t="s">
        <v>1448</v>
      </c>
      <c r="R648" s="494" t="str">
        <f t="shared" si="99"/>
        <v>I648</v>
      </c>
      <c r="S648" s="494" t="s">
        <v>1491</v>
      </c>
      <c r="T648" s="494">
        <v>10</v>
      </c>
      <c r="U648" s="556" t="str">
        <f t="shared" ca="1" si="106"/>
        <v/>
      </c>
      <c r="V648" s="494">
        <v>11</v>
      </c>
      <c r="W648" s="556" t="str">
        <f t="shared" ca="1" si="107"/>
        <v/>
      </c>
      <c r="X648" s="494" t="s">
        <v>1450</v>
      </c>
      <c r="Y648" s="547" t="str">
        <f t="shared" ca="1" si="103"/>
        <v/>
      </c>
      <c r="Z648" s="494" t="s">
        <v>1451</v>
      </c>
      <c r="AA648" s="547" t="str">
        <f t="shared" ca="1" si="104"/>
        <v/>
      </c>
      <c r="AB648" s="494" t="s">
        <v>1452</v>
      </c>
      <c r="AC648" s="547" t="str">
        <f t="shared" ca="1" si="105"/>
        <v/>
      </c>
      <c r="AD648" s="557"/>
      <c r="AE648" s="958"/>
    </row>
    <row r="649" spans="1:31" ht="15" customHeight="1">
      <c r="A649" s="957">
        <v>99</v>
      </c>
      <c r="B649" s="566" t="s">
        <v>491</v>
      </c>
      <c r="C649" s="567" t="s">
        <v>1443</v>
      </c>
      <c r="D649" s="958">
        <v>1.2</v>
      </c>
      <c r="E649" s="959" t="s">
        <v>367</v>
      </c>
      <c r="F649" s="558" t="s">
        <v>1488</v>
      </c>
      <c r="G649" s="558">
        <v>731</v>
      </c>
      <c r="H649" s="558">
        <v>20.100000000000001</v>
      </c>
      <c r="I649" s="559" t="s">
        <v>385</v>
      </c>
      <c r="J649" s="567" t="s">
        <v>1445</v>
      </c>
      <c r="K649" s="961" t="s">
        <v>1373</v>
      </c>
      <c r="L649" s="555" t="str">
        <f t="shared" ca="1" si="100"/>
        <v/>
      </c>
      <c r="M649" s="494" t="s">
        <v>1446</v>
      </c>
      <c r="N649" s="555" t="str">
        <f t="shared" ca="1" si="101"/>
        <v/>
      </c>
      <c r="O649" s="494" t="s">
        <v>1447</v>
      </c>
      <c r="P649" s="555" t="str">
        <f t="shared" ca="1" si="102"/>
        <v/>
      </c>
      <c r="Q649" s="494" t="s">
        <v>1448</v>
      </c>
      <c r="R649" s="494" t="str">
        <f t="shared" ref="R649:R711" si="108">CONCATENATE("H",ROW(J649))</f>
        <v>H649</v>
      </c>
      <c r="S649" s="494" t="s">
        <v>1449</v>
      </c>
      <c r="T649" s="494">
        <v>10</v>
      </c>
      <c r="U649" s="556" t="str">
        <f t="shared" ca="1" si="106"/>
        <v/>
      </c>
      <c r="V649" s="494">
        <v>11</v>
      </c>
      <c r="W649" s="556" t="str">
        <f t="shared" ca="1" si="107"/>
        <v/>
      </c>
      <c r="X649" s="494" t="s">
        <v>1450</v>
      </c>
      <c r="Y649" s="547" t="str">
        <f t="shared" ca="1" si="103"/>
        <v/>
      </c>
      <c r="Z649" s="494" t="s">
        <v>1451</v>
      </c>
      <c r="AA649" s="547" t="str">
        <f t="shared" ca="1" si="104"/>
        <v/>
      </c>
      <c r="AB649" s="494" t="s">
        <v>1452</v>
      </c>
      <c r="AC649" s="547" t="str">
        <f t="shared" ca="1" si="105"/>
        <v/>
      </c>
      <c r="AD649" s="557"/>
      <c r="AE649" s="958"/>
    </row>
    <row r="650" spans="1:31" ht="15" customHeight="1">
      <c r="A650" s="957">
        <v>99</v>
      </c>
      <c r="B650" s="566" t="s">
        <v>491</v>
      </c>
      <c r="C650" s="567" t="s">
        <v>1443</v>
      </c>
      <c r="D650" s="958">
        <v>1.2</v>
      </c>
      <c r="E650" s="959" t="s">
        <v>367</v>
      </c>
      <c r="F650" s="558" t="s">
        <v>1488</v>
      </c>
      <c r="G650" s="558">
        <v>732</v>
      </c>
      <c r="H650" s="558">
        <v>20.2</v>
      </c>
      <c r="I650" s="559" t="s">
        <v>511</v>
      </c>
      <c r="J650" s="567" t="s">
        <v>1445</v>
      </c>
      <c r="K650" s="961" t="s">
        <v>1373</v>
      </c>
      <c r="L650" s="555" t="str">
        <f t="shared" ca="1" si="100"/>
        <v/>
      </c>
      <c r="M650" s="494" t="s">
        <v>1446</v>
      </c>
      <c r="N650" s="555" t="str">
        <f t="shared" ca="1" si="101"/>
        <v/>
      </c>
      <c r="O650" s="494" t="s">
        <v>1447</v>
      </c>
      <c r="P650" s="555" t="str">
        <f t="shared" ca="1" si="102"/>
        <v/>
      </c>
      <c r="Q650" s="494" t="s">
        <v>1448</v>
      </c>
      <c r="R650" s="494" t="str">
        <f t="shared" si="108"/>
        <v>H650</v>
      </c>
      <c r="S650" s="494" t="s">
        <v>1449</v>
      </c>
      <c r="T650" s="494">
        <v>10</v>
      </c>
      <c r="U650" s="556" t="str">
        <f t="shared" ca="1" si="106"/>
        <v/>
      </c>
      <c r="V650" s="494">
        <v>11</v>
      </c>
      <c r="W650" s="556" t="str">
        <f t="shared" ca="1" si="107"/>
        <v/>
      </c>
      <c r="X650" s="494" t="s">
        <v>1450</v>
      </c>
      <c r="Y650" s="547" t="str">
        <f t="shared" ca="1" si="103"/>
        <v/>
      </c>
      <c r="Z650" s="494" t="s">
        <v>1451</v>
      </c>
      <c r="AA650" s="547" t="str">
        <f t="shared" ca="1" si="104"/>
        <v/>
      </c>
      <c r="AB650" s="494" t="s">
        <v>1452</v>
      </c>
      <c r="AC650" s="547" t="str">
        <f t="shared" ca="1" si="105"/>
        <v/>
      </c>
      <c r="AD650" s="557"/>
      <c r="AE650" s="958"/>
    </row>
    <row r="651" spans="1:31" ht="15" customHeight="1">
      <c r="A651" s="957">
        <v>99</v>
      </c>
      <c r="B651" s="566" t="s">
        <v>491</v>
      </c>
      <c r="C651" s="567" t="s">
        <v>1443</v>
      </c>
      <c r="D651" s="958">
        <v>1.2</v>
      </c>
      <c r="E651" s="959" t="s">
        <v>367</v>
      </c>
      <c r="F651" s="558" t="s">
        <v>1488</v>
      </c>
      <c r="G651" s="558">
        <v>812</v>
      </c>
      <c r="H651" s="558">
        <v>20.3</v>
      </c>
      <c r="I651" s="559" t="s">
        <v>387</v>
      </c>
      <c r="J651" s="567" t="s">
        <v>1445</v>
      </c>
      <c r="K651" s="961" t="s">
        <v>1373</v>
      </c>
      <c r="L651" s="555" t="str">
        <f t="shared" ca="1" si="100"/>
        <v/>
      </c>
      <c r="M651" s="494" t="s">
        <v>1446</v>
      </c>
      <c r="N651" s="555" t="str">
        <f t="shared" ca="1" si="101"/>
        <v/>
      </c>
      <c r="O651" s="494" t="s">
        <v>1447</v>
      </c>
      <c r="P651" s="555" t="str">
        <f t="shared" ca="1" si="102"/>
        <v/>
      </c>
      <c r="Q651" s="494" t="s">
        <v>1448</v>
      </c>
      <c r="R651" s="494" t="str">
        <f t="shared" si="108"/>
        <v>H651</v>
      </c>
      <c r="S651" s="494" t="s">
        <v>1449</v>
      </c>
      <c r="T651" s="494">
        <v>10</v>
      </c>
      <c r="U651" s="556" t="str">
        <f t="shared" ca="1" si="106"/>
        <v/>
      </c>
      <c r="V651" s="494">
        <v>11</v>
      </c>
      <c r="W651" s="556" t="str">
        <f t="shared" ca="1" si="107"/>
        <v/>
      </c>
      <c r="X651" s="494" t="s">
        <v>1450</v>
      </c>
      <c r="Y651" s="547" t="str">
        <f t="shared" ca="1" si="103"/>
        <v/>
      </c>
      <c r="Z651" s="494" t="s">
        <v>1451</v>
      </c>
      <c r="AA651" s="547" t="str">
        <f t="shared" ca="1" si="104"/>
        <v/>
      </c>
      <c r="AB651" s="494" t="s">
        <v>1452</v>
      </c>
      <c r="AC651" s="547" t="str">
        <f t="shared" ca="1" si="105"/>
        <v/>
      </c>
      <c r="AD651" s="557"/>
      <c r="AE651" s="958"/>
    </row>
    <row r="652" spans="1:31" ht="15" customHeight="1">
      <c r="A652" s="957">
        <v>99</v>
      </c>
      <c r="B652" s="566" t="s">
        <v>491</v>
      </c>
      <c r="C652" s="567" t="s">
        <v>1443</v>
      </c>
      <c r="D652" s="958">
        <v>1.2</v>
      </c>
      <c r="E652" s="959" t="s">
        <v>367</v>
      </c>
      <c r="F652" s="558" t="s">
        <v>1488</v>
      </c>
      <c r="G652" s="558">
        <v>734</v>
      </c>
      <c r="H652" s="558">
        <v>21.1</v>
      </c>
      <c r="I652" s="559" t="s">
        <v>390</v>
      </c>
      <c r="J652" s="567" t="s">
        <v>1445</v>
      </c>
      <c r="K652" s="961" t="s">
        <v>1373</v>
      </c>
      <c r="L652" s="555" t="str">
        <f t="shared" ca="1" si="100"/>
        <v/>
      </c>
      <c r="M652" s="494" t="s">
        <v>1446</v>
      </c>
      <c r="N652" s="555" t="str">
        <f t="shared" ca="1" si="101"/>
        <v/>
      </c>
      <c r="O652" s="494" t="s">
        <v>1447</v>
      </c>
      <c r="P652" s="555" t="str">
        <f t="shared" ca="1" si="102"/>
        <v/>
      </c>
      <c r="Q652" s="494" t="s">
        <v>1448</v>
      </c>
      <c r="R652" s="494" t="str">
        <f t="shared" si="108"/>
        <v>H652</v>
      </c>
      <c r="S652" s="494" t="s">
        <v>1449</v>
      </c>
      <c r="T652" s="494">
        <v>10</v>
      </c>
      <c r="U652" s="556" t="str">
        <f t="shared" ca="1" si="106"/>
        <v/>
      </c>
      <c r="V652" s="494">
        <v>11</v>
      </c>
      <c r="W652" s="556" t="str">
        <f t="shared" ca="1" si="107"/>
        <v/>
      </c>
      <c r="X652" s="494" t="s">
        <v>1450</v>
      </c>
      <c r="Y652" s="547" t="str">
        <f t="shared" ca="1" si="103"/>
        <v/>
      </c>
      <c r="Z652" s="494" t="s">
        <v>1451</v>
      </c>
      <c r="AA652" s="547" t="str">
        <f t="shared" ca="1" si="104"/>
        <v/>
      </c>
      <c r="AB652" s="494" t="s">
        <v>1452</v>
      </c>
      <c r="AC652" s="547" t="str">
        <f t="shared" ca="1" si="105"/>
        <v/>
      </c>
      <c r="AD652" s="557"/>
      <c r="AE652" s="958"/>
    </row>
    <row r="653" spans="1:31" ht="15" customHeight="1">
      <c r="A653" s="957">
        <v>99</v>
      </c>
      <c r="B653" s="566" t="s">
        <v>491</v>
      </c>
      <c r="C653" s="567" t="s">
        <v>1443</v>
      </c>
      <c r="D653" s="958">
        <v>1.2</v>
      </c>
      <c r="E653" s="959" t="s">
        <v>367</v>
      </c>
      <c r="F653" s="558" t="s">
        <v>1488</v>
      </c>
      <c r="G653" s="558">
        <v>735</v>
      </c>
      <c r="H653" s="558" t="s">
        <v>393</v>
      </c>
      <c r="I653" s="559" t="s">
        <v>394</v>
      </c>
      <c r="J653" s="567" t="s">
        <v>1445</v>
      </c>
      <c r="K653" s="961" t="s">
        <v>1373</v>
      </c>
      <c r="L653" s="555" t="str">
        <f t="shared" ca="1" si="100"/>
        <v/>
      </c>
      <c r="M653" s="494" t="s">
        <v>1446</v>
      </c>
      <c r="N653" s="555" t="str">
        <f t="shared" ca="1" si="101"/>
        <v/>
      </c>
      <c r="O653" s="494" t="s">
        <v>1447</v>
      </c>
      <c r="P653" s="555" t="str">
        <f t="shared" ca="1" si="102"/>
        <v/>
      </c>
      <c r="Q653" s="494" t="s">
        <v>1448</v>
      </c>
      <c r="R653" s="494" t="str">
        <f t="shared" si="108"/>
        <v>H653</v>
      </c>
      <c r="S653" s="494" t="s">
        <v>1449</v>
      </c>
      <c r="T653" s="494">
        <v>10</v>
      </c>
      <c r="U653" s="556" t="str">
        <f t="shared" ca="1" si="106"/>
        <v/>
      </c>
      <c r="V653" s="494">
        <v>11</v>
      </c>
      <c r="W653" s="556" t="str">
        <f t="shared" ca="1" si="107"/>
        <v/>
      </c>
      <c r="X653" s="494" t="s">
        <v>1450</v>
      </c>
      <c r="Y653" s="547" t="str">
        <f t="shared" ca="1" si="103"/>
        <v/>
      </c>
      <c r="Z653" s="494" t="s">
        <v>1451</v>
      </c>
      <c r="AA653" s="547" t="str">
        <f t="shared" ca="1" si="104"/>
        <v/>
      </c>
      <c r="AB653" s="494" t="s">
        <v>1452</v>
      </c>
      <c r="AC653" s="547" t="str">
        <f t="shared" ca="1" si="105"/>
        <v/>
      </c>
      <c r="AD653" s="557"/>
      <c r="AE653" s="958"/>
    </row>
    <row r="654" spans="1:31" ht="15" customHeight="1">
      <c r="A654" s="957">
        <v>99</v>
      </c>
      <c r="B654" s="566" t="s">
        <v>491</v>
      </c>
      <c r="C654" s="567" t="s">
        <v>1443</v>
      </c>
      <c r="D654" s="958">
        <v>1.2</v>
      </c>
      <c r="E654" s="959" t="s">
        <v>367</v>
      </c>
      <c r="F654" s="558" t="s">
        <v>1488</v>
      </c>
      <c r="G654" s="558">
        <v>735</v>
      </c>
      <c r="H654" s="558" t="s">
        <v>395</v>
      </c>
      <c r="I654" s="559" t="s">
        <v>392</v>
      </c>
      <c r="J654" s="567" t="s">
        <v>1445</v>
      </c>
      <c r="K654" s="961" t="s">
        <v>1373</v>
      </c>
      <c r="L654" s="555" t="str">
        <f t="shared" ca="1" si="100"/>
        <v/>
      </c>
      <c r="M654" s="494" t="s">
        <v>1446</v>
      </c>
      <c r="N654" s="555" t="str">
        <f t="shared" ca="1" si="101"/>
        <v/>
      </c>
      <c r="O654" s="494" t="s">
        <v>1447</v>
      </c>
      <c r="P654" s="555" t="str">
        <f t="shared" ca="1" si="102"/>
        <v/>
      </c>
      <c r="Q654" s="494" t="s">
        <v>1448</v>
      </c>
      <c r="R654" s="494" t="str">
        <f t="shared" si="108"/>
        <v>H654</v>
      </c>
      <c r="S654" s="494" t="s">
        <v>1449</v>
      </c>
      <c r="T654" s="494">
        <v>10</v>
      </c>
      <c r="U654" s="556" t="str">
        <f t="shared" ca="1" si="106"/>
        <v/>
      </c>
      <c r="V654" s="494">
        <v>11</v>
      </c>
      <c r="W654" s="556" t="str">
        <f t="shared" ca="1" si="107"/>
        <v/>
      </c>
      <c r="X654" s="494" t="s">
        <v>1450</v>
      </c>
      <c r="Y654" s="547" t="str">
        <f t="shared" ca="1" si="103"/>
        <v/>
      </c>
      <c r="Z654" s="494" t="s">
        <v>1451</v>
      </c>
      <c r="AA654" s="547" t="str">
        <f t="shared" ca="1" si="104"/>
        <v/>
      </c>
      <c r="AB654" s="494" t="s">
        <v>1452</v>
      </c>
      <c r="AC654" s="547" t="str">
        <f t="shared" ca="1" si="105"/>
        <v/>
      </c>
      <c r="AD654" s="557"/>
      <c r="AE654" s="958"/>
    </row>
    <row r="655" spans="1:31" ht="15" customHeight="1">
      <c r="A655" s="957">
        <v>99</v>
      </c>
      <c r="B655" s="566" t="s">
        <v>491</v>
      </c>
      <c r="C655" s="567" t="s">
        <v>1443</v>
      </c>
      <c r="D655" s="958">
        <v>1.2</v>
      </c>
      <c r="E655" s="959" t="s">
        <v>396</v>
      </c>
      <c r="F655" s="558" t="s">
        <v>1498</v>
      </c>
      <c r="G655" s="558">
        <v>898</v>
      </c>
      <c r="H655" s="558">
        <v>23</v>
      </c>
      <c r="I655" s="559" t="s">
        <v>513</v>
      </c>
      <c r="J655" s="567" t="s">
        <v>1445</v>
      </c>
      <c r="K655" s="961" t="s">
        <v>1373</v>
      </c>
      <c r="L655" s="555" t="str">
        <f t="shared" ca="1" si="100"/>
        <v/>
      </c>
      <c r="M655" s="494" t="s">
        <v>1446</v>
      </c>
      <c r="N655" s="555" t="str">
        <f t="shared" ca="1" si="101"/>
        <v/>
      </c>
      <c r="O655" s="494" t="s">
        <v>1447</v>
      </c>
      <c r="P655" s="555" t="str">
        <f t="shared" ca="1" si="102"/>
        <v/>
      </c>
      <c r="Q655" s="494" t="s">
        <v>1448</v>
      </c>
      <c r="R655" s="494" t="str">
        <f t="shared" si="108"/>
        <v>H655</v>
      </c>
      <c r="S655" s="494" t="s">
        <v>1449</v>
      </c>
      <c r="T655" s="494">
        <v>10</v>
      </c>
      <c r="U655" s="556" t="str">
        <f t="shared" ca="1" si="106"/>
        <v/>
      </c>
      <c r="V655" s="494">
        <v>11</v>
      </c>
      <c r="W655" s="556" t="str">
        <f t="shared" ca="1" si="107"/>
        <v/>
      </c>
      <c r="X655" s="494" t="s">
        <v>1450</v>
      </c>
      <c r="Y655" s="547" t="str">
        <f t="shared" ca="1" si="103"/>
        <v/>
      </c>
      <c r="Z655" s="494" t="s">
        <v>1451</v>
      </c>
      <c r="AA655" s="547" t="str">
        <f t="shared" ca="1" si="104"/>
        <v/>
      </c>
      <c r="AB655" s="494" t="s">
        <v>1452</v>
      </c>
      <c r="AC655" s="547" t="str">
        <f t="shared" ca="1" si="105"/>
        <v/>
      </c>
      <c r="AD655" s="557"/>
      <c r="AE655" s="958"/>
    </row>
    <row r="656" spans="1:31" ht="15" customHeight="1">
      <c r="A656" s="957">
        <v>99</v>
      </c>
      <c r="B656" s="566" t="s">
        <v>491</v>
      </c>
      <c r="C656" s="567" t="s">
        <v>1443</v>
      </c>
      <c r="D656" s="958">
        <v>1.2</v>
      </c>
      <c r="E656" s="959" t="s">
        <v>396</v>
      </c>
      <c r="F656" s="558" t="s">
        <v>1498</v>
      </c>
      <c r="G656" s="558">
        <v>446</v>
      </c>
      <c r="H656" s="558">
        <v>23.1</v>
      </c>
      <c r="I656" s="559" t="s">
        <v>397</v>
      </c>
      <c r="J656" s="567" t="s">
        <v>1445</v>
      </c>
      <c r="K656" s="961" t="s">
        <v>1373</v>
      </c>
      <c r="L656" s="555" t="str">
        <f t="shared" ca="1" si="100"/>
        <v/>
      </c>
      <c r="M656" s="494" t="s">
        <v>1446</v>
      </c>
      <c r="N656" s="555" t="str">
        <f t="shared" ca="1" si="101"/>
        <v/>
      </c>
      <c r="O656" s="494" t="s">
        <v>1447</v>
      </c>
      <c r="P656" s="555" t="str">
        <f t="shared" ca="1" si="102"/>
        <v/>
      </c>
      <c r="Q656" s="494" t="s">
        <v>1448</v>
      </c>
      <c r="R656" s="494" t="str">
        <f t="shared" si="108"/>
        <v>H656</v>
      </c>
      <c r="S656" s="494" t="s">
        <v>1449</v>
      </c>
      <c r="T656" s="494">
        <v>10</v>
      </c>
      <c r="U656" s="556" t="str">
        <f t="shared" ca="1" si="106"/>
        <v/>
      </c>
      <c r="V656" s="494">
        <v>11</v>
      </c>
      <c r="W656" s="556" t="str">
        <f t="shared" ca="1" si="107"/>
        <v/>
      </c>
      <c r="X656" s="494" t="s">
        <v>1450</v>
      </c>
      <c r="Y656" s="547" t="str">
        <f t="shared" ca="1" si="103"/>
        <v/>
      </c>
      <c r="Z656" s="494" t="s">
        <v>1451</v>
      </c>
      <c r="AA656" s="547" t="str">
        <f t="shared" ca="1" si="104"/>
        <v/>
      </c>
      <c r="AB656" s="494" t="s">
        <v>1452</v>
      </c>
      <c r="AC656" s="547" t="str">
        <f t="shared" ca="1" si="105"/>
        <v/>
      </c>
      <c r="AD656" s="557"/>
      <c r="AE656" s="958"/>
    </row>
    <row r="657" spans="1:31" ht="15" customHeight="1">
      <c r="A657" s="957">
        <v>99</v>
      </c>
      <c r="B657" s="566" t="s">
        <v>491</v>
      </c>
      <c r="C657" s="567" t="s">
        <v>1443</v>
      </c>
      <c r="D657" s="958">
        <v>1.2</v>
      </c>
      <c r="E657" s="959" t="s">
        <v>396</v>
      </c>
      <c r="F657" s="558" t="s">
        <v>1498</v>
      </c>
      <c r="G657" s="558">
        <v>442</v>
      </c>
      <c r="H657" s="558">
        <v>24</v>
      </c>
      <c r="I657" s="559" t="s">
        <v>338</v>
      </c>
      <c r="J657" s="567" t="s">
        <v>1445</v>
      </c>
      <c r="K657" s="961" t="s">
        <v>1373</v>
      </c>
      <c r="L657" s="555" t="str">
        <f t="shared" ca="1" si="100"/>
        <v/>
      </c>
      <c r="M657" s="494" t="s">
        <v>1446</v>
      </c>
      <c r="N657" s="555" t="str">
        <f t="shared" ca="1" si="101"/>
        <v/>
      </c>
      <c r="O657" s="494" t="s">
        <v>1447</v>
      </c>
      <c r="P657" s="555" t="str">
        <f t="shared" ca="1" si="102"/>
        <v/>
      </c>
      <c r="Q657" s="494" t="s">
        <v>1448</v>
      </c>
      <c r="R657" s="494" t="str">
        <f t="shared" si="108"/>
        <v>H657</v>
      </c>
      <c r="S657" s="494" t="s">
        <v>1449</v>
      </c>
      <c r="T657" s="494">
        <v>10</v>
      </c>
      <c r="U657" s="556" t="str">
        <f t="shared" ca="1" si="106"/>
        <v/>
      </c>
      <c r="V657" s="494">
        <v>11</v>
      </c>
      <c r="W657" s="556" t="str">
        <f t="shared" ca="1" si="107"/>
        <v/>
      </c>
      <c r="X657" s="494" t="s">
        <v>1450</v>
      </c>
      <c r="Y657" s="547" t="str">
        <f t="shared" ca="1" si="103"/>
        <v/>
      </c>
      <c r="Z657" s="494" t="s">
        <v>1451</v>
      </c>
      <c r="AA657" s="547" t="str">
        <f t="shared" ca="1" si="104"/>
        <v/>
      </c>
      <c r="AB657" s="494" t="s">
        <v>1452</v>
      </c>
      <c r="AC657" s="547" t="str">
        <f t="shared" ca="1" si="105"/>
        <v/>
      </c>
      <c r="AD657" s="557"/>
      <c r="AE657" s="958"/>
    </row>
    <row r="658" spans="1:31" ht="15" customHeight="1">
      <c r="A658" s="957">
        <v>99</v>
      </c>
      <c r="B658" s="566" t="s">
        <v>491</v>
      </c>
      <c r="C658" s="567" t="s">
        <v>1443</v>
      </c>
      <c r="D658" s="958">
        <v>1.2</v>
      </c>
      <c r="E658" s="959" t="s">
        <v>396</v>
      </c>
      <c r="F658" s="558" t="s">
        <v>1498</v>
      </c>
      <c r="G658" s="558">
        <v>443</v>
      </c>
      <c r="H658" s="558">
        <v>24.1</v>
      </c>
      <c r="I658" s="559" t="s">
        <v>402</v>
      </c>
      <c r="J658" s="567" t="s">
        <v>1445</v>
      </c>
      <c r="K658" s="961" t="s">
        <v>1373</v>
      </c>
      <c r="L658" s="555" t="str">
        <f t="shared" ca="1" si="100"/>
        <v/>
      </c>
      <c r="M658" s="494" t="s">
        <v>1446</v>
      </c>
      <c r="N658" s="555" t="str">
        <f t="shared" ca="1" si="101"/>
        <v/>
      </c>
      <c r="O658" s="494" t="s">
        <v>1447</v>
      </c>
      <c r="P658" s="555" t="str">
        <f t="shared" ca="1" si="102"/>
        <v/>
      </c>
      <c r="Q658" s="494" t="s">
        <v>1448</v>
      </c>
      <c r="R658" s="494" t="str">
        <f t="shared" si="108"/>
        <v>H658</v>
      </c>
      <c r="S658" s="494" t="s">
        <v>1449</v>
      </c>
      <c r="T658" s="494">
        <v>10</v>
      </c>
      <c r="U658" s="556" t="str">
        <f t="shared" ca="1" si="106"/>
        <v/>
      </c>
      <c r="V658" s="494">
        <v>11</v>
      </c>
      <c r="W658" s="556" t="str">
        <f t="shared" ca="1" si="107"/>
        <v/>
      </c>
      <c r="X658" s="494" t="s">
        <v>1450</v>
      </c>
      <c r="Y658" s="547" t="str">
        <f t="shared" ca="1" si="103"/>
        <v/>
      </c>
      <c r="Z658" s="494" t="s">
        <v>1451</v>
      </c>
      <c r="AA658" s="547" t="str">
        <f t="shared" ca="1" si="104"/>
        <v/>
      </c>
      <c r="AB658" s="494" t="s">
        <v>1452</v>
      </c>
      <c r="AC658" s="547" t="str">
        <f t="shared" ca="1" si="105"/>
        <v/>
      </c>
      <c r="AD658" s="557"/>
      <c r="AE658" s="958"/>
    </row>
    <row r="659" spans="1:31" ht="15" customHeight="1">
      <c r="A659" s="957">
        <v>99</v>
      </c>
      <c r="B659" s="566" t="s">
        <v>491</v>
      </c>
      <c r="C659" s="567" t="s">
        <v>1443</v>
      </c>
      <c r="D659" s="958">
        <v>1.2</v>
      </c>
      <c r="E659" s="959" t="s">
        <v>396</v>
      </c>
      <c r="F659" s="558" t="s">
        <v>1498</v>
      </c>
      <c r="G659" s="558">
        <v>905</v>
      </c>
      <c r="H659" s="558">
        <v>24.2</v>
      </c>
      <c r="I659" s="559" t="s">
        <v>403</v>
      </c>
      <c r="J659" s="567" t="s">
        <v>1445</v>
      </c>
      <c r="K659" s="961" t="s">
        <v>1373</v>
      </c>
      <c r="L659" s="555" t="str">
        <f t="shared" ca="1" si="100"/>
        <v/>
      </c>
      <c r="M659" s="494" t="s">
        <v>1446</v>
      </c>
      <c r="N659" s="555" t="str">
        <f t="shared" ca="1" si="101"/>
        <v/>
      </c>
      <c r="O659" s="494" t="s">
        <v>1447</v>
      </c>
      <c r="P659" s="555" t="str">
        <f t="shared" ca="1" si="102"/>
        <v/>
      </c>
      <c r="Q659" s="494" t="s">
        <v>1448</v>
      </c>
      <c r="R659" s="494" t="str">
        <f t="shared" si="108"/>
        <v>H659</v>
      </c>
      <c r="S659" s="494" t="s">
        <v>1449</v>
      </c>
      <c r="T659" s="494">
        <v>10</v>
      </c>
      <c r="U659" s="556" t="str">
        <f t="shared" ca="1" si="106"/>
        <v/>
      </c>
      <c r="V659" s="494">
        <v>11</v>
      </c>
      <c r="W659" s="556" t="str">
        <f t="shared" ca="1" si="107"/>
        <v/>
      </c>
      <c r="X659" s="494" t="s">
        <v>1450</v>
      </c>
      <c r="Y659" s="547" t="str">
        <f t="shared" ca="1" si="103"/>
        <v/>
      </c>
      <c r="Z659" s="494" t="s">
        <v>1451</v>
      </c>
      <c r="AA659" s="547" t="str">
        <f t="shared" ca="1" si="104"/>
        <v/>
      </c>
      <c r="AB659" s="494" t="s">
        <v>1452</v>
      </c>
      <c r="AC659" s="547" t="str">
        <f t="shared" ca="1" si="105"/>
        <v/>
      </c>
      <c r="AD659" s="557"/>
      <c r="AE659" s="958"/>
    </row>
    <row r="660" spans="1:31" ht="15" customHeight="1">
      <c r="A660" s="957">
        <v>99</v>
      </c>
      <c r="B660" s="566" t="s">
        <v>491</v>
      </c>
      <c r="C660" s="567" t="s">
        <v>1443</v>
      </c>
      <c r="D660" s="958">
        <v>1.2</v>
      </c>
      <c r="E660" s="959" t="s">
        <v>396</v>
      </c>
      <c r="F660" s="558" t="s">
        <v>1498</v>
      </c>
      <c r="G660" s="558">
        <v>447</v>
      </c>
      <c r="H660" s="558">
        <v>25</v>
      </c>
      <c r="I660" s="559" t="s">
        <v>517</v>
      </c>
      <c r="J660" s="567" t="s">
        <v>1445</v>
      </c>
      <c r="K660" s="961" t="s">
        <v>1373</v>
      </c>
      <c r="L660" s="555" t="str">
        <f t="shared" ca="1" si="100"/>
        <v/>
      </c>
      <c r="M660" s="494" t="s">
        <v>1446</v>
      </c>
      <c r="N660" s="555" t="str">
        <f t="shared" ca="1" si="101"/>
        <v/>
      </c>
      <c r="O660" s="494" t="s">
        <v>1447</v>
      </c>
      <c r="P660" s="555" t="str">
        <f t="shared" ca="1" si="102"/>
        <v/>
      </c>
      <c r="Q660" s="494" t="s">
        <v>1448</v>
      </c>
      <c r="R660" s="494" t="str">
        <f t="shared" si="108"/>
        <v>H660</v>
      </c>
      <c r="S660" s="494" t="s">
        <v>1449</v>
      </c>
      <c r="T660" s="494">
        <v>10</v>
      </c>
      <c r="U660" s="556" t="str">
        <f t="shared" ca="1" si="106"/>
        <v/>
      </c>
      <c r="V660" s="494">
        <v>11</v>
      </c>
      <c r="W660" s="556" t="str">
        <f t="shared" ca="1" si="107"/>
        <v/>
      </c>
      <c r="X660" s="494" t="s">
        <v>1450</v>
      </c>
      <c r="Y660" s="547" t="str">
        <f t="shared" ca="1" si="103"/>
        <v/>
      </c>
      <c r="Z660" s="494" t="s">
        <v>1451</v>
      </c>
      <c r="AA660" s="547" t="str">
        <f t="shared" ca="1" si="104"/>
        <v/>
      </c>
      <c r="AB660" s="494" t="s">
        <v>1452</v>
      </c>
      <c r="AC660" s="547" t="str">
        <f t="shared" ca="1" si="105"/>
        <v/>
      </c>
      <c r="AD660" s="557"/>
      <c r="AE660" s="958"/>
    </row>
    <row r="661" spans="1:31" ht="15" customHeight="1">
      <c r="A661" s="957">
        <v>99</v>
      </c>
      <c r="B661" s="566" t="s">
        <v>491</v>
      </c>
      <c r="C661" s="567" t="s">
        <v>1443</v>
      </c>
      <c r="D661" s="958">
        <v>1.2</v>
      </c>
      <c r="E661" s="959" t="s">
        <v>404</v>
      </c>
      <c r="F661" s="558" t="s">
        <v>1499</v>
      </c>
      <c r="G661" s="558">
        <v>899</v>
      </c>
      <c r="H661" s="558">
        <v>26.1</v>
      </c>
      <c r="I661" s="559" t="s">
        <v>407</v>
      </c>
      <c r="J661" s="567" t="s">
        <v>1445</v>
      </c>
      <c r="K661" s="961" t="s">
        <v>1373</v>
      </c>
      <c r="L661" s="555" t="str">
        <f t="shared" ca="1" si="100"/>
        <v/>
      </c>
      <c r="M661" s="494" t="s">
        <v>1446</v>
      </c>
      <c r="N661" s="555" t="str">
        <f t="shared" ca="1" si="101"/>
        <v/>
      </c>
      <c r="O661" s="494" t="s">
        <v>1447</v>
      </c>
      <c r="P661" s="555" t="str">
        <f t="shared" ca="1" si="102"/>
        <v/>
      </c>
      <c r="Q661" s="494" t="s">
        <v>1448</v>
      </c>
      <c r="R661" s="494" t="str">
        <f t="shared" si="108"/>
        <v>H661</v>
      </c>
      <c r="S661" s="494" t="s">
        <v>1449</v>
      </c>
      <c r="T661" s="494">
        <v>10</v>
      </c>
      <c r="U661" s="556" t="str">
        <f t="shared" ca="1" si="106"/>
        <v/>
      </c>
      <c r="V661" s="494">
        <v>11</v>
      </c>
      <c r="W661" s="556" t="str">
        <f t="shared" ca="1" si="107"/>
        <v/>
      </c>
      <c r="X661" s="494" t="s">
        <v>1450</v>
      </c>
      <c r="Y661" s="547" t="str">
        <f t="shared" ca="1" si="103"/>
        <v/>
      </c>
      <c r="Z661" s="494" t="s">
        <v>1451</v>
      </c>
      <c r="AA661" s="547" t="str">
        <f t="shared" ca="1" si="104"/>
        <v/>
      </c>
      <c r="AB661" s="494" t="s">
        <v>1452</v>
      </c>
      <c r="AC661" s="547" t="str">
        <f t="shared" ca="1" si="105"/>
        <v/>
      </c>
      <c r="AD661" s="557"/>
      <c r="AE661" s="958"/>
    </row>
    <row r="662" spans="1:31" ht="15" customHeight="1">
      <c r="A662" s="957">
        <v>99</v>
      </c>
      <c r="B662" s="566" t="s">
        <v>491</v>
      </c>
      <c r="C662" s="567" t="s">
        <v>1443</v>
      </c>
      <c r="D662" s="958">
        <v>1.2</v>
      </c>
      <c r="E662" s="959" t="s">
        <v>404</v>
      </c>
      <c r="F662" s="558" t="s">
        <v>1499</v>
      </c>
      <c r="G662" s="558">
        <v>900</v>
      </c>
      <c r="H662" s="558">
        <v>26.2</v>
      </c>
      <c r="I662" s="559" t="s">
        <v>408</v>
      </c>
      <c r="J662" s="567" t="s">
        <v>1445</v>
      </c>
      <c r="K662" s="961" t="s">
        <v>1373</v>
      </c>
      <c r="L662" s="555" t="str">
        <f t="shared" ca="1" si="100"/>
        <v/>
      </c>
      <c r="M662" s="494" t="s">
        <v>1446</v>
      </c>
      <c r="N662" s="555" t="str">
        <f t="shared" ca="1" si="101"/>
        <v/>
      </c>
      <c r="O662" s="494" t="s">
        <v>1447</v>
      </c>
      <c r="P662" s="555" t="str">
        <f t="shared" ca="1" si="102"/>
        <v/>
      </c>
      <c r="Q662" s="494" t="s">
        <v>1448</v>
      </c>
      <c r="R662" s="494" t="str">
        <f t="shared" si="108"/>
        <v>H662</v>
      </c>
      <c r="S662" s="494" t="s">
        <v>1449</v>
      </c>
      <c r="T662" s="494">
        <v>10</v>
      </c>
      <c r="U662" s="556" t="str">
        <f t="shared" ca="1" si="106"/>
        <v/>
      </c>
      <c r="V662" s="494">
        <v>11</v>
      </c>
      <c r="W662" s="556" t="str">
        <f t="shared" ca="1" si="107"/>
        <v/>
      </c>
      <c r="X662" s="494" t="s">
        <v>1450</v>
      </c>
      <c r="Y662" s="547" t="str">
        <f t="shared" ca="1" si="103"/>
        <v/>
      </c>
      <c r="Z662" s="494" t="s">
        <v>1451</v>
      </c>
      <c r="AA662" s="547" t="str">
        <f t="shared" ca="1" si="104"/>
        <v/>
      </c>
      <c r="AB662" s="494" t="s">
        <v>1452</v>
      </c>
      <c r="AC662" s="547" t="str">
        <f t="shared" ca="1" si="105"/>
        <v/>
      </c>
      <c r="AD662" s="557"/>
      <c r="AE662" s="958"/>
    </row>
    <row r="663" spans="1:31" ht="15" customHeight="1">
      <c r="A663" s="957">
        <v>99</v>
      </c>
      <c r="B663" s="566" t="s">
        <v>491</v>
      </c>
      <c r="C663" s="567" t="s">
        <v>1443</v>
      </c>
      <c r="D663" s="958">
        <v>1.2</v>
      </c>
      <c r="E663" s="959" t="s">
        <v>404</v>
      </c>
      <c r="F663" s="558" t="s">
        <v>1499</v>
      </c>
      <c r="G663" s="558">
        <v>736</v>
      </c>
      <c r="H663" s="558">
        <v>27</v>
      </c>
      <c r="I663" s="559" t="s">
        <v>411</v>
      </c>
      <c r="J663" s="567" t="s">
        <v>1445</v>
      </c>
      <c r="K663" s="961" t="s">
        <v>1373</v>
      </c>
      <c r="L663" s="555" t="str">
        <f t="shared" ca="1" si="100"/>
        <v/>
      </c>
      <c r="M663" s="494" t="s">
        <v>1446</v>
      </c>
      <c r="N663" s="555" t="str">
        <f t="shared" ca="1" si="101"/>
        <v/>
      </c>
      <c r="O663" s="494" t="s">
        <v>1447</v>
      </c>
      <c r="P663" s="555" t="str">
        <f t="shared" ca="1" si="102"/>
        <v/>
      </c>
      <c r="Q663" s="494" t="s">
        <v>1448</v>
      </c>
      <c r="R663" s="494" t="str">
        <f t="shared" si="108"/>
        <v>H663</v>
      </c>
      <c r="S663" s="494" t="s">
        <v>1449</v>
      </c>
      <c r="T663" s="494">
        <v>10</v>
      </c>
      <c r="U663" s="556" t="str">
        <f t="shared" ca="1" si="106"/>
        <v/>
      </c>
      <c r="V663" s="494">
        <v>11</v>
      </c>
      <c r="W663" s="556" t="str">
        <f t="shared" ca="1" si="107"/>
        <v/>
      </c>
      <c r="X663" s="494" t="s">
        <v>1450</v>
      </c>
      <c r="Y663" s="547" t="str">
        <f t="shared" ca="1" si="103"/>
        <v/>
      </c>
      <c r="Z663" s="494" t="s">
        <v>1451</v>
      </c>
      <c r="AA663" s="547" t="str">
        <f t="shared" ca="1" si="104"/>
        <v/>
      </c>
      <c r="AB663" s="494" t="s">
        <v>1452</v>
      </c>
      <c r="AC663" s="547" t="str">
        <f t="shared" ca="1" si="105"/>
        <v/>
      </c>
      <c r="AD663" s="557"/>
      <c r="AE663" s="958"/>
    </row>
    <row r="664" spans="1:31" ht="15" customHeight="1">
      <c r="A664" s="957">
        <v>99</v>
      </c>
      <c r="B664" s="566" t="s">
        <v>491</v>
      </c>
      <c r="C664" s="567" t="s">
        <v>1443</v>
      </c>
      <c r="D664" s="958">
        <v>1.2</v>
      </c>
      <c r="E664" s="959" t="s">
        <v>404</v>
      </c>
      <c r="F664" s="558" t="s">
        <v>1499</v>
      </c>
      <c r="G664" s="558">
        <v>737</v>
      </c>
      <c r="H664" s="558">
        <v>27.1</v>
      </c>
      <c r="I664" s="559" t="s">
        <v>412</v>
      </c>
      <c r="J664" s="567" t="s">
        <v>1445</v>
      </c>
      <c r="K664" s="961" t="s">
        <v>1373</v>
      </c>
      <c r="L664" s="555" t="str">
        <f t="shared" ca="1" si="100"/>
        <v/>
      </c>
      <c r="M664" s="494" t="s">
        <v>1446</v>
      </c>
      <c r="N664" s="555" t="str">
        <f t="shared" ca="1" si="101"/>
        <v/>
      </c>
      <c r="O664" s="494" t="s">
        <v>1447</v>
      </c>
      <c r="P664" s="555" t="str">
        <f t="shared" ca="1" si="102"/>
        <v/>
      </c>
      <c r="Q664" s="494" t="s">
        <v>1448</v>
      </c>
      <c r="R664" s="494" t="str">
        <f t="shared" si="108"/>
        <v>H664</v>
      </c>
      <c r="S664" s="494" t="s">
        <v>1449</v>
      </c>
      <c r="T664" s="494">
        <v>10</v>
      </c>
      <c r="U664" s="556" t="str">
        <f t="shared" ca="1" si="106"/>
        <v/>
      </c>
      <c r="V664" s="494">
        <v>11</v>
      </c>
      <c r="W664" s="556" t="str">
        <f t="shared" ca="1" si="107"/>
        <v/>
      </c>
      <c r="X664" s="494" t="s">
        <v>1450</v>
      </c>
      <c r="Y664" s="547" t="str">
        <f t="shared" ca="1" si="103"/>
        <v/>
      </c>
      <c r="Z664" s="494" t="s">
        <v>1451</v>
      </c>
      <c r="AA664" s="547" t="str">
        <f t="shared" ca="1" si="104"/>
        <v/>
      </c>
      <c r="AB664" s="494" t="s">
        <v>1452</v>
      </c>
      <c r="AC664" s="547" t="str">
        <f t="shared" ca="1" si="105"/>
        <v/>
      </c>
      <c r="AD664" s="557"/>
      <c r="AE664" s="958"/>
    </row>
    <row r="665" spans="1:31" ht="15" customHeight="1">
      <c r="A665" s="957">
        <v>99</v>
      </c>
      <c r="B665" s="566" t="s">
        <v>491</v>
      </c>
      <c r="C665" s="567" t="s">
        <v>1443</v>
      </c>
      <c r="D665" s="958">
        <v>1.2</v>
      </c>
      <c r="E665" s="959" t="s">
        <v>404</v>
      </c>
      <c r="F665" s="558" t="s">
        <v>1499</v>
      </c>
      <c r="G665" s="558">
        <v>453</v>
      </c>
      <c r="H665" s="558">
        <v>28</v>
      </c>
      <c r="I665" s="559" t="s">
        <v>415</v>
      </c>
      <c r="J665" s="567" t="s">
        <v>1445</v>
      </c>
      <c r="K665" s="961" t="s">
        <v>1373</v>
      </c>
      <c r="L665" s="555" t="str">
        <f t="shared" ca="1" si="100"/>
        <v/>
      </c>
      <c r="M665" s="494" t="s">
        <v>1446</v>
      </c>
      <c r="N665" s="555" t="str">
        <f t="shared" ca="1" si="101"/>
        <v/>
      </c>
      <c r="O665" s="494" t="s">
        <v>1447</v>
      </c>
      <c r="P665" s="555" t="str">
        <f t="shared" ca="1" si="102"/>
        <v/>
      </c>
      <c r="Q665" s="494" t="s">
        <v>1448</v>
      </c>
      <c r="R665" s="494" t="str">
        <f t="shared" si="108"/>
        <v>H665</v>
      </c>
      <c r="S665" s="494" t="s">
        <v>1449</v>
      </c>
      <c r="T665" s="494">
        <v>10</v>
      </c>
      <c r="U665" s="556" t="str">
        <f t="shared" ca="1" si="106"/>
        <v/>
      </c>
      <c r="V665" s="494">
        <v>11</v>
      </c>
      <c r="W665" s="556" t="str">
        <f t="shared" ca="1" si="107"/>
        <v/>
      </c>
      <c r="X665" s="494" t="s">
        <v>1450</v>
      </c>
      <c r="Y665" s="547" t="str">
        <f t="shared" ca="1" si="103"/>
        <v/>
      </c>
      <c r="Z665" s="494" t="s">
        <v>1451</v>
      </c>
      <c r="AA665" s="547" t="str">
        <f t="shared" ca="1" si="104"/>
        <v/>
      </c>
      <c r="AB665" s="494" t="s">
        <v>1452</v>
      </c>
      <c r="AC665" s="547" t="str">
        <f t="shared" ca="1" si="105"/>
        <v/>
      </c>
      <c r="AD665" s="557"/>
      <c r="AE665" s="958"/>
    </row>
    <row r="666" spans="1:31" ht="15" customHeight="1">
      <c r="A666" s="957">
        <v>99</v>
      </c>
      <c r="B666" s="566" t="s">
        <v>491</v>
      </c>
      <c r="C666" s="567" t="s">
        <v>1443</v>
      </c>
      <c r="D666" s="958">
        <v>1.2</v>
      </c>
      <c r="E666" s="959" t="s">
        <v>404</v>
      </c>
      <c r="F666" s="558" t="s">
        <v>1499</v>
      </c>
      <c r="G666" s="558">
        <v>738</v>
      </c>
      <c r="H666" s="558">
        <v>29</v>
      </c>
      <c r="I666" s="559" t="s">
        <v>418</v>
      </c>
      <c r="J666" s="567" t="s">
        <v>1445</v>
      </c>
      <c r="K666" s="961" t="s">
        <v>1373</v>
      </c>
      <c r="L666" s="555" t="str">
        <f t="shared" ca="1" si="100"/>
        <v/>
      </c>
      <c r="M666" s="494" t="s">
        <v>1446</v>
      </c>
      <c r="N666" s="555" t="str">
        <f t="shared" ca="1" si="101"/>
        <v/>
      </c>
      <c r="O666" s="494" t="s">
        <v>1447</v>
      </c>
      <c r="P666" s="555" t="str">
        <f t="shared" ca="1" si="102"/>
        <v/>
      </c>
      <c r="Q666" s="494" t="s">
        <v>1448</v>
      </c>
      <c r="R666" s="494" t="str">
        <f t="shared" si="108"/>
        <v>H666</v>
      </c>
      <c r="S666" s="494" t="s">
        <v>1449</v>
      </c>
      <c r="T666" s="494">
        <v>10</v>
      </c>
      <c r="U666" s="556" t="str">
        <f t="shared" ca="1" si="106"/>
        <v/>
      </c>
      <c r="V666" s="494">
        <v>11</v>
      </c>
      <c r="W666" s="556" t="str">
        <f t="shared" ca="1" si="107"/>
        <v/>
      </c>
      <c r="X666" s="494" t="s">
        <v>1450</v>
      </c>
      <c r="Y666" s="547" t="str">
        <f t="shared" ca="1" si="103"/>
        <v/>
      </c>
      <c r="Z666" s="494" t="s">
        <v>1451</v>
      </c>
      <c r="AA666" s="547" t="str">
        <f t="shared" ca="1" si="104"/>
        <v/>
      </c>
      <c r="AB666" s="494" t="s">
        <v>1452</v>
      </c>
      <c r="AC666" s="547" t="str">
        <f t="shared" ca="1" si="105"/>
        <v/>
      </c>
      <c r="AD666" s="557"/>
      <c r="AE666" s="958"/>
    </row>
    <row r="667" spans="1:31" ht="15" customHeight="1">
      <c r="A667" s="957">
        <v>99</v>
      </c>
      <c r="B667" s="566" t="s">
        <v>491</v>
      </c>
      <c r="C667" s="567" t="s">
        <v>1443</v>
      </c>
      <c r="D667" s="958">
        <v>1.2</v>
      </c>
      <c r="E667" s="959" t="s">
        <v>419</v>
      </c>
      <c r="F667" s="558" t="s">
        <v>1501</v>
      </c>
      <c r="G667" s="558">
        <v>739</v>
      </c>
      <c r="H667" s="558" t="s">
        <v>522</v>
      </c>
      <c r="I667" s="559" t="s">
        <v>420</v>
      </c>
      <c r="J667" s="567" t="s">
        <v>1445</v>
      </c>
      <c r="K667" s="961" t="s">
        <v>1373</v>
      </c>
      <c r="L667" s="555" t="str">
        <f t="shared" ca="1" si="100"/>
        <v/>
      </c>
      <c r="M667" s="494" t="s">
        <v>1446</v>
      </c>
      <c r="N667" s="555" t="str">
        <f t="shared" ca="1" si="101"/>
        <v/>
      </c>
      <c r="O667" s="494" t="s">
        <v>1447</v>
      </c>
      <c r="P667" s="555" t="str">
        <f t="shared" ca="1" si="102"/>
        <v/>
      </c>
      <c r="Q667" s="494" t="s">
        <v>1448</v>
      </c>
      <c r="R667" s="494" t="str">
        <f t="shared" si="108"/>
        <v>H667</v>
      </c>
      <c r="S667" s="494" t="s">
        <v>1449</v>
      </c>
      <c r="T667" s="494">
        <v>10</v>
      </c>
      <c r="U667" s="556" t="str">
        <f t="shared" ca="1" si="106"/>
        <v/>
      </c>
      <c r="V667" s="494">
        <v>11</v>
      </c>
      <c r="W667" s="556" t="str">
        <f t="shared" ca="1" si="107"/>
        <v/>
      </c>
      <c r="X667" s="494" t="s">
        <v>1450</v>
      </c>
      <c r="Y667" s="547" t="str">
        <f t="shared" ca="1" si="103"/>
        <v/>
      </c>
      <c r="Z667" s="494" t="s">
        <v>1451</v>
      </c>
      <c r="AA667" s="547" t="str">
        <f t="shared" ca="1" si="104"/>
        <v/>
      </c>
      <c r="AB667" s="494" t="s">
        <v>1452</v>
      </c>
      <c r="AC667" s="547" t="str">
        <f t="shared" ca="1" si="105"/>
        <v/>
      </c>
      <c r="AD667" s="557"/>
      <c r="AE667" s="958"/>
    </row>
    <row r="668" spans="1:31" ht="15" customHeight="1">
      <c r="A668" s="957">
        <v>99</v>
      </c>
      <c r="B668" s="566" t="s">
        <v>491</v>
      </c>
      <c r="C668" s="567" t="s">
        <v>1443</v>
      </c>
      <c r="D668" s="958">
        <v>1.2</v>
      </c>
      <c r="E668" s="959" t="s">
        <v>419</v>
      </c>
      <c r="F668" s="558" t="s">
        <v>1501</v>
      </c>
      <c r="G668" s="558">
        <v>740</v>
      </c>
      <c r="H668" s="558" t="s">
        <v>524</v>
      </c>
      <c r="I668" s="559" t="s">
        <v>422</v>
      </c>
      <c r="J668" s="567" t="s">
        <v>1445</v>
      </c>
      <c r="K668" s="961" t="s">
        <v>1373</v>
      </c>
      <c r="L668" s="555" t="str">
        <f t="shared" ca="1" si="100"/>
        <v/>
      </c>
      <c r="M668" s="494" t="s">
        <v>1446</v>
      </c>
      <c r="N668" s="555" t="str">
        <f t="shared" ca="1" si="101"/>
        <v/>
      </c>
      <c r="O668" s="494" t="s">
        <v>1447</v>
      </c>
      <c r="P668" s="555" t="str">
        <f t="shared" ca="1" si="102"/>
        <v/>
      </c>
      <c r="Q668" s="494" t="s">
        <v>1448</v>
      </c>
      <c r="R668" s="494" t="str">
        <f t="shared" si="108"/>
        <v>H668</v>
      </c>
      <c r="S668" s="494" t="s">
        <v>1449</v>
      </c>
      <c r="T668" s="494">
        <v>10</v>
      </c>
      <c r="U668" s="556" t="str">
        <f t="shared" ca="1" si="106"/>
        <v/>
      </c>
      <c r="V668" s="494">
        <v>11</v>
      </c>
      <c r="W668" s="556" t="str">
        <f t="shared" ca="1" si="107"/>
        <v/>
      </c>
      <c r="X668" s="494" t="s">
        <v>1450</v>
      </c>
      <c r="Y668" s="547" t="str">
        <f t="shared" ca="1" si="103"/>
        <v/>
      </c>
      <c r="Z668" s="494" t="s">
        <v>1451</v>
      </c>
      <c r="AA668" s="547" t="str">
        <f t="shared" ca="1" si="104"/>
        <v/>
      </c>
      <c r="AB668" s="494" t="s">
        <v>1452</v>
      </c>
      <c r="AC668" s="547" t="str">
        <f t="shared" ca="1" si="105"/>
        <v/>
      </c>
      <c r="AD668" s="557"/>
      <c r="AE668" s="958"/>
    </row>
    <row r="669" spans="1:31" ht="15" customHeight="1">
      <c r="A669" s="957">
        <v>99</v>
      </c>
      <c r="B669" s="566" t="s">
        <v>491</v>
      </c>
      <c r="C669" s="567" t="s">
        <v>1443</v>
      </c>
      <c r="D669" s="958">
        <v>1.2</v>
      </c>
      <c r="E669" s="959" t="s">
        <v>419</v>
      </c>
      <c r="F669" s="558" t="s">
        <v>1501</v>
      </c>
      <c r="G669" s="558">
        <v>741</v>
      </c>
      <c r="H669" s="558" t="s">
        <v>526</v>
      </c>
      <c r="I669" s="559" t="s">
        <v>424</v>
      </c>
      <c r="J669" s="567" t="s">
        <v>1445</v>
      </c>
      <c r="K669" s="961" t="s">
        <v>1373</v>
      </c>
      <c r="L669" s="555" t="str">
        <f t="shared" ca="1" si="100"/>
        <v/>
      </c>
      <c r="M669" s="494" t="s">
        <v>1446</v>
      </c>
      <c r="N669" s="555" t="str">
        <f t="shared" ca="1" si="101"/>
        <v/>
      </c>
      <c r="O669" s="494" t="s">
        <v>1447</v>
      </c>
      <c r="P669" s="555" t="str">
        <f t="shared" ca="1" si="102"/>
        <v/>
      </c>
      <c r="Q669" s="494" t="s">
        <v>1448</v>
      </c>
      <c r="R669" s="494" t="str">
        <f t="shared" si="108"/>
        <v>H669</v>
      </c>
      <c r="S669" s="494" t="s">
        <v>1449</v>
      </c>
      <c r="T669" s="494">
        <v>10</v>
      </c>
      <c r="U669" s="556" t="str">
        <f t="shared" ca="1" si="106"/>
        <v/>
      </c>
      <c r="V669" s="494">
        <v>11</v>
      </c>
      <c r="W669" s="556" t="str">
        <f t="shared" ca="1" si="107"/>
        <v/>
      </c>
      <c r="X669" s="494" t="s">
        <v>1450</v>
      </c>
      <c r="Y669" s="547" t="str">
        <f t="shared" ca="1" si="103"/>
        <v/>
      </c>
      <c r="Z669" s="494" t="s">
        <v>1451</v>
      </c>
      <c r="AA669" s="547" t="str">
        <f t="shared" ca="1" si="104"/>
        <v/>
      </c>
      <c r="AB669" s="494" t="s">
        <v>1452</v>
      </c>
      <c r="AC669" s="547" t="str">
        <f t="shared" ca="1" si="105"/>
        <v/>
      </c>
      <c r="AD669" s="557"/>
      <c r="AE669" s="958"/>
    </row>
    <row r="670" spans="1:31" ht="15" customHeight="1">
      <c r="A670" s="957">
        <v>99</v>
      </c>
      <c r="B670" s="566" t="s">
        <v>491</v>
      </c>
      <c r="C670" s="567" t="s">
        <v>1443</v>
      </c>
      <c r="D670" s="958">
        <v>1.2</v>
      </c>
      <c r="E670" s="959" t="s">
        <v>419</v>
      </c>
      <c r="F670" s="558" t="s">
        <v>1501</v>
      </c>
      <c r="G670" s="558">
        <v>742</v>
      </c>
      <c r="H670" s="558" t="s">
        <v>528</v>
      </c>
      <c r="I670" s="559" t="s">
        <v>426</v>
      </c>
      <c r="J670" s="567" t="s">
        <v>1445</v>
      </c>
      <c r="K670" s="961" t="s">
        <v>1373</v>
      </c>
      <c r="L670" s="555" t="str">
        <f t="shared" ca="1" si="100"/>
        <v/>
      </c>
      <c r="M670" s="494" t="s">
        <v>1446</v>
      </c>
      <c r="N670" s="555" t="str">
        <f t="shared" ca="1" si="101"/>
        <v/>
      </c>
      <c r="O670" s="494" t="s">
        <v>1447</v>
      </c>
      <c r="P670" s="555" t="str">
        <f t="shared" ca="1" si="102"/>
        <v/>
      </c>
      <c r="Q670" s="494" t="s">
        <v>1448</v>
      </c>
      <c r="R670" s="494" t="str">
        <f t="shared" si="108"/>
        <v>H670</v>
      </c>
      <c r="S670" s="494" t="s">
        <v>1449</v>
      </c>
      <c r="T670" s="494">
        <v>10</v>
      </c>
      <c r="U670" s="556" t="str">
        <f t="shared" ca="1" si="106"/>
        <v/>
      </c>
      <c r="V670" s="494">
        <v>11</v>
      </c>
      <c r="W670" s="556" t="str">
        <f t="shared" ca="1" si="107"/>
        <v/>
      </c>
      <c r="X670" s="494" t="s">
        <v>1450</v>
      </c>
      <c r="Y670" s="547" t="str">
        <f t="shared" ca="1" si="103"/>
        <v/>
      </c>
      <c r="Z670" s="494" t="s">
        <v>1451</v>
      </c>
      <c r="AA670" s="547" t="str">
        <f t="shared" ca="1" si="104"/>
        <v/>
      </c>
      <c r="AB670" s="494" t="s">
        <v>1452</v>
      </c>
      <c r="AC670" s="547" t="str">
        <f t="shared" ca="1" si="105"/>
        <v/>
      </c>
      <c r="AD670" s="557"/>
      <c r="AE670" s="958"/>
    </row>
    <row r="671" spans="1:31" ht="15" customHeight="1">
      <c r="A671" s="957">
        <v>99</v>
      </c>
      <c r="B671" s="566" t="s">
        <v>491</v>
      </c>
      <c r="C671" s="567" t="s">
        <v>1443</v>
      </c>
      <c r="D671" s="958">
        <v>1.2</v>
      </c>
      <c r="E671" s="959" t="s">
        <v>419</v>
      </c>
      <c r="F671" s="558" t="s">
        <v>1501</v>
      </c>
      <c r="G671" s="558">
        <v>744</v>
      </c>
      <c r="H671" s="558" t="s">
        <v>530</v>
      </c>
      <c r="I671" s="559" t="s">
        <v>428</v>
      </c>
      <c r="J671" s="567" t="s">
        <v>1445</v>
      </c>
      <c r="K671" s="961" t="s">
        <v>1373</v>
      </c>
      <c r="L671" s="555" t="str">
        <f t="shared" ca="1" si="100"/>
        <v/>
      </c>
      <c r="M671" s="494" t="s">
        <v>1446</v>
      </c>
      <c r="N671" s="555" t="str">
        <f t="shared" ca="1" si="101"/>
        <v/>
      </c>
      <c r="O671" s="494" t="s">
        <v>1447</v>
      </c>
      <c r="P671" s="555" t="str">
        <f t="shared" ca="1" si="102"/>
        <v/>
      </c>
      <c r="Q671" s="494" t="s">
        <v>1448</v>
      </c>
      <c r="R671" s="494" t="str">
        <f t="shared" si="108"/>
        <v>H671</v>
      </c>
      <c r="S671" s="494" t="s">
        <v>1449</v>
      </c>
      <c r="T671" s="494">
        <v>10</v>
      </c>
      <c r="U671" s="556" t="str">
        <f t="shared" ca="1" si="106"/>
        <v/>
      </c>
      <c r="V671" s="494">
        <v>11</v>
      </c>
      <c r="W671" s="556" t="str">
        <f t="shared" ca="1" si="107"/>
        <v/>
      </c>
      <c r="X671" s="494" t="s">
        <v>1450</v>
      </c>
      <c r="Y671" s="547" t="str">
        <f t="shared" ca="1" si="103"/>
        <v/>
      </c>
      <c r="Z671" s="494" t="s">
        <v>1451</v>
      </c>
      <c r="AA671" s="547" t="str">
        <f t="shared" ca="1" si="104"/>
        <v/>
      </c>
      <c r="AB671" s="494" t="s">
        <v>1452</v>
      </c>
      <c r="AC671" s="547" t="str">
        <f t="shared" ca="1" si="105"/>
        <v/>
      </c>
      <c r="AD671" s="557"/>
      <c r="AE671" s="958"/>
    </row>
    <row r="672" spans="1:31" ht="15" customHeight="1">
      <c r="A672" s="957">
        <v>104</v>
      </c>
      <c r="B672" s="566" t="s">
        <v>493</v>
      </c>
      <c r="C672" s="567" t="s">
        <v>1443</v>
      </c>
      <c r="D672" s="958">
        <v>1.3</v>
      </c>
      <c r="E672" s="959" t="s">
        <v>254</v>
      </c>
      <c r="F672" s="558" t="s">
        <v>1444</v>
      </c>
      <c r="G672" s="558">
        <v>943</v>
      </c>
      <c r="H672" s="558">
        <v>1.1000000000000001</v>
      </c>
      <c r="I672" s="559" t="s">
        <v>492</v>
      </c>
      <c r="J672" s="567" t="s">
        <v>1445</v>
      </c>
      <c r="K672" s="961" t="s">
        <v>1373</v>
      </c>
      <c r="L672" s="555" t="str">
        <f t="shared" ca="1" si="100"/>
        <v/>
      </c>
      <c r="M672" s="494" t="s">
        <v>1446</v>
      </c>
      <c r="N672" s="555" t="str">
        <f t="shared" ca="1" si="101"/>
        <v/>
      </c>
      <c r="O672" s="494" t="s">
        <v>1447</v>
      </c>
      <c r="P672" s="555" t="str">
        <f t="shared" ca="1" si="102"/>
        <v/>
      </c>
      <c r="Q672" s="494" t="s">
        <v>1448</v>
      </c>
      <c r="R672" s="494" t="str">
        <f t="shared" si="108"/>
        <v>H672</v>
      </c>
      <c r="S672" s="494" t="s">
        <v>1449</v>
      </c>
      <c r="T672" s="494">
        <v>10</v>
      </c>
      <c r="U672" s="556" t="str">
        <f t="shared" ca="1" si="106"/>
        <v/>
      </c>
      <c r="V672" s="494">
        <v>11</v>
      </c>
      <c r="W672" s="556" t="str">
        <f t="shared" ca="1" si="107"/>
        <v/>
      </c>
      <c r="X672" s="494" t="s">
        <v>1450</v>
      </c>
      <c r="Y672" s="547" t="str">
        <f t="shared" ca="1" si="103"/>
        <v/>
      </c>
      <c r="Z672" s="494" t="s">
        <v>1451</v>
      </c>
      <c r="AA672" s="547" t="str">
        <f t="shared" ca="1" si="104"/>
        <v/>
      </c>
      <c r="AB672" s="494" t="s">
        <v>1452</v>
      </c>
      <c r="AC672" s="547" t="str">
        <f t="shared" ca="1" si="105"/>
        <v/>
      </c>
      <c r="AD672" s="557"/>
      <c r="AE672" s="958"/>
    </row>
    <row r="673" spans="1:31" ht="15" customHeight="1">
      <c r="A673" s="957">
        <v>104</v>
      </c>
      <c r="B673" s="566" t="s">
        <v>493</v>
      </c>
      <c r="C673" s="567" t="s">
        <v>1443</v>
      </c>
      <c r="D673" s="958">
        <v>1.3</v>
      </c>
      <c r="E673" s="959" t="s">
        <v>254</v>
      </c>
      <c r="F673" s="558" t="s">
        <v>1444</v>
      </c>
      <c r="G673" s="558">
        <v>950</v>
      </c>
      <c r="H673" s="558">
        <v>2</v>
      </c>
      <c r="I673" s="559" t="s">
        <v>263</v>
      </c>
      <c r="J673" s="567" t="s">
        <v>1445</v>
      </c>
      <c r="K673" s="961" t="s">
        <v>1373</v>
      </c>
      <c r="L673" s="555" t="str">
        <f t="shared" ca="1" si="100"/>
        <v/>
      </c>
      <c r="M673" s="494" t="s">
        <v>1446</v>
      </c>
      <c r="N673" s="555" t="str">
        <f t="shared" ca="1" si="101"/>
        <v/>
      </c>
      <c r="O673" s="494" t="s">
        <v>1447</v>
      </c>
      <c r="P673" s="555" t="str">
        <f t="shared" ca="1" si="102"/>
        <v/>
      </c>
      <c r="Q673" s="494" t="s">
        <v>1448</v>
      </c>
      <c r="R673" s="494" t="str">
        <f t="shared" si="108"/>
        <v>H673</v>
      </c>
      <c r="S673" s="494" t="s">
        <v>1449</v>
      </c>
      <c r="T673" s="494">
        <v>10</v>
      </c>
      <c r="U673" s="556" t="str">
        <f t="shared" ca="1" si="106"/>
        <v/>
      </c>
      <c r="V673" s="494">
        <v>11</v>
      </c>
      <c r="W673" s="556" t="str">
        <f t="shared" ca="1" si="107"/>
        <v/>
      </c>
      <c r="X673" s="494" t="s">
        <v>1450</v>
      </c>
      <c r="Y673" s="547" t="str">
        <f t="shared" ca="1" si="103"/>
        <v/>
      </c>
      <c r="Z673" s="494" t="s">
        <v>1451</v>
      </c>
      <c r="AA673" s="547" t="str">
        <f t="shared" ca="1" si="104"/>
        <v/>
      </c>
      <c r="AB673" s="494" t="s">
        <v>1452</v>
      </c>
      <c r="AC673" s="547" t="str">
        <f t="shared" ca="1" si="105"/>
        <v/>
      </c>
      <c r="AD673" s="557"/>
      <c r="AE673" s="958"/>
    </row>
    <row r="674" spans="1:31" ht="15" customHeight="1">
      <c r="A674" s="957">
        <v>104</v>
      </c>
      <c r="B674" s="566" t="s">
        <v>493</v>
      </c>
      <c r="C674" s="567" t="s">
        <v>1443</v>
      </c>
      <c r="D674" s="958">
        <v>1.3</v>
      </c>
      <c r="E674" s="959" t="s">
        <v>254</v>
      </c>
      <c r="F674" s="558" t="s">
        <v>1444</v>
      </c>
      <c r="G674" s="558">
        <v>951</v>
      </c>
      <c r="H674" s="558">
        <v>2.1</v>
      </c>
      <c r="I674" s="559" t="s">
        <v>270</v>
      </c>
      <c r="J674" s="567" t="s">
        <v>1445</v>
      </c>
      <c r="K674" s="961" t="s">
        <v>1373</v>
      </c>
      <c r="L674" s="555" t="str">
        <f t="shared" ca="1" si="100"/>
        <v/>
      </c>
      <c r="M674" s="494" t="s">
        <v>1446</v>
      </c>
      <c r="N674" s="555" t="str">
        <f t="shared" ca="1" si="101"/>
        <v/>
      </c>
      <c r="O674" s="494" t="s">
        <v>1447</v>
      </c>
      <c r="P674" s="555" t="str">
        <f t="shared" ca="1" si="102"/>
        <v/>
      </c>
      <c r="Q674" s="494" t="s">
        <v>1448</v>
      </c>
      <c r="R674" s="494" t="str">
        <f t="shared" si="108"/>
        <v>H674</v>
      </c>
      <c r="S674" s="494" t="s">
        <v>1449</v>
      </c>
      <c r="T674" s="494">
        <v>10</v>
      </c>
      <c r="U674" s="556" t="str">
        <f t="shared" ca="1" si="106"/>
        <v/>
      </c>
      <c r="V674" s="494">
        <v>11</v>
      </c>
      <c r="W674" s="556" t="str">
        <f t="shared" ca="1" si="107"/>
        <v/>
      </c>
      <c r="X674" s="494" t="s">
        <v>1450</v>
      </c>
      <c r="Y674" s="547" t="str">
        <f t="shared" ca="1" si="103"/>
        <v/>
      </c>
      <c r="Z674" s="494" t="s">
        <v>1451</v>
      </c>
      <c r="AA674" s="547" t="str">
        <f t="shared" ca="1" si="104"/>
        <v/>
      </c>
      <c r="AB674" s="494" t="s">
        <v>1452</v>
      </c>
      <c r="AC674" s="547" t="str">
        <f t="shared" ca="1" si="105"/>
        <v/>
      </c>
      <c r="AD674" s="557"/>
      <c r="AE674" s="958"/>
    </row>
    <row r="675" spans="1:31" ht="15" customHeight="1">
      <c r="A675" s="957">
        <v>104</v>
      </c>
      <c r="B675" s="566" t="s">
        <v>493</v>
      </c>
      <c r="C675" s="567" t="s">
        <v>1443</v>
      </c>
      <c r="D675" s="958">
        <v>1.3</v>
      </c>
      <c r="E675" s="959" t="s">
        <v>254</v>
      </c>
      <c r="F675" s="558" t="s">
        <v>1444</v>
      </c>
      <c r="G675" s="558">
        <v>952</v>
      </c>
      <c r="H675" s="558">
        <v>2.2000000000000002</v>
      </c>
      <c r="I675" s="559" t="s">
        <v>275</v>
      </c>
      <c r="J675" s="567" t="s">
        <v>1445</v>
      </c>
      <c r="K675" s="961" t="s">
        <v>1373</v>
      </c>
      <c r="L675" s="555" t="str">
        <f t="shared" ca="1" si="100"/>
        <v/>
      </c>
      <c r="M675" s="494" t="s">
        <v>1446</v>
      </c>
      <c r="N675" s="555" t="str">
        <f t="shared" ca="1" si="101"/>
        <v/>
      </c>
      <c r="O675" s="494" t="s">
        <v>1447</v>
      </c>
      <c r="P675" s="555" t="str">
        <f t="shared" ca="1" si="102"/>
        <v/>
      </c>
      <c r="Q675" s="494" t="s">
        <v>1448</v>
      </c>
      <c r="R675" s="494" t="str">
        <f t="shared" si="108"/>
        <v>H675</v>
      </c>
      <c r="S675" s="494" t="s">
        <v>1449</v>
      </c>
      <c r="T675" s="494">
        <v>10</v>
      </c>
      <c r="U675" s="556" t="str">
        <f t="shared" ca="1" si="106"/>
        <v/>
      </c>
      <c r="V675" s="494">
        <v>11</v>
      </c>
      <c r="W675" s="556" t="str">
        <f t="shared" ca="1" si="107"/>
        <v/>
      </c>
      <c r="X675" s="494" t="s">
        <v>1450</v>
      </c>
      <c r="Y675" s="547" t="str">
        <f t="shared" ca="1" si="103"/>
        <v/>
      </c>
      <c r="Z675" s="494" t="s">
        <v>1451</v>
      </c>
      <c r="AA675" s="547" t="str">
        <f t="shared" ca="1" si="104"/>
        <v/>
      </c>
      <c r="AB675" s="494" t="s">
        <v>1452</v>
      </c>
      <c r="AC675" s="547" t="str">
        <f t="shared" ca="1" si="105"/>
        <v/>
      </c>
      <c r="AD675" s="557"/>
      <c r="AE675" s="958"/>
    </row>
    <row r="676" spans="1:31" ht="15" customHeight="1">
      <c r="A676" s="957">
        <v>104</v>
      </c>
      <c r="B676" s="566" t="s">
        <v>493</v>
      </c>
      <c r="C676" s="567" t="s">
        <v>1443</v>
      </c>
      <c r="D676" s="958">
        <v>1.3</v>
      </c>
      <c r="E676" s="959" t="s">
        <v>254</v>
      </c>
      <c r="F676" s="558" t="s">
        <v>1444</v>
      </c>
      <c r="G676" s="558">
        <v>956</v>
      </c>
      <c r="H676" s="558">
        <v>2.2999999999999998</v>
      </c>
      <c r="I676" s="559" t="s">
        <v>278</v>
      </c>
      <c r="J676" s="567" t="s">
        <v>1445</v>
      </c>
      <c r="K676" s="961" t="s">
        <v>1373</v>
      </c>
      <c r="L676" s="555" t="str">
        <f t="shared" ca="1" si="100"/>
        <v/>
      </c>
      <c r="M676" s="494" t="s">
        <v>1446</v>
      </c>
      <c r="N676" s="555" t="str">
        <f t="shared" ca="1" si="101"/>
        <v/>
      </c>
      <c r="O676" s="494" t="s">
        <v>1447</v>
      </c>
      <c r="P676" s="555" t="str">
        <f t="shared" ca="1" si="102"/>
        <v/>
      </c>
      <c r="Q676" s="494" t="s">
        <v>1448</v>
      </c>
      <c r="R676" s="494" t="str">
        <f t="shared" si="108"/>
        <v>H676</v>
      </c>
      <c r="S676" s="494" t="s">
        <v>1449</v>
      </c>
      <c r="T676" s="494">
        <v>10</v>
      </c>
      <c r="U676" s="556" t="str">
        <f t="shared" ca="1" si="106"/>
        <v/>
      </c>
      <c r="V676" s="494">
        <v>11</v>
      </c>
      <c r="W676" s="556" t="str">
        <f t="shared" ca="1" si="107"/>
        <v/>
      </c>
      <c r="X676" s="494" t="s">
        <v>1450</v>
      </c>
      <c r="Y676" s="547" t="str">
        <f t="shared" ca="1" si="103"/>
        <v/>
      </c>
      <c r="Z676" s="494" t="s">
        <v>1451</v>
      </c>
      <c r="AA676" s="547" t="str">
        <f t="shared" ca="1" si="104"/>
        <v/>
      </c>
      <c r="AB676" s="494" t="s">
        <v>1452</v>
      </c>
      <c r="AC676" s="547" t="str">
        <f t="shared" ca="1" si="105"/>
        <v/>
      </c>
      <c r="AD676" s="557"/>
      <c r="AE676" s="958"/>
    </row>
    <row r="677" spans="1:31" ht="15" customHeight="1">
      <c r="A677" s="957">
        <v>104</v>
      </c>
      <c r="B677" s="566" t="s">
        <v>493</v>
      </c>
      <c r="C677" s="567" t="s">
        <v>1443</v>
      </c>
      <c r="D677" s="958">
        <v>1.3</v>
      </c>
      <c r="E677" s="959" t="s">
        <v>254</v>
      </c>
      <c r="F677" s="558" t="s">
        <v>1444</v>
      </c>
      <c r="G677" s="558">
        <v>957</v>
      </c>
      <c r="H677" s="558">
        <v>2.4</v>
      </c>
      <c r="I677" s="559" t="s">
        <v>281</v>
      </c>
      <c r="J677" s="567" t="s">
        <v>1445</v>
      </c>
      <c r="K677" s="961" t="s">
        <v>1373</v>
      </c>
      <c r="L677" s="555" t="str">
        <f t="shared" ca="1" si="100"/>
        <v/>
      </c>
      <c r="M677" s="494" t="s">
        <v>1446</v>
      </c>
      <c r="N677" s="555" t="str">
        <f t="shared" ca="1" si="101"/>
        <v/>
      </c>
      <c r="O677" s="494" t="s">
        <v>1447</v>
      </c>
      <c r="P677" s="555" t="str">
        <f t="shared" ca="1" si="102"/>
        <v/>
      </c>
      <c r="Q677" s="494" t="s">
        <v>1448</v>
      </c>
      <c r="R677" s="494" t="str">
        <f t="shared" si="108"/>
        <v>H677</v>
      </c>
      <c r="S677" s="494" t="s">
        <v>1449</v>
      </c>
      <c r="T677" s="494">
        <v>10</v>
      </c>
      <c r="U677" s="556" t="str">
        <f t="shared" ref="U677:U708" ca="1" si="109">IF(AND($B677=INDIRECT(CONCATENATE($J677,$K677,5)),ISBLANK(INDEX(INDIRECT(CONCATENATE($J677,$Q677)),MATCH(INDIRECT($R677),INDIRECT(CONCATENATE($J677,$S677)),0),T677))=FALSE),INDEX(INDIRECT(CONCATENATE($J677,$Q677)),MATCH(INDIRECT($R677),INDIRECT(CONCATENATE($J677,$S677)),0),T677),"")</f>
        <v/>
      </c>
      <c r="V677" s="494">
        <v>11</v>
      </c>
      <c r="W677" s="556" t="str">
        <f t="shared" ref="W677:W708" ca="1" si="110">IF(AND($B677=INDIRECT(CONCATENATE($J677,$K677,5)),ISBLANK(INDEX(INDIRECT(CONCATENATE($J677,$Q677)),MATCH(INDIRECT($R677),INDIRECT(CONCATENATE($J677,$S677)),0),V677))=FALSE),INDEX(INDIRECT(CONCATENATE($J677,$Q677)),MATCH(INDIRECT($R677),INDIRECT(CONCATENATE($J677,$S677)),0),V677),"")</f>
        <v/>
      </c>
      <c r="X677" s="494" t="s">
        <v>1450</v>
      </c>
      <c r="Y677" s="547" t="str">
        <f t="shared" ca="1" si="103"/>
        <v/>
      </c>
      <c r="Z677" s="494" t="s">
        <v>1451</v>
      </c>
      <c r="AA677" s="547" t="str">
        <f t="shared" ca="1" si="104"/>
        <v/>
      </c>
      <c r="AB677" s="494" t="s">
        <v>1452</v>
      </c>
      <c r="AC677" s="547" t="str">
        <f t="shared" ca="1" si="105"/>
        <v/>
      </c>
      <c r="AD677" s="557"/>
      <c r="AE677" s="958"/>
    </row>
    <row r="678" spans="1:31" ht="15" customHeight="1">
      <c r="A678" s="957">
        <v>104</v>
      </c>
      <c r="B678" s="566" t="s">
        <v>493</v>
      </c>
      <c r="C678" s="567" t="s">
        <v>1443</v>
      </c>
      <c r="D678" s="958">
        <v>1.3</v>
      </c>
      <c r="E678" s="959" t="s">
        <v>254</v>
      </c>
      <c r="F678" s="558" t="s">
        <v>1444</v>
      </c>
      <c r="G678" s="558">
        <v>959</v>
      </c>
      <c r="H678" s="558">
        <v>3.1</v>
      </c>
      <c r="I678" s="559" t="s">
        <v>285</v>
      </c>
      <c r="J678" s="567" t="s">
        <v>1445</v>
      </c>
      <c r="K678" s="961" t="s">
        <v>1373</v>
      </c>
      <c r="L678" s="555" t="str">
        <f t="shared" ca="1" si="100"/>
        <v/>
      </c>
      <c r="M678" s="494" t="s">
        <v>1446</v>
      </c>
      <c r="N678" s="555" t="str">
        <f t="shared" ca="1" si="101"/>
        <v/>
      </c>
      <c r="O678" s="494" t="s">
        <v>1447</v>
      </c>
      <c r="P678" s="555" t="str">
        <f t="shared" ca="1" si="102"/>
        <v/>
      </c>
      <c r="Q678" s="494" t="s">
        <v>1448</v>
      </c>
      <c r="R678" s="494" t="str">
        <f t="shared" si="108"/>
        <v>H678</v>
      </c>
      <c r="S678" s="494" t="s">
        <v>1449</v>
      </c>
      <c r="T678" s="494">
        <v>10</v>
      </c>
      <c r="U678" s="556" t="str">
        <f t="shared" ca="1" si="109"/>
        <v/>
      </c>
      <c r="V678" s="494">
        <v>11</v>
      </c>
      <c r="W678" s="556" t="str">
        <f t="shared" ca="1" si="110"/>
        <v/>
      </c>
      <c r="X678" s="494" t="s">
        <v>1450</v>
      </c>
      <c r="Y678" s="547" t="str">
        <f t="shared" ca="1" si="103"/>
        <v/>
      </c>
      <c r="Z678" s="494" t="s">
        <v>1451</v>
      </c>
      <c r="AA678" s="547" t="str">
        <f t="shared" ca="1" si="104"/>
        <v/>
      </c>
      <c r="AB678" s="494" t="s">
        <v>1452</v>
      </c>
      <c r="AC678" s="547" t="str">
        <f t="shared" ca="1" si="105"/>
        <v/>
      </c>
      <c r="AD678" s="557"/>
      <c r="AE678" s="958"/>
    </row>
    <row r="679" spans="1:31" ht="15" customHeight="1">
      <c r="A679" s="957">
        <v>104</v>
      </c>
      <c r="B679" s="566" t="s">
        <v>493</v>
      </c>
      <c r="C679" s="567" t="s">
        <v>1443</v>
      </c>
      <c r="D679" s="958">
        <v>1.3</v>
      </c>
      <c r="E679" s="959" t="s">
        <v>254</v>
      </c>
      <c r="F679" s="558" t="s">
        <v>1444</v>
      </c>
      <c r="G679" s="558">
        <v>966</v>
      </c>
      <c r="H679" s="558">
        <v>4.0999999999999996</v>
      </c>
      <c r="I679" s="559" t="s">
        <v>38</v>
      </c>
      <c r="J679" s="567" t="s">
        <v>1445</v>
      </c>
      <c r="K679" s="961" t="s">
        <v>1373</v>
      </c>
      <c r="L679" s="555" t="str">
        <f t="shared" ca="1" si="100"/>
        <v/>
      </c>
      <c r="M679" s="494" t="s">
        <v>1446</v>
      </c>
      <c r="N679" s="555" t="str">
        <f t="shared" ca="1" si="101"/>
        <v/>
      </c>
      <c r="O679" s="494" t="s">
        <v>1447</v>
      </c>
      <c r="P679" s="555" t="str">
        <f t="shared" ca="1" si="102"/>
        <v/>
      </c>
      <c r="Q679" s="494" t="s">
        <v>1448</v>
      </c>
      <c r="R679" s="494" t="str">
        <f t="shared" si="108"/>
        <v>H679</v>
      </c>
      <c r="S679" s="494" t="s">
        <v>1449</v>
      </c>
      <c r="T679" s="494">
        <v>10</v>
      </c>
      <c r="U679" s="556" t="str">
        <f t="shared" ca="1" si="109"/>
        <v/>
      </c>
      <c r="V679" s="494">
        <v>11</v>
      </c>
      <c r="W679" s="556" t="str">
        <f t="shared" ca="1" si="110"/>
        <v/>
      </c>
      <c r="X679" s="494" t="s">
        <v>1450</v>
      </c>
      <c r="Y679" s="547" t="str">
        <f t="shared" ca="1" si="103"/>
        <v/>
      </c>
      <c r="Z679" s="494" t="s">
        <v>1451</v>
      </c>
      <c r="AA679" s="547" t="str">
        <f t="shared" ca="1" si="104"/>
        <v/>
      </c>
      <c r="AB679" s="494" t="s">
        <v>1452</v>
      </c>
      <c r="AC679" s="547" t="str">
        <f t="shared" ca="1" si="105"/>
        <v/>
      </c>
      <c r="AD679" s="557"/>
      <c r="AE679" s="958"/>
    </row>
    <row r="680" spans="1:31" ht="15" customHeight="1">
      <c r="A680" s="957">
        <v>104</v>
      </c>
      <c r="B680" s="566" t="s">
        <v>493</v>
      </c>
      <c r="C680" s="567" t="s">
        <v>1443</v>
      </c>
      <c r="D680" s="958">
        <v>1.3</v>
      </c>
      <c r="E680" s="959" t="s">
        <v>254</v>
      </c>
      <c r="F680" s="558" t="s">
        <v>1444</v>
      </c>
      <c r="G680" s="558">
        <v>972</v>
      </c>
      <c r="H680" s="558">
        <v>5.0999999999999996</v>
      </c>
      <c r="I680" s="559" t="s">
        <v>290</v>
      </c>
      <c r="J680" s="567" t="s">
        <v>1445</v>
      </c>
      <c r="K680" s="961" t="s">
        <v>1373</v>
      </c>
      <c r="L680" s="555" t="str">
        <f t="shared" ca="1" si="100"/>
        <v/>
      </c>
      <c r="M680" s="494" t="s">
        <v>1446</v>
      </c>
      <c r="N680" s="555" t="str">
        <f t="shared" ca="1" si="101"/>
        <v/>
      </c>
      <c r="O680" s="494" t="s">
        <v>1447</v>
      </c>
      <c r="P680" s="555" t="str">
        <f t="shared" ca="1" si="102"/>
        <v/>
      </c>
      <c r="Q680" s="494" t="s">
        <v>1448</v>
      </c>
      <c r="R680" s="494" t="str">
        <f t="shared" si="108"/>
        <v>H680</v>
      </c>
      <c r="S680" s="494" t="s">
        <v>1449</v>
      </c>
      <c r="T680" s="494">
        <v>10</v>
      </c>
      <c r="U680" s="556" t="str">
        <f t="shared" ca="1" si="109"/>
        <v/>
      </c>
      <c r="V680" s="494">
        <v>11</v>
      </c>
      <c r="W680" s="556" t="str">
        <f t="shared" ca="1" si="110"/>
        <v/>
      </c>
      <c r="X680" s="494" t="s">
        <v>1450</v>
      </c>
      <c r="Y680" s="547" t="str">
        <f t="shared" ca="1" si="103"/>
        <v/>
      </c>
      <c r="Z680" s="494" t="s">
        <v>1451</v>
      </c>
      <c r="AA680" s="547" t="str">
        <f t="shared" ca="1" si="104"/>
        <v/>
      </c>
      <c r="AB680" s="494" t="s">
        <v>1452</v>
      </c>
      <c r="AC680" s="547" t="str">
        <f t="shared" ca="1" si="105"/>
        <v/>
      </c>
      <c r="AD680" s="557"/>
      <c r="AE680" s="958"/>
    </row>
    <row r="681" spans="1:31" ht="15" customHeight="1">
      <c r="A681" s="957">
        <v>104</v>
      </c>
      <c r="B681" s="566" t="s">
        <v>493</v>
      </c>
      <c r="C681" s="567" t="s">
        <v>1443</v>
      </c>
      <c r="D681" s="958">
        <v>1.3</v>
      </c>
      <c r="E681" s="959" t="s">
        <v>254</v>
      </c>
      <c r="F681" s="558" t="s">
        <v>1444</v>
      </c>
      <c r="G681" s="558">
        <v>978</v>
      </c>
      <c r="H681" s="558">
        <v>5.2</v>
      </c>
      <c r="I681" s="559" t="s">
        <v>291</v>
      </c>
      <c r="J681" s="567" t="s">
        <v>1445</v>
      </c>
      <c r="K681" s="961" t="s">
        <v>1373</v>
      </c>
      <c r="L681" s="555" t="str">
        <f t="shared" ca="1" si="100"/>
        <v/>
      </c>
      <c r="M681" s="494" t="s">
        <v>1446</v>
      </c>
      <c r="N681" s="555" t="str">
        <f t="shared" ca="1" si="101"/>
        <v/>
      </c>
      <c r="O681" s="494" t="s">
        <v>1447</v>
      </c>
      <c r="P681" s="555" t="str">
        <f t="shared" ca="1" si="102"/>
        <v/>
      </c>
      <c r="Q681" s="494" t="s">
        <v>1448</v>
      </c>
      <c r="R681" s="494" t="str">
        <f t="shared" si="108"/>
        <v>H681</v>
      </c>
      <c r="S681" s="494" t="s">
        <v>1449</v>
      </c>
      <c r="T681" s="494">
        <v>10</v>
      </c>
      <c r="U681" s="556" t="str">
        <f t="shared" ca="1" si="109"/>
        <v/>
      </c>
      <c r="V681" s="494">
        <v>11</v>
      </c>
      <c r="W681" s="556" t="str">
        <f t="shared" ca="1" si="110"/>
        <v/>
      </c>
      <c r="X681" s="494" t="s">
        <v>1450</v>
      </c>
      <c r="Y681" s="547" t="str">
        <f t="shared" ca="1" si="103"/>
        <v/>
      </c>
      <c r="Z681" s="494" t="s">
        <v>1451</v>
      </c>
      <c r="AA681" s="547" t="str">
        <f t="shared" ca="1" si="104"/>
        <v/>
      </c>
      <c r="AB681" s="494" t="s">
        <v>1452</v>
      </c>
      <c r="AC681" s="547" t="str">
        <f t="shared" ca="1" si="105"/>
        <v/>
      </c>
      <c r="AD681" s="557"/>
      <c r="AE681" s="958"/>
    </row>
    <row r="682" spans="1:31" ht="15" customHeight="1">
      <c r="A682" s="957">
        <v>104</v>
      </c>
      <c r="B682" s="566" t="s">
        <v>493</v>
      </c>
      <c r="C682" s="567" t="s">
        <v>1443</v>
      </c>
      <c r="D682" s="958">
        <v>1.3</v>
      </c>
      <c r="E682" s="959" t="s">
        <v>254</v>
      </c>
      <c r="F682" s="558" t="s">
        <v>1444</v>
      </c>
      <c r="G682" s="558">
        <v>982</v>
      </c>
      <c r="H682" s="558">
        <v>6</v>
      </c>
      <c r="I682" s="559" t="s">
        <v>294</v>
      </c>
      <c r="J682" s="567" t="s">
        <v>1445</v>
      </c>
      <c r="K682" s="961" t="s">
        <v>1373</v>
      </c>
      <c r="L682" s="555" t="str">
        <f t="shared" ca="1" si="100"/>
        <v/>
      </c>
      <c r="M682" s="494" t="s">
        <v>1446</v>
      </c>
      <c r="N682" s="555" t="str">
        <f t="shared" ca="1" si="101"/>
        <v/>
      </c>
      <c r="O682" s="494" t="s">
        <v>1447</v>
      </c>
      <c r="P682" s="555" t="str">
        <f t="shared" ca="1" si="102"/>
        <v/>
      </c>
      <c r="Q682" s="494" t="s">
        <v>1448</v>
      </c>
      <c r="R682" s="494" t="str">
        <f t="shared" si="108"/>
        <v>H682</v>
      </c>
      <c r="S682" s="494" t="s">
        <v>1449</v>
      </c>
      <c r="T682" s="494">
        <v>10</v>
      </c>
      <c r="U682" s="556" t="str">
        <f t="shared" ca="1" si="109"/>
        <v/>
      </c>
      <c r="V682" s="494">
        <v>11</v>
      </c>
      <c r="W682" s="556" t="str">
        <f t="shared" ca="1" si="110"/>
        <v/>
      </c>
      <c r="X682" s="494" t="s">
        <v>1450</v>
      </c>
      <c r="Y682" s="547" t="str">
        <f t="shared" ca="1" si="103"/>
        <v/>
      </c>
      <c r="Z682" s="494" t="s">
        <v>1451</v>
      </c>
      <c r="AA682" s="547" t="str">
        <f t="shared" ca="1" si="104"/>
        <v/>
      </c>
      <c r="AB682" s="494" t="s">
        <v>1452</v>
      </c>
      <c r="AC682" s="547" t="str">
        <f t="shared" ca="1" si="105"/>
        <v/>
      </c>
      <c r="AD682" s="557"/>
      <c r="AE682" s="958"/>
    </row>
    <row r="683" spans="1:31" ht="15" customHeight="1">
      <c r="A683" s="957">
        <v>104</v>
      </c>
      <c r="B683" s="566" t="s">
        <v>493</v>
      </c>
      <c r="C683" s="567" t="s">
        <v>1443</v>
      </c>
      <c r="D683" s="958">
        <v>1.3</v>
      </c>
      <c r="E683" s="959" t="s">
        <v>254</v>
      </c>
      <c r="F683" s="558" t="s">
        <v>1444</v>
      </c>
      <c r="G683" s="558">
        <v>987</v>
      </c>
      <c r="H683" s="558">
        <v>6.1</v>
      </c>
      <c r="I683" s="559" t="s">
        <v>295</v>
      </c>
      <c r="J683" s="567" t="s">
        <v>1445</v>
      </c>
      <c r="K683" s="961" t="s">
        <v>1373</v>
      </c>
      <c r="L683" s="555" t="str">
        <f t="shared" ca="1" si="100"/>
        <v/>
      </c>
      <c r="M683" s="494" t="s">
        <v>1446</v>
      </c>
      <c r="N683" s="555" t="str">
        <f t="shared" ca="1" si="101"/>
        <v/>
      </c>
      <c r="O683" s="494" t="s">
        <v>1447</v>
      </c>
      <c r="P683" s="555" t="str">
        <f t="shared" ca="1" si="102"/>
        <v/>
      </c>
      <c r="Q683" s="494" t="s">
        <v>1448</v>
      </c>
      <c r="R683" s="494" t="str">
        <f t="shared" si="108"/>
        <v>H683</v>
      </c>
      <c r="S683" s="494" t="s">
        <v>1449</v>
      </c>
      <c r="T683" s="494">
        <v>10</v>
      </c>
      <c r="U683" s="556" t="str">
        <f t="shared" ca="1" si="109"/>
        <v/>
      </c>
      <c r="V683" s="494">
        <v>11</v>
      </c>
      <c r="W683" s="556" t="str">
        <f t="shared" ca="1" si="110"/>
        <v/>
      </c>
      <c r="X683" s="494" t="s">
        <v>1450</v>
      </c>
      <c r="Y683" s="547" t="str">
        <f t="shared" ca="1" si="103"/>
        <v/>
      </c>
      <c r="Z683" s="494" t="s">
        <v>1451</v>
      </c>
      <c r="AA683" s="547" t="str">
        <f t="shared" ca="1" si="104"/>
        <v/>
      </c>
      <c r="AB683" s="494" t="s">
        <v>1452</v>
      </c>
      <c r="AC683" s="547" t="str">
        <f t="shared" ca="1" si="105"/>
        <v/>
      </c>
      <c r="AD683" s="557"/>
      <c r="AE683" s="958"/>
    </row>
    <row r="684" spans="1:31" ht="15" customHeight="1">
      <c r="A684" s="957">
        <v>104</v>
      </c>
      <c r="B684" s="566" t="s">
        <v>493</v>
      </c>
      <c r="C684" s="567" t="s">
        <v>1443</v>
      </c>
      <c r="D684" s="958">
        <v>1.3</v>
      </c>
      <c r="E684" s="959" t="s">
        <v>254</v>
      </c>
      <c r="F684" s="558" t="s">
        <v>1444</v>
      </c>
      <c r="G684" s="558">
        <v>991</v>
      </c>
      <c r="H684" s="558">
        <v>7</v>
      </c>
      <c r="I684" s="559" t="s">
        <v>298</v>
      </c>
      <c r="J684" s="567" t="s">
        <v>1445</v>
      </c>
      <c r="K684" s="961" t="s">
        <v>1373</v>
      </c>
      <c r="L684" s="555" t="str">
        <f t="shared" ca="1" si="100"/>
        <v/>
      </c>
      <c r="M684" s="494" t="s">
        <v>1446</v>
      </c>
      <c r="N684" s="555" t="str">
        <f t="shared" ca="1" si="101"/>
        <v/>
      </c>
      <c r="O684" s="494" t="s">
        <v>1447</v>
      </c>
      <c r="P684" s="555" t="str">
        <f t="shared" ca="1" si="102"/>
        <v/>
      </c>
      <c r="Q684" s="494" t="s">
        <v>1448</v>
      </c>
      <c r="R684" s="494" t="str">
        <f t="shared" si="108"/>
        <v>H684</v>
      </c>
      <c r="S684" s="494" t="s">
        <v>1449</v>
      </c>
      <c r="T684" s="494">
        <v>10</v>
      </c>
      <c r="U684" s="556" t="str">
        <f t="shared" ca="1" si="109"/>
        <v/>
      </c>
      <c r="V684" s="494">
        <v>11</v>
      </c>
      <c r="W684" s="556" t="str">
        <f t="shared" ca="1" si="110"/>
        <v/>
      </c>
      <c r="X684" s="494" t="s">
        <v>1450</v>
      </c>
      <c r="Y684" s="547" t="str">
        <f t="shared" ca="1" si="103"/>
        <v/>
      </c>
      <c r="Z684" s="494" t="s">
        <v>1451</v>
      </c>
      <c r="AA684" s="547" t="str">
        <f t="shared" ca="1" si="104"/>
        <v/>
      </c>
      <c r="AB684" s="494" t="s">
        <v>1452</v>
      </c>
      <c r="AC684" s="547" t="str">
        <f t="shared" ca="1" si="105"/>
        <v/>
      </c>
      <c r="AD684" s="557"/>
      <c r="AE684" s="958"/>
    </row>
    <row r="685" spans="1:31" ht="15" customHeight="1">
      <c r="A685" s="957">
        <v>104</v>
      </c>
      <c r="B685" s="566" t="s">
        <v>493</v>
      </c>
      <c r="C685" s="567" t="s">
        <v>1443</v>
      </c>
      <c r="D685" s="958">
        <v>1.3</v>
      </c>
      <c r="E685" s="959" t="s">
        <v>254</v>
      </c>
      <c r="F685" s="558" t="s">
        <v>1444</v>
      </c>
      <c r="G685" s="558">
        <v>992</v>
      </c>
      <c r="H685" s="558">
        <v>7.1</v>
      </c>
      <c r="I685" s="559" t="s">
        <v>682</v>
      </c>
      <c r="J685" s="567" t="s">
        <v>1445</v>
      </c>
      <c r="K685" s="961" t="s">
        <v>1373</v>
      </c>
      <c r="L685" s="555" t="str">
        <f t="shared" ca="1" si="100"/>
        <v/>
      </c>
      <c r="M685" s="494" t="s">
        <v>1446</v>
      </c>
      <c r="N685" s="555" t="str">
        <f t="shared" ca="1" si="101"/>
        <v/>
      </c>
      <c r="O685" s="494" t="s">
        <v>1447</v>
      </c>
      <c r="P685" s="555" t="str">
        <f t="shared" ca="1" si="102"/>
        <v/>
      </c>
      <c r="Q685" s="494" t="s">
        <v>1448</v>
      </c>
      <c r="R685" s="494" t="str">
        <f t="shared" si="108"/>
        <v>H685</v>
      </c>
      <c r="S685" s="494" t="s">
        <v>1449</v>
      </c>
      <c r="T685" s="494">
        <v>10</v>
      </c>
      <c r="U685" s="556" t="str">
        <f t="shared" ca="1" si="109"/>
        <v/>
      </c>
      <c r="V685" s="494">
        <v>11</v>
      </c>
      <c r="W685" s="556" t="str">
        <f t="shared" ca="1" si="110"/>
        <v/>
      </c>
      <c r="X685" s="494" t="s">
        <v>1450</v>
      </c>
      <c r="Y685" s="547" t="str">
        <f t="shared" ca="1" si="103"/>
        <v/>
      </c>
      <c r="Z685" s="494" t="s">
        <v>1451</v>
      </c>
      <c r="AA685" s="547" t="str">
        <f t="shared" ca="1" si="104"/>
        <v/>
      </c>
      <c r="AB685" s="494" t="s">
        <v>1452</v>
      </c>
      <c r="AC685" s="547" t="str">
        <f t="shared" ca="1" si="105"/>
        <v/>
      </c>
      <c r="AD685" s="557"/>
      <c r="AE685" s="958"/>
    </row>
    <row r="686" spans="1:31" ht="15" customHeight="1">
      <c r="A686" s="957">
        <v>104</v>
      </c>
      <c r="B686" s="566" t="s">
        <v>493</v>
      </c>
      <c r="C686" s="567" t="s">
        <v>1443</v>
      </c>
      <c r="D686" s="958">
        <v>1.3</v>
      </c>
      <c r="E686" s="959" t="s">
        <v>254</v>
      </c>
      <c r="F686" s="558" t="s">
        <v>1444</v>
      </c>
      <c r="G686" s="558">
        <v>993</v>
      </c>
      <c r="H686" s="558">
        <v>7.2</v>
      </c>
      <c r="I686" s="559" t="s">
        <v>46</v>
      </c>
      <c r="J686" s="567" t="s">
        <v>1445</v>
      </c>
      <c r="K686" s="961" t="s">
        <v>1373</v>
      </c>
      <c r="L686" s="555" t="str">
        <f t="shared" ca="1" si="100"/>
        <v/>
      </c>
      <c r="M686" s="494" t="s">
        <v>1446</v>
      </c>
      <c r="N686" s="555" t="str">
        <f t="shared" ca="1" si="101"/>
        <v/>
      </c>
      <c r="O686" s="494" t="s">
        <v>1447</v>
      </c>
      <c r="P686" s="555" t="str">
        <f t="shared" ca="1" si="102"/>
        <v/>
      </c>
      <c r="Q686" s="494" t="s">
        <v>1448</v>
      </c>
      <c r="R686" s="494" t="str">
        <f t="shared" si="108"/>
        <v>H686</v>
      </c>
      <c r="S686" s="494" t="s">
        <v>1449</v>
      </c>
      <c r="T686" s="494">
        <v>10</v>
      </c>
      <c r="U686" s="556" t="str">
        <f t="shared" ca="1" si="109"/>
        <v/>
      </c>
      <c r="V686" s="494">
        <v>11</v>
      </c>
      <c r="W686" s="556" t="str">
        <f t="shared" ca="1" si="110"/>
        <v/>
      </c>
      <c r="X686" s="494" t="s">
        <v>1450</v>
      </c>
      <c r="Y686" s="547" t="str">
        <f t="shared" ca="1" si="103"/>
        <v/>
      </c>
      <c r="Z686" s="494" t="s">
        <v>1451</v>
      </c>
      <c r="AA686" s="547" t="str">
        <f t="shared" ca="1" si="104"/>
        <v/>
      </c>
      <c r="AB686" s="494" t="s">
        <v>1452</v>
      </c>
      <c r="AC686" s="547" t="str">
        <f t="shared" ca="1" si="105"/>
        <v/>
      </c>
      <c r="AD686" s="557"/>
      <c r="AE686" s="958"/>
    </row>
    <row r="687" spans="1:31" ht="15" customHeight="1">
      <c r="A687" s="957">
        <v>104</v>
      </c>
      <c r="B687" s="566" t="s">
        <v>493</v>
      </c>
      <c r="C687" s="567" t="s">
        <v>1443</v>
      </c>
      <c r="D687" s="958">
        <v>1.3</v>
      </c>
      <c r="E687" s="959" t="s">
        <v>254</v>
      </c>
      <c r="F687" s="558" t="s">
        <v>1444</v>
      </c>
      <c r="G687" s="558">
        <v>997</v>
      </c>
      <c r="H687" s="558" t="s">
        <v>301</v>
      </c>
      <c r="I687" s="559" t="s">
        <v>497</v>
      </c>
      <c r="J687" s="567" t="s">
        <v>1445</v>
      </c>
      <c r="K687" s="961" t="s">
        <v>1373</v>
      </c>
      <c r="L687" s="555" t="str">
        <f t="shared" ca="1" si="100"/>
        <v/>
      </c>
      <c r="M687" s="494" t="s">
        <v>1446</v>
      </c>
      <c r="N687" s="555" t="str">
        <f t="shared" ca="1" si="101"/>
        <v/>
      </c>
      <c r="O687" s="494" t="s">
        <v>1447</v>
      </c>
      <c r="P687" s="555" t="str">
        <f t="shared" ca="1" si="102"/>
        <v/>
      </c>
      <c r="Q687" s="494" t="s">
        <v>1448</v>
      </c>
      <c r="R687" s="494" t="str">
        <f t="shared" si="108"/>
        <v>H687</v>
      </c>
      <c r="S687" s="494" t="s">
        <v>1449</v>
      </c>
      <c r="T687" s="494">
        <v>10</v>
      </c>
      <c r="U687" s="556" t="str">
        <f t="shared" ca="1" si="109"/>
        <v/>
      </c>
      <c r="V687" s="494">
        <v>11</v>
      </c>
      <c r="W687" s="556" t="str">
        <f t="shared" ca="1" si="110"/>
        <v/>
      </c>
      <c r="X687" s="494" t="s">
        <v>1450</v>
      </c>
      <c r="Y687" s="547" t="str">
        <f t="shared" ca="1" si="103"/>
        <v/>
      </c>
      <c r="Z687" s="494" t="s">
        <v>1451</v>
      </c>
      <c r="AA687" s="547" t="str">
        <f t="shared" ca="1" si="104"/>
        <v/>
      </c>
      <c r="AB687" s="494" t="s">
        <v>1452</v>
      </c>
      <c r="AC687" s="547" t="str">
        <f t="shared" ca="1" si="105"/>
        <v/>
      </c>
      <c r="AD687" s="557"/>
      <c r="AE687" s="958"/>
    </row>
    <row r="688" spans="1:31" ht="15" customHeight="1">
      <c r="A688" s="957">
        <v>104</v>
      </c>
      <c r="B688" s="566" t="s">
        <v>493</v>
      </c>
      <c r="C688" s="567" t="s">
        <v>1443</v>
      </c>
      <c r="D688" s="958">
        <v>1.3</v>
      </c>
      <c r="E688" s="959" t="s">
        <v>254</v>
      </c>
      <c r="F688" s="558" t="s">
        <v>1444</v>
      </c>
      <c r="G688" s="558">
        <v>998</v>
      </c>
      <c r="H688" s="558" t="s">
        <v>303</v>
      </c>
      <c r="I688" s="559" t="s">
        <v>499</v>
      </c>
      <c r="J688" s="567" t="s">
        <v>1445</v>
      </c>
      <c r="K688" s="961" t="s">
        <v>1373</v>
      </c>
      <c r="L688" s="555" t="str">
        <f t="shared" ca="1" si="100"/>
        <v/>
      </c>
      <c r="M688" s="494" t="s">
        <v>1446</v>
      </c>
      <c r="N688" s="555" t="str">
        <f t="shared" ca="1" si="101"/>
        <v/>
      </c>
      <c r="O688" s="494" t="s">
        <v>1447</v>
      </c>
      <c r="P688" s="555" t="str">
        <f t="shared" ca="1" si="102"/>
        <v/>
      </c>
      <c r="Q688" s="494" t="s">
        <v>1448</v>
      </c>
      <c r="R688" s="494" t="str">
        <f t="shared" si="108"/>
        <v>H688</v>
      </c>
      <c r="S688" s="494" t="s">
        <v>1449</v>
      </c>
      <c r="T688" s="494">
        <v>10</v>
      </c>
      <c r="U688" s="556" t="str">
        <f t="shared" ca="1" si="109"/>
        <v/>
      </c>
      <c r="V688" s="494">
        <v>11</v>
      </c>
      <c r="W688" s="556" t="str">
        <f t="shared" ca="1" si="110"/>
        <v/>
      </c>
      <c r="X688" s="494" t="s">
        <v>1450</v>
      </c>
      <c r="Y688" s="547" t="str">
        <f t="shared" ca="1" si="103"/>
        <v/>
      </c>
      <c r="Z688" s="494" t="s">
        <v>1451</v>
      </c>
      <c r="AA688" s="547" t="str">
        <f t="shared" ca="1" si="104"/>
        <v/>
      </c>
      <c r="AB688" s="494" t="s">
        <v>1452</v>
      </c>
      <c r="AC688" s="547" t="str">
        <f t="shared" ca="1" si="105"/>
        <v/>
      </c>
      <c r="AD688" s="557"/>
      <c r="AE688" s="958"/>
    </row>
    <row r="689" spans="1:31" ht="15" customHeight="1">
      <c r="A689" s="957">
        <v>104</v>
      </c>
      <c r="B689" s="566" t="s">
        <v>493</v>
      </c>
      <c r="C689" s="567" t="s">
        <v>1443</v>
      </c>
      <c r="D689" s="958">
        <v>1.3</v>
      </c>
      <c r="E689" s="959" t="s">
        <v>306</v>
      </c>
      <c r="F689" s="558" t="s">
        <v>1454</v>
      </c>
      <c r="G689" s="558">
        <v>1003</v>
      </c>
      <c r="H689" s="558">
        <v>9.1</v>
      </c>
      <c r="I689" s="559" t="s">
        <v>309</v>
      </c>
      <c r="J689" s="567" t="s">
        <v>1445</v>
      </c>
      <c r="K689" s="961" t="s">
        <v>1373</v>
      </c>
      <c r="L689" s="555" t="str">
        <f t="shared" ca="1" si="100"/>
        <v/>
      </c>
      <c r="M689" s="494" t="s">
        <v>1446</v>
      </c>
      <c r="N689" s="555" t="str">
        <f t="shared" ca="1" si="101"/>
        <v/>
      </c>
      <c r="O689" s="494" t="s">
        <v>1447</v>
      </c>
      <c r="P689" s="555" t="str">
        <f t="shared" ca="1" si="102"/>
        <v/>
      </c>
      <c r="Q689" s="494" t="s">
        <v>1448</v>
      </c>
      <c r="R689" s="494" t="str">
        <f t="shared" si="108"/>
        <v>H689</v>
      </c>
      <c r="S689" s="494" t="s">
        <v>1449</v>
      </c>
      <c r="T689" s="494">
        <v>10</v>
      </c>
      <c r="U689" s="556" t="str">
        <f t="shared" ca="1" si="109"/>
        <v/>
      </c>
      <c r="V689" s="494">
        <v>11</v>
      </c>
      <c r="W689" s="556" t="str">
        <f t="shared" ca="1" si="110"/>
        <v/>
      </c>
      <c r="X689" s="494" t="s">
        <v>1450</v>
      </c>
      <c r="Y689" s="547" t="str">
        <f t="shared" ca="1" si="103"/>
        <v/>
      </c>
      <c r="Z689" s="494" t="s">
        <v>1451</v>
      </c>
      <c r="AA689" s="547" t="str">
        <f t="shared" ca="1" si="104"/>
        <v/>
      </c>
      <c r="AB689" s="494" t="s">
        <v>1452</v>
      </c>
      <c r="AC689" s="547" t="str">
        <f t="shared" ca="1" si="105"/>
        <v/>
      </c>
      <c r="AD689" s="557"/>
      <c r="AE689" s="958"/>
    </row>
    <row r="690" spans="1:31" ht="15" customHeight="1">
      <c r="A690" s="957">
        <v>104</v>
      </c>
      <c r="B690" s="566" t="s">
        <v>493</v>
      </c>
      <c r="C690" s="567" t="s">
        <v>1443</v>
      </c>
      <c r="D690" s="958">
        <v>1.3</v>
      </c>
      <c r="E690" s="959" t="s">
        <v>306</v>
      </c>
      <c r="F690" s="558" t="s">
        <v>1454</v>
      </c>
      <c r="G690" s="558">
        <v>1007</v>
      </c>
      <c r="H690" s="558">
        <v>9.1999999999999993</v>
      </c>
      <c r="I690" s="559" t="s">
        <v>310</v>
      </c>
      <c r="J690" s="567" t="s">
        <v>1445</v>
      </c>
      <c r="K690" s="961" t="s">
        <v>1373</v>
      </c>
      <c r="L690" s="555" t="str">
        <f t="shared" ca="1" si="100"/>
        <v/>
      </c>
      <c r="M690" s="494" t="s">
        <v>1446</v>
      </c>
      <c r="N690" s="555" t="str">
        <f t="shared" ca="1" si="101"/>
        <v/>
      </c>
      <c r="O690" s="494" t="s">
        <v>1447</v>
      </c>
      <c r="P690" s="555" t="str">
        <f t="shared" ca="1" si="102"/>
        <v/>
      </c>
      <c r="Q690" s="494" t="s">
        <v>1448</v>
      </c>
      <c r="R690" s="494" t="str">
        <f t="shared" si="108"/>
        <v>H690</v>
      </c>
      <c r="S690" s="494" t="s">
        <v>1449</v>
      </c>
      <c r="T690" s="494">
        <v>10</v>
      </c>
      <c r="U690" s="556" t="str">
        <f t="shared" ca="1" si="109"/>
        <v/>
      </c>
      <c r="V690" s="494">
        <v>11</v>
      </c>
      <c r="W690" s="556" t="str">
        <f t="shared" ca="1" si="110"/>
        <v/>
      </c>
      <c r="X690" s="494" t="s">
        <v>1450</v>
      </c>
      <c r="Y690" s="547" t="str">
        <f t="shared" ca="1" si="103"/>
        <v/>
      </c>
      <c r="Z690" s="494" t="s">
        <v>1451</v>
      </c>
      <c r="AA690" s="547" t="str">
        <f t="shared" ca="1" si="104"/>
        <v/>
      </c>
      <c r="AB690" s="494" t="s">
        <v>1452</v>
      </c>
      <c r="AC690" s="547" t="str">
        <f t="shared" ca="1" si="105"/>
        <v/>
      </c>
      <c r="AD690" s="557"/>
      <c r="AE690" s="958"/>
    </row>
    <row r="691" spans="1:31" ht="15" customHeight="1">
      <c r="A691" s="957">
        <v>104</v>
      </c>
      <c r="B691" s="566" t="s">
        <v>493</v>
      </c>
      <c r="C691" s="567" t="s">
        <v>1443</v>
      </c>
      <c r="D691" s="958">
        <v>1.3</v>
      </c>
      <c r="E691" s="959" t="s">
        <v>306</v>
      </c>
      <c r="F691" s="558" t="s">
        <v>1454</v>
      </c>
      <c r="G691" s="558">
        <v>1011</v>
      </c>
      <c r="H691" s="558">
        <v>9.3000000000000007</v>
      </c>
      <c r="I691" s="559" t="s">
        <v>311</v>
      </c>
      <c r="J691" s="567" t="s">
        <v>1445</v>
      </c>
      <c r="K691" s="961" t="s">
        <v>1373</v>
      </c>
      <c r="L691" s="555" t="str">
        <f t="shared" ca="1" si="100"/>
        <v/>
      </c>
      <c r="M691" s="494" t="s">
        <v>1446</v>
      </c>
      <c r="N691" s="555" t="str">
        <f t="shared" ca="1" si="101"/>
        <v/>
      </c>
      <c r="O691" s="494" t="s">
        <v>1447</v>
      </c>
      <c r="P691" s="555" t="str">
        <f t="shared" ca="1" si="102"/>
        <v/>
      </c>
      <c r="Q691" s="494" t="s">
        <v>1448</v>
      </c>
      <c r="R691" s="494" t="str">
        <f t="shared" si="108"/>
        <v>H691</v>
      </c>
      <c r="S691" s="494" t="s">
        <v>1449</v>
      </c>
      <c r="T691" s="494">
        <v>10</v>
      </c>
      <c r="U691" s="556" t="str">
        <f t="shared" ca="1" si="109"/>
        <v/>
      </c>
      <c r="V691" s="494">
        <v>11</v>
      </c>
      <c r="W691" s="556" t="str">
        <f t="shared" ca="1" si="110"/>
        <v/>
      </c>
      <c r="X691" s="494" t="s">
        <v>1450</v>
      </c>
      <c r="Y691" s="547" t="str">
        <f t="shared" ca="1" si="103"/>
        <v/>
      </c>
      <c r="Z691" s="494" t="s">
        <v>1451</v>
      </c>
      <c r="AA691" s="547" t="str">
        <f t="shared" ca="1" si="104"/>
        <v/>
      </c>
      <c r="AB691" s="494" t="s">
        <v>1452</v>
      </c>
      <c r="AC691" s="547" t="str">
        <f t="shared" ca="1" si="105"/>
        <v/>
      </c>
      <c r="AD691" s="557"/>
      <c r="AE691" s="958"/>
    </row>
    <row r="692" spans="1:31" ht="15" customHeight="1">
      <c r="A692" s="957">
        <v>104</v>
      </c>
      <c r="B692" s="566" t="s">
        <v>493</v>
      </c>
      <c r="C692" s="567" t="s">
        <v>1443</v>
      </c>
      <c r="D692" s="958">
        <v>1.3</v>
      </c>
      <c r="E692" s="959" t="s">
        <v>306</v>
      </c>
      <c r="F692" s="558" t="s">
        <v>1454</v>
      </c>
      <c r="G692" s="558">
        <v>1015</v>
      </c>
      <c r="H692" s="558">
        <v>10.1</v>
      </c>
      <c r="I692" s="559" t="s">
        <v>314</v>
      </c>
      <c r="J692" s="567" t="s">
        <v>1445</v>
      </c>
      <c r="K692" s="961" t="s">
        <v>1373</v>
      </c>
      <c r="L692" s="555" t="str">
        <f t="shared" ca="1" si="100"/>
        <v/>
      </c>
      <c r="M692" s="494" t="s">
        <v>1446</v>
      </c>
      <c r="N692" s="555" t="str">
        <f t="shared" ca="1" si="101"/>
        <v/>
      </c>
      <c r="O692" s="494" t="s">
        <v>1447</v>
      </c>
      <c r="P692" s="555" t="str">
        <f t="shared" ca="1" si="102"/>
        <v/>
      </c>
      <c r="Q692" s="494" t="s">
        <v>1448</v>
      </c>
      <c r="R692" s="494" t="str">
        <f t="shared" si="108"/>
        <v>H692</v>
      </c>
      <c r="S692" s="494" t="s">
        <v>1449</v>
      </c>
      <c r="T692" s="494">
        <v>10</v>
      </c>
      <c r="U692" s="556" t="str">
        <f t="shared" ca="1" si="109"/>
        <v/>
      </c>
      <c r="V692" s="494">
        <v>11</v>
      </c>
      <c r="W692" s="556" t="str">
        <f t="shared" ca="1" si="110"/>
        <v/>
      </c>
      <c r="X692" s="494" t="s">
        <v>1450</v>
      </c>
      <c r="Y692" s="547" t="str">
        <f t="shared" ca="1" si="103"/>
        <v/>
      </c>
      <c r="Z692" s="494" t="s">
        <v>1451</v>
      </c>
      <c r="AA692" s="547" t="str">
        <f t="shared" ca="1" si="104"/>
        <v/>
      </c>
      <c r="AB692" s="494" t="s">
        <v>1452</v>
      </c>
      <c r="AC692" s="547" t="str">
        <f t="shared" ca="1" si="105"/>
        <v/>
      </c>
      <c r="AD692" s="557"/>
      <c r="AE692" s="958"/>
    </row>
    <row r="693" spans="1:31" ht="15" customHeight="1">
      <c r="A693" s="957">
        <v>104</v>
      </c>
      <c r="B693" s="566" t="s">
        <v>493</v>
      </c>
      <c r="C693" s="567" t="s">
        <v>1443</v>
      </c>
      <c r="D693" s="958">
        <v>1.3</v>
      </c>
      <c r="E693" s="959" t="s">
        <v>306</v>
      </c>
      <c r="F693" s="558" t="s">
        <v>1454</v>
      </c>
      <c r="G693" s="558">
        <v>1016</v>
      </c>
      <c r="H693" s="558">
        <v>10.199999999999999</v>
      </c>
      <c r="I693" s="559" t="s">
        <v>315</v>
      </c>
      <c r="J693" s="567" t="s">
        <v>1445</v>
      </c>
      <c r="K693" s="961" t="s">
        <v>1373</v>
      </c>
      <c r="L693" s="555" t="str">
        <f t="shared" ca="1" si="100"/>
        <v/>
      </c>
      <c r="M693" s="494" t="s">
        <v>1446</v>
      </c>
      <c r="N693" s="555" t="str">
        <f t="shared" ca="1" si="101"/>
        <v/>
      </c>
      <c r="O693" s="494" t="s">
        <v>1447</v>
      </c>
      <c r="P693" s="555" t="str">
        <f t="shared" ca="1" si="102"/>
        <v/>
      </c>
      <c r="Q693" s="494" t="s">
        <v>1448</v>
      </c>
      <c r="R693" s="494" t="str">
        <f t="shared" si="108"/>
        <v>H693</v>
      </c>
      <c r="S693" s="494" t="s">
        <v>1449</v>
      </c>
      <c r="T693" s="494">
        <v>10</v>
      </c>
      <c r="U693" s="556" t="str">
        <f t="shared" ca="1" si="109"/>
        <v/>
      </c>
      <c r="V693" s="494">
        <v>11</v>
      </c>
      <c r="W693" s="556" t="str">
        <f t="shared" ca="1" si="110"/>
        <v/>
      </c>
      <c r="X693" s="494" t="s">
        <v>1450</v>
      </c>
      <c r="Y693" s="547" t="str">
        <f t="shared" ca="1" si="103"/>
        <v/>
      </c>
      <c r="Z693" s="494" t="s">
        <v>1451</v>
      </c>
      <c r="AA693" s="547" t="str">
        <f t="shared" ca="1" si="104"/>
        <v/>
      </c>
      <c r="AB693" s="494" t="s">
        <v>1452</v>
      </c>
      <c r="AC693" s="547" t="str">
        <f t="shared" ca="1" si="105"/>
        <v/>
      </c>
      <c r="AD693" s="557"/>
      <c r="AE693" s="958"/>
    </row>
    <row r="694" spans="1:31" ht="15" customHeight="1">
      <c r="A694" s="957">
        <v>104</v>
      </c>
      <c r="B694" s="566" t="s">
        <v>493</v>
      </c>
      <c r="C694" s="567" t="s">
        <v>1443</v>
      </c>
      <c r="D694" s="958">
        <v>1.3</v>
      </c>
      <c r="E694" s="959" t="s">
        <v>306</v>
      </c>
      <c r="F694" s="558" t="s">
        <v>1454</v>
      </c>
      <c r="G694" s="558">
        <v>1017</v>
      </c>
      <c r="H694" s="558">
        <v>10.3</v>
      </c>
      <c r="I694" s="559" t="s">
        <v>316</v>
      </c>
      <c r="J694" s="567" t="s">
        <v>1445</v>
      </c>
      <c r="K694" s="961" t="s">
        <v>1373</v>
      </c>
      <c r="L694" s="555" t="str">
        <f t="shared" ca="1" si="100"/>
        <v/>
      </c>
      <c r="M694" s="494" t="s">
        <v>1446</v>
      </c>
      <c r="N694" s="555" t="str">
        <f t="shared" ca="1" si="101"/>
        <v/>
      </c>
      <c r="O694" s="494" t="s">
        <v>1447</v>
      </c>
      <c r="P694" s="555" t="str">
        <f t="shared" ca="1" si="102"/>
        <v/>
      </c>
      <c r="Q694" s="494" t="s">
        <v>1448</v>
      </c>
      <c r="R694" s="494" t="str">
        <f t="shared" si="108"/>
        <v>H694</v>
      </c>
      <c r="S694" s="494" t="s">
        <v>1449</v>
      </c>
      <c r="T694" s="494">
        <v>10</v>
      </c>
      <c r="U694" s="556" t="str">
        <f t="shared" ca="1" si="109"/>
        <v/>
      </c>
      <c r="V694" s="494">
        <v>11</v>
      </c>
      <c r="W694" s="556" t="str">
        <f t="shared" ca="1" si="110"/>
        <v/>
      </c>
      <c r="X694" s="494" t="s">
        <v>1450</v>
      </c>
      <c r="Y694" s="547" t="str">
        <f t="shared" ca="1" si="103"/>
        <v/>
      </c>
      <c r="Z694" s="494" t="s">
        <v>1451</v>
      </c>
      <c r="AA694" s="547" t="str">
        <f t="shared" ca="1" si="104"/>
        <v/>
      </c>
      <c r="AB694" s="494" t="s">
        <v>1452</v>
      </c>
      <c r="AC694" s="547" t="str">
        <f t="shared" ca="1" si="105"/>
        <v/>
      </c>
      <c r="AD694" s="557"/>
      <c r="AE694" s="958"/>
    </row>
    <row r="695" spans="1:31" ht="15" customHeight="1">
      <c r="A695" s="957">
        <v>104</v>
      </c>
      <c r="B695" s="566" t="s">
        <v>493</v>
      </c>
      <c r="C695" s="567" t="s">
        <v>1443</v>
      </c>
      <c r="D695" s="958">
        <v>1.3</v>
      </c>
      <c r="E695" s="959" t="s">
        <v>306</v>
      </c>
      <c r="F695" s="558" t="s">
        <v>1454</v>
      </c>
      <c r="G695" s="558">
        <v>1022</v>
      </c>
      <c r="H695" s="558">
        <v>11</v>
      </c>
      <c r="I695" s="559" t="s">
        <v>319</v>
      </c>
      <c r="J695" s="567" t="s">
        <v>1445</v>
      </c>
      <c r="K695" s="961" t="s">
        <v>1373</v>
      </c>
      <c r="L695" s="555" t="str">
        <f t="shared" ca="1" si="100"/>
        <v/>
      </c>
      <c r="M695" s="494" t="s">
        <v>1446</v>
      </c>
      <c r="N695" s="555" t="str">
        <f t="shared" ca="1" si="101"/>
        <v/>
      </c>
      <c r="O695" s="494" t="s">
        <v>1447</v>
      </c>
      <c r="P695" s="555" t="str">
        <f t="shared" ca="1" si="102"/>
        <v/>
      </c>
      <c r="Q695" s="494" t="s">
        <v>1448</v>
      </c>
      <c r="R695" s="494" t="str">
        <f t="shared" si="108"/>
        <v>H695</v>
      </c>
      <c r="S695" s="494" t="s">
        <v>1449</v>
      </c>
      <c r="T695" s="494">
        <v>10</v>
      </c>
      <c r="U695" s="556" t="str">
        <f t="shared" ca="1" si="109"/>
        <v/>
      </c>
      <c r="V695" s="494">
        <v>11</v>
      </c>
      <c r="W695" s="556" t="str">
        <f t="shared" ca="1" si="110"/>
        <v/>
      </c>
      <c r="X695" s="494" t="s">
        <v>1450</v>
      </c>
      <c r="Y695" s="547" t="str">
        <f t="shared" ca="1" si="103"/>
        <v/>
      </c>
      <c r="Z695" s="494" t="s">
        <v>1451</v>
      </c>
      <c r="AA695" s="547" t="str">
        <f t="shared" ca="1" si="104"/>
        <v/>
      </c>
      <c r="AB695" s="494" t="s">
        <v>1452</v>
      </c>
      <c r="AC695" s="547" t="str">
        <f t="shared" ca="1" si="105"/>
        <v/>
      </c>
      <c r="AD695" s="557"/>
      <c r="AE695" s="958"/>
    </row>
    <row r="696" spans="1:31" ht="15" customHeight="1">
      <c r="A696" s="957">
        <v>104</v>
      </c>
      <c r="B696" s="566" t="s">
        <v>493</v>
      </c>
      <c r="C696" s="567" t="s">
        <v>1443</v>
      </c>
      <c r="D696" s="958">
        <v>1.3</v>
      </c>
      <c r="E696" s="959" t="s">
        <v>306</v>
      </c>
      <c r="F696" s="558" t="s">
        <v>1454</v>
      </c>
      <c r="G696" s="558">
        <v>1025</v>
      </c>
      <c r="H696" s="558">
        <v>11.1</v>
      </c>
      <c r="I696" s="559" t="s">
        <v>320</v>
      </c>
      <c r="J696" s="567" t="s">
        <v>1445</v>
      </c>
      <c r="K696" s="961" t="s">
        <v>1373</v>
      </c>
      <c r="L696" s="555" t="str">
        <f t="shared" ca="1" si="100"/>
        <v/>
      </c>
      <c r="M696" s="494" t="s">
        <v>1446</v>
      </c>
      <c r="N696" s="555" t="str">
        <f t="shared" ca="1" si="101"/>
        <v/>
      </c>
      <c r="O696" s="494" t="s">
        <v>1447</v>
      </c>
      <c r="P696" s="555" t="str">
        <f t="shared" ca="1" si="102"/>
        <v/>
      </c>
      <c r="Q696" s="494" t="s">
        <v>1448</v>
      </c>
      <c r="R696" s="494" t="str">
        <f t="shared" si="108"/>
        <v>H696</v>
      </c>
      <c r="S696" s="494" t="s">
        <v>1449</v>
      </c>
      <c r="T696" s="494">
        <v>10</v>
      </c>
      <c r="U696" s="556" t="str">
        <f t="shared" ca="1" si="109"/>
        <v/>
      </c>
      <c r="V696" s="494">
        <v>11</v>
      </c>
      <c r="W696" s="556" t="str">
        <f t="shared" ca="1" si="110"/>
        <v/>
      </c>
      <c r="X696" s="494" t="s">
        <v>1450</v>
      </c>
      <c r="Y696" s="547" t="str">
        <f t="shared" ca="1" si="103"/>
        <v/>
      </c>
      <c r="Z696" s="494" t="s">
        <v>1451</v>
      </c>
      <c r="AA696" s="547" t="str">
        <f t="shared" ca="1" si="104"/>
        <v/>
      </c>
      <c r="AB696" s="494" t="s">
        <v>1452</v>
      </c>
      <c r="AC696" s="547" t="str">
        <f t="shared" ca="1" si="105"/>
        <v/>
      </c>
      <c r="AD696" s="557"/>
      <c r="AE696" s="958"/>
    </row>
    <row r="697" spans="1:31" ht="15" customHeight="1">
      <c r="A697" s="957">
        <v>104</v>
      </c>
      <c r="B697" s="566" t="s">
        <v>493</v>
      </c>
      <c r="C697" s="567" t="s">
        <v>1443</v>
      </c>
      <c r="D697" s="958">
        <v>1.3</v>
      </c>
      <c r="E697" s="959" t="s">
        <v>306</v>
      </c>
      <c r="F697" s="558" t="s">
        <v>1454</v>
      </c>
      <c r="G697" s="558">
        <v>1033</v>
      </c>
      <c r="H697" s="558">
        <v>11.2</v>
      </c>
      <c r="I697" s="559" t="s">
        <v>321</v>
      </c>
      <c r="J697" s="567" t="s">
        <v>1445</v>
      </c>
      <c r="K697" s="961" t="s">
        <v>1373</v>
      </c>
      <c r="L697" s="555" t="str">
        <f t="shared" ca="1" si="100"/>
        <v/>
      </c>
      <c r="M697" s="494" t="s">
        <v>1446</v>
      </c>
      <c r="N697" s="555" t="str">
        <f t="shared" ca="1" si="101"/>
        <v/>
      </c>
      <c r="O697" s="494" t="s">
        <v>1447</v>
      </c>
      <c r="P697" s="555" t="str">
        <f t="shared" ca="1" si="102"/>
        <v/>
      </c>
      <c r="Q697" s="494" t="s">
        <v>1448</v>
      </c>
      <c r="R697" s="494" t="str">
        <f t="shared" si="108"/>
        <v>H697</v>
      </c>
      <c r="S697" s="494" t="s">
        <v>1449</v>
      </c>
      <c r="T697" s="494">
        <v>10</v>
      </c>
      <c r="U697" s="556" t="str">
        <f t="shared" ca="1" si="109"/>
        <v/>
      </c>
      <c r="V697" s="494">
        <v>11</v>
      </c>
      <c r="W697" s="556" t="str">
        <f t="shared" ca="1" si="110"/>
        <v/>
      </c>
      <c r="X697" s="494" t="s">
        <v>1450</v>
      </c>
      <c r="Y697" s="547" t="str">
        <f t="shared" ca="1" si="103"/>
        <v/>
      </c>
      <c r="Z697" s="494" t="s">
        <v>1451</v>
      </c>
      <c r="AA697" s="547" t="str">
        <f t="shared" ca="1" si="104"/>
        <v/>
      </c>
      <c r="AB697" s="494" t="s">
        <v>1452</v>
      </c>
      <c r="AC697" s="547" t="str">
        <f t="shared" ca="1" si="105"/>
        <v/>
      </c>
      <c r="AD697" s="557"/>
      <c r="AE697" s="958"/>
    </row>
    <row r="698" spans="1:31" ht="15" customHeight="1">
      <c r="A698" s="957">
        <v>104</v>
      </c>
      <c r="B698" s="566" t="s">
        <v>493</v>
      </c>
      <c r="C698" s="567" t="s">
        <v>1443</v>
      </c>
      <c r="D698" s="958">
        <v>1.3</v>
      </c>
      <c r="E698" s="959" t="s">
        <v>306</v>
      </c>
      <c r="F698" s="558" t="s">
        <v>1454</v>
      </c>
      <c r="G698" s="558">
        <v>1037</v>
      </c>
      <c r="H698" s="558">
        <v>11.3</v>
      </c>
      <c r="I698" s="559" t="s">
        <v>322</v>
      </c>
      <c r="J698" s="567" t="s">
        <v>1445</v>
      </c>
      <c r="K698" s="961" t="s">
        <v>1373</v>
      </c>
      <c r="L698" s="555" t="str">
        <f t="shared" ca="1" si="100"/>
        <v/>
      </c>
      <c r="M698" s="494" t="s">
        <v>1446</v>
      </c>
      <c r="N698" s="555" t="str">
        <f t="shared" ca="1" si="101"/>
        <v/>
      </c>
      <c r="O698" s="494" t="s">
        <v>1447</v>
      </c>
      <c r="P698" s="555" t="str">
        <f t="shared" ca="1" si="102"/>
        <v/>
      </c>
      <c r="Q698" s="494" t="s">
        <v>1448</v>
      </c>
      <c r="R698" s="494" t="str">
        <f t="shared" si="108"/>
        <v>H698</v>
      </c>
      <c r="S698" s="494" t="s">
        <v>1449</v>
      </c>
      <c r="T698" s="494">
        <v>10</v>
      </c>
      <c r="U698" s="556" t="str">
        <f t="shared" ca="1" si="109"/>
        <v/>
      </c>
      <c r="V698" s="494">
        <v>11</v>
      </c>
      <c r="W698" s="556" t="str">
        <f t="shared" ca="1" si="110"/>
        <v/>
      </c>
      <c r="X698" s="494" t="s">
        <v>1450</v>
      </c>
      <c r="Y698" s="547" t="str">
        <f t="shared" ca="1" si="103"/>
        <v/>
      </c>
      <c r="Z698" s="494" t="s">
        <v>1451</v>
      </c>
      <c r="AA698" s="547" t="str">
        <f t="shared" ca="1" si="104"/>
        <v/>
      </c>
      <c r="AB698" s="494" t="s">
        <v>1452</v>
      </c>
      <c r="AC698" s="547" t="str">
        <f t="shared" ca="1" si="105"/>
        <v/>
      </c>
      <c r="AD698" s="557"/>
      <c r="AE698" s="958"/>
    </row>
    <row r="699" spans="1:31" ht="15" customHeight="1">
      <c r="A699" s="957">
        <v>104</v>
      </c>
      <c r="B699" s="566" t="s">
        <v>493</v>
      </c>
      <c r="C699" s="567" t="s">
        <v>1443</v>
      </c>
      <c r="D699" s="958">
        <v>1.3</v>
      </c>
      <c r="E699" s="959" t="s">
        <v>306</v>
      </c>
      <c r="F699" s="558" t="s">
        <v>1454</v>
      </c>
      <c r="G699" s="558">
        <v>1039</v>
      </c>
      <c r="H699" s="558">
        <v>12</v>
      </c>
      <c r="I699" s="559" t="s">
        <v>325</v>
      </c>
      <c r="J699" s="567" t="s">
        <v>1445</v>
      </c>
      <c r="K699" s="961" t="s">
        <v>1373</v>
      </c>
      <c r="L699" s="555" t="str">
        <f t="shared" ca="1" si="100"/>
        <v/>
      </c>
      <c r="M699" s="494" t="s">
        <v>1446</v>
      </c>
      <c r="N699" s="555" t="str">
        <f t="shared" ca="1" si="101"/>
        <v/>
      </c>
      <c r="O699" s="494" t="s">
        <v>1447</v>
      </c>
      <c r="P699" s="555" t="str">
        <f t="shared" ca="1" si="102"/>
        <v/>
      </c>
      <c r="Q699" s="494" t="s">
        <v>1448</v>
      </c>
      <c r="R699" s="494" t="str">
        <f t="shared" si="108"/>
        <v>H699</v>
      </c>
      <c r="S699" s="494" t="s">
        <v>1449</v>
      </c>
      <c r="T699" s="494">
        <v>10</v>
      </c>
      <c r="U699" s="556" t="str">
        <f t="shared" ca="1" si="109"/>
        <v/>
      </c>
      <c r="V699" s="494">
        <v>11</v>
      </c>
      <c r="W699" s="556" t="str">
        <f t="shared" ca="1" si="110"/>
        <v/>
      </c>
      <c r="X699" s="494" t="s">
        <v>1450</v>
      </c>
      <c r="Y699" s="547" t="str">
        <f t="shared" ca="1" si="103"/>
        <v/>
      </c>
      <c r="Z699" s="494" t="s">
        <v>1451</v>
      </c>
      <c r="AA699" s="547" t="str">
        <f t="shared" ca="1" si="104"/>
        <v/>
      </c>
      <c r="AB699" s="494" t="s">
        <v>1452</v>
      </c>
      <c r="AC699" s="547" t="str">
        <f t="shared" ca="1" si="105"/>
        <v/>
      </c>
      <c r="AD699" s="557"/>
      <c r="AE699" s="958"/>
    </row>
    <row r="700" spans="1:31" ht="15" customHeight="1">
      <c r="A700" s="957">
        <v>104</v>
      </c>
      <c r="B700" s="566" t="s">
        <v>493</v>
      </c>
      <c r="C700" s="567" t="s">
        <v>1443</v>
      </c>
      <c r="D700" s="958">
        <v>1.3</v>
      </c>
      <c r="E700" s="959" t="s">
        <v>306</v>
      </c>
      <c r="F700" s="558" t="s">
        <v>1454</v>
      </c>
      <c r="G700" s="558">
        <v>1043</v>
      </c>
      <c r="H700" s="558">
        <v>12.1</v>
      </c>
      <c r="I700" s="559" t="s">
        <v>326</v>
      </c>
      <c r="J700" s="567" t="s">
        <v>1445</v>
      </c>
      <c r="K700" s="961" t="s">
        <v>1373</v>
      </c>
      <c r="L700" s="555" t="str">
        <f t="shared" ca="1" si="100"/>
        <v/>
      </c>
      <c r="M700" s="494" t="s">
        <v>1446</v>
      </c>
      <c r="N700" s="555" t="str">
        <f t="shared" ca="1" si="101"/>
        <v/>
      </c>
      <c r="O700" s="494" t="s">
        <v>1447</v>
      </c>
      <c r="P700" s="555" t="str">
        <f t="shared" ca="1" si="102"/>
        <v/>
      </c>
      <c r="Q700" s="494" t="s">
        <v>1448</v>
      </c>
      <c r="R700" s="494" t="str">
        <f t="shared" si="108"/>
        <v>H700</v>
      </c>
      <c r="S700" s="494" t="s">
        <v>1449</v>
      </c>
      <c r="T700" s="494">
        <v>10</v>
      </c>
      <c r="U700" s="556" t="str">
        <f t="shared" ca="1" si="109"/>
        <v/>
      </c>
      <c r="V700" s="494">
        <v>11</v>
      </c>
      <c r="W700" s="556" t="str">
        <f t="shared" ca="1" si="110"/>
        <v/>
      </c>
      <c r="X700" s="494" t="s">
        <v>1450</v>
      </c>
      <c r="Y700" s="547" t="str">
        <f t="shared" ca="1" si="103"/>
        <v/>
      </c>
      <c r="Z700" s="494" t="s">
        <v>1451</v>
      </c>
      <c r="AA700" s="547" t="str">
        <f t="shared" ca="1" si="104"/>
        <v/>
      </c>
      <c r="AB700" s="494" t="s">
        <v>1452</v>
      </c>
      <c r="AC700" s="547" t="str">
        <f t="shared" ca="1" si="105"/>
        <v/>
      </c>
      <c r="AD700" s="557"/>
      <c r="AE700" s="958"/>
    </row>
    <row r="701" spans="1:31" ht="15" customHeight="1">
      <c r="A701" s="957">
        <v>104</v>
      </c>
      <c r="B701" s="566" t="s">
        <v>493</v>
      </c>
      <c r="C701" s="567" t="s">
        <v>1443</v>
      </c>
      <c r="D701" s="958">
        <v>1.3</v>
      </c>
      <c r="E701" s="959" t="s">
        <v>306</v>
      </c>
      <c r="F701" s="558" t="s">
        <v>1454</v>
      </c>
      <c r="G701" s="558">
        <v>1047</v>
      </c>
      <c r="H701" s="558">
        <v>12.2</v>
      </c>
      <c r="I701" s="559" t="s">
        <v>327</v>
      </c>
      <c r="J701" s="567" t="s">
        <v>1445</v>
      </c>
      <c r="K701" s="961" t="s">
        <v>1373</v>
      </c>
      <c r="L701" s="555" t="str">
        <f t="shared" ca="1" si="100"/>
        <v/>
      </c>
      <c r="M701" s="494" t="s">
        <v>1446</v>
      </c>
      <c r="N701" s="555" t="str">
        <f t="shared" ca="1" si="101"/>
        <v/>
      </c>
      <c r="O701" s="494" t="s">
        <v>1447</v>
      </c>
      <c r="P701" s="555" t="str">
        <f t="shared" ca="1" si="102"/>
        <v/>
      </c>
      <c r="Q701" s="494" t="s">
        <v>1448</v>
      </c>
      <c r="R701" s="494" t="str">
        <f t="shared" si="108"/>
        <v>H701</v>
      </c>
      <c r="S701" s="494" t="s">
        <v>1449</v>
      </c>
      <c r="T701" s="494">
        <v>10</v>
      </c>
      <c r="U701" s="556" t="str">
        <f t="shared" ca="1" si="109"/>
        <v/>
      </c>
      <c r="V701" s="494">
        <v>11</v>
      </c>
      <c r="W701" s="556" t="str">
        <f t="shared" ca="1" si="110"/>
        <v/>
      </c>
      <c r="X701" s="494" t="s">
        <v>1450</v>
      </c>
      <c r="Y701" s="547" t="str">
        <f t="shared" ca="1" si="103"/>
        <v/>
      </c>
      <c r="Z701" s="494" t="s">
        <v>1451</v>
      </c>
      <c r="AA701" s="547" t="str">
        <f t="shared" ca="1" si="104"/>
        <v/>
      </c>
      <c r="AB701" s="494" t="s">
        <v>1452</v>
      </c>
      <c r="AC701" s="547" t="str">
        <f t="shared" ca="1" si="105"/>
        <v/>
      </c>
      <c r="AD701" s="557"/>
      <c r="AE701" s="958"/>
    </row>
    <row r="702" spans="1:31" ht="15" customHeight="1">
      <c r="A702" s="957">
        <v>104</v>
      </c>
      <c r="B702" s="566" t="s">
        <v>493</v>
      </c>
      <c r="C702" s="567" t="s">
        <v>1443</v>
      </c>
      <c r="D702" s="958">
        <v>1.3</v>
      </c>
      <c r="E702" s="959" t="s">
        <v>306</v>
      </c>
      <c r="F702" s="558" t="s">
        <v>1454</v>
      </c>
      <c r="G702" s="558">
        <v>1049</v>
      </c>
      <c r="H702" s="558">
        <v>13.1</v>
      </c>
      <c r="I702" s="559" t="s">
        <v>330</v>
      </c>
      <c r="J702" s="567" t="s">
        <v>1445</v>
      </c>
      <c r="K702" s="961" t="s">
        <v>1373</v>
      </c>
      <c r="L702" s="555" t="str">
        <f t="shared" ca="1" si="100"/>
        <v/>
      </c>
      <c r="M702" s="494" t="s">
        <v>1446</v>
      </c>
      <c r="N702" s="555" t="str">
        <f t="shared" ca="1" si="101"/>
        <v/>
      </c>
      <c r="O702" s="494" t="s">
        <v>1447</v>
      </c>
      <c r="P702" s="555" t="str">
        <f t="shared" ca="1" si="102"/>
        <v/>
      </c>
      <c r="Q702" s="494" t="s">
        <v>1448</v>
      </c>
      <c r="R702" s="494" t="str">
        <f t="shared" si="108"/>
        <v>H702</v>
      </c>
      <c r="S702" s="494" t="s">
        <v>1449</v>
      </c>
      <c r="T702" s="494">
        <v>10</v>
      </c>
      <c r="U702" s="556" t="str">
        <f t="shared" ca="1" si="109"/>
        <v/>
      </c>
      <c r="V702" s="494">
        <v>11</v>
      </c>
      <c r="W702" s="556" t="str">
        <f t="shared" ca="1" si="110"/>
        <v/>
      </c>
      <c r="X702" s="494" t="s">
        <v>1450</v>
      </c>
      <c r="Y702" s="547" t="str">
        <f t="shared" ca="1" si="103"/>
        <v/>
      </c>
      <c r="Z702" s="494" t="s">
        <v>1451</v>
      </c>
      <c r="AA702" s="547" t="str">
        <f t="shared" ca="1" si="104"/>
        <v/>
      </c>
      <c r="AB702" s="494" t="s">
        <v>1452</v>
      </c>
      <c r="AC702" s="547" t="str">
        <f t="shared" ca="1" si="105"/>
        <v/>
      </c>
      <c r="AD702" s="557"/>
      <c r="AE702" s="958"/>
    </row>
    <row r="703" spans="1:31" ht="15" customHeight="1">
      <c r="A703" s="957">
        <v>104</v>
      </c>
      <c r="B703" s="566" t="s">
        <v>493</v>
      </c>
      <c r="C703" s="567" t="s">
        <v>1443</v>
      </c>
      <c r="D703" s="958">
        <v>1.3</v>
      </c>
      <c r="E703" s="959" t="s">
        <v>306</v>
      </c>
      <c r="F703" s="558" t="s">
        <v>1454</v>
      </c>
      <c r="G703" s="558">
        <v>1058</v>
      </c>
      <c r="H703" s="558">
        <v>13.2</v>
      </c>
      <c r="I703" s="559" t="s">
        <v>331</v>
      </c>
      <c r="J703" s="567" t="s">
        <v>1445</v>
      </c>
      <c r="K703" s="961" t="s">
        <v>1373</v>
      </c>
      <c r="L703" s="555" t="str">
        <f t="shared" ca="1" si="100"/>
        <v/>
      </c>
      <c r="M703" s="494" t="s">
        <v>1446</v>
      </c>
      <c r="N703" s="555" t="str">
        <f t="shared" ca="1" si="101"/>
        <v/>
      </c>
      <c r="O703" s="494" t="s">
        <v>1447</v>
      </c>
      <c r="P703" s="555" t="str">
        <f t="shared" ca="1" si="102"/>
        <v/>
      </c>
      <c r="Q703" s="494" t="s">
        <v>1448</v>
      </c>
      <c r="R703" s="494" t="str">
        <f t="shared" si="108"/>
        <v>H703</v>
      </c>
      <c r="S703" s="494" t="s">
        <v>1449</v>
      </c>
      <c r="T703" s="494">
        <v>10</v>
      </c>
      <c r="U703" s="556" t="str">
        <f t="shared" ca="1" si="109"/>
        <v/>
      </c>
      <c r="V703" s="494">
        <v>11</v>
      </c>
      <c r="W703" s="556" t="str">
        <f t="shared" ca="1" si="110"/>
        <v/>
      </c>
      <c r="X703" s="494" t="s">
        <v>1450</v>
      </c>
      <c r="Y703" s="547" t="str">
        <f t="shared" ca="1" si="103"/>
        <v/>
      </c>
      <c r="Z703" s="494" t="s">
        <v>1451</v>
      </c>
      <c r="AA703" s="547" t="str">
        <f t="shared" ca="1" si="104"/>
        <v/>
      </c>
      <c r="AB703" s="494" t="s">
        <v>1452</v>
      </c>
      <c r="AC703" s="547" t="str">
        <f t="shared" ca="1" si="105"/>
        <v/>
      </c>
      <c r="AD703" s="557"/>
      <c r="AE703" s="958"/>
    </row>
    <row r="704" spans="1:31" ht="15" customHeight="1">
      <c r="A704" s="957">
        <v>104</v>
      </c>
      <c r="B704" s="566" t="s">
        <v>493</v>
      </c>
      <c r="C704" s="567" t="s">
        <v>1443</v>
      </c>
      <c r="D704" s="958">
        <v>1.3</v>
      </c>
      <c r="E704" s="959" t="s">
        <v>306</v>
      </c>
      <c r="F704" s="558" t="s">
        <v>1454</v>
      </c>
      <c r="G704" s="558">
        <v>1062</v>
      </c>
      <c r="H704" s="558">
        <v>14.1</v>
      </c>
      <c r="I704" s="559" t="s">
        <v>332</v>
      </c>
      <c r="J704" s="567" t="s">
        <v>1445</v>
      </c>
      <c r="K704" s="961" t="s">
        <v>1373</v>
      </c>
      <c r="L704" s="555" t="str">
        <f t="shared" ca="1" si="100"/>
        <v/>
      </c>
      <c r="M704" s="494" t="s">
        <v>1446</v>
      </c>
      <c r="N704" s="555" t="str">
        <f t="shared" ca="1" si="101"/>
        <v/>
      </c>
      <c r="O704" s="494" t="s">
        <v>1447</v>
      </c>
      <c r="P704" s="555" t="str">
        <f t="shared" ca="1" si="102"/>
        <v/>
      </c>
      <c r="Q704" s="494" t="s">
        <v>1448</v>
      </c>
      <c r="R704" s="494" t="str">
        <f t="shared" si="108"/>
        <v>H704</v>
      </c>
      <c r="S704" s="494" t="s">
        <v>1449</v>
      </c>
      <c r="T704" s="494">
        <v>10</v>
      </c>
      <c r="U704" s="556" t="str">
        <f t="shared" ca="1" si="109"/>
        <v/>
      </c>
      <c r="V704" s="494">
        <v>11</v>
      </c>
      <c r="W704" s="556" t="str">
        <f t="shared" ca="1" si="110"/>
        <v/>
      </c>
      <c r="X704" s="494" t="s">
        <v>1450</v>
      </c>
      <c r="Y704" s="547" t="str">
        <f t="shared" ca="1" si="103"/>
        <v/>
      </c>
      <c r="Z704" s="494" t="s">
        <v>1451</v>
      </c>
      <c r="AA704" s="547" t="str">
        <f t="shared" ca="1" si="104"/>
        <v/>
      </c>
      <c r="AB704" s="494" t="s">
        <v>1452</v>
      </c>
      <c r="AC704" s="547" t="str">
        <f t="shared" ca="1" si="105"/>
        <v/>
      </c>
      <c r="AD704" s="557"/>
      <c r="AE704" s="958"/>
    </row>
    <row r="705" spans="1:31" ht="15" customHeight="1">
      <c r="A705" s="957">
        <v>104</v>
      </c>
      <c r="B705" s="566" t="s">
        <v>493</v>
      </c>
      <c r="C705" s="567" t="s">
        <v>1443</v>
      </c>
      <c r="D705" s="958">
        <v>1.3</v>
      </c>
      <c r="E705" s="959" t="s">
        <v>306</v>
      </c>
      <c r="F705" s="558" t="s">
        <v>1454</v>
      </c>
      <c r="G705" s="558">
        <v>1068</v>
      </c>
      <c r="H705" s="558">
        <v>14.2</v>
      </c>
      <c r="I705" s="559" t="s">
        <v>334</v>
      </c>
      <c r="J705" s="567" t="s">
        <v>1445</v>
      </c>
      <c r="K705" s="961" t="s">
        <v>1373</v>
      </c>
      <c r="L705" s="555" t="str">
        <f t="shared" ca="1" si="100"/>
        <v/>
      </c>
      <c r="M705" s="494" t="s">
        <v>1446</v>
      </c>
      <c r="N705" s="555" t="str">
        <f t="shared" ca="1" si="101"/>
        <v/>
      </c>
      <c r="O705" s="494" t="s">
        <v>1447</v>
      </c>
      <c r="P705" s="555" t="str">
        <f t="shared" ca="1" si="102"/>
        <v/>
      </c>
      <c r="Q705" s="494" t="s">
        <v>1448</v>
      </c>
      <c r="R705" s="494" t="str">
        <f t="shared" si="108"/>
        <v>H705</v>
      </c>
      <c r="S705" s="494" t="s">
        <v>1449</v>
      </c>
      <c r="T705" s="494">
        <v>10</v>
      </c>
      <c r="U705" s="556" t="str">
        <f t="shared" ca="1" si="109"/>
        <v/>
      </c>
      <c r="V705" s="494">
        <v>11</v>
      </c>
      <c r="W705" s="556" t="str">
        <f t="shared" ca="1" si="110"/>
        <v/>
      </c>
      <c r="X705" s="494" t="s">
        <v>1450</v>
      </c>
      <c r="Y705" s="547" t="str">
        <f t="shared" ca="1" si="103"/>
        <v/>
      </c>
      <c r="Z705" s="494" t="s">
        <v>1451</v>
      </c>
      <c r="AA705" s="547" t="str">
        <f t="shared" ca="1" si="104"/>
        <v/>
      </c>
      <c r="AB705" s="494" t="s">
        <v>1452</v>
      </c>
      <c r="AC705" s="547" t="str">
        <f t="shared" ca="1" si="105"/>
        <v/>
      </c>
      <c r="AD705" s="557"/>
      <c r="AE705" s="958"/>
    </row>
    <row r="706" spans="1:31" ht="15" customHeight="1">
      <c r="A706" s="957">
        <v>104</v>
      </c>
      <c r="B706" s="566" t="s">
        <v>493</v>
      </c>
      <c r="C706" s="567" t="s">
        <v>1443</v>
      </c>
      <c r="D706" s="958">
        <v>1.3</v>
      </c>
      <c r="E706" s="959" t="s">
        <v>335</v>
      </c>
      <c r="F706" s="558" t="s">
        <v>1455</v>
      </c>
      <c r="G706" s="558">
        <v>1075</v>
      </c>
      <c r="H706" s="558" t="s">
        <v>1456</v>
      </c>
      <c r="I706" s="559" t="s">
        <v>565</v>
      </c>
      <c r="J706" s="567" t="s">
        <v>1445</v>
      </c>
      <c r="K706" s="961" t="s">
        <v>1373</v>
      </c>
      <c r="L706" s="555" t="str">
        <f t="shared" ref="L706:L769" ca="1" si="111">IF(AND(INDIRECT(CONCATENATE($J706,$K706,5))=$B706,ISNUMBER(SEARCH("Please",INDIRECT(CONCATENATE($J706,$K706,2)),1))=FALSE),SUMPRODUCT(MID(0&amp;INDIRECT(CONCATENATE($J706,$K706,2)), LARGE(INDEX(ISNUMBER(--MID(INDIRECT(CONCATENATE($J706,$K706,2)), ROW(INDIRECT("1:"&amp;LEN(INDIRECT(CONCATENATE($J706,$K706,2))))),1))*ROW(INDIRECT("1:"&amp;LEN(INDIRECT(CONCATENATE($J706,$K706,2))))),0), ROW(INDIRECT("1:"&amp;LEN(INDIRECT(CONCATENATE($J706,$K706,2))))))+1,1)*10^ROW(INDIRECT("1:"&amp;LEN(INDIRECT(CONCATENATE($J706,$K706,2)))))/10),"")</f>
        <v/>
      </c>
      <c r="M706" s="494" t="s">
        <v>1446</v>
      </c>
      <c r="N706" s="555" t="str">
        <f t="shared" ref="N706:N769" ca="1" si="112">IF(AND(INDIRECT(CONCATENATE($J706,$K706,5))=$B706,ISNUMBER(SEARCH("Select",INDIRECT(CONCATENATE($J706,$M706,6)),1))=FALSE),INDIRECT(CONCATENATE($J706,$M706,6)),"")</f>
        <v/>
      </c>
      <c r="O706" s="494" t="s">
        <v>1447</v>
      </c>
      <c r="P706" s="555" t="str">
        <f t="shared" ref="P706:P769" ca="1" si="113">IF(AND(INDIRECT(CONCATENATE($J706,$K706,5))=$B706,ISNUMBER(SEARCH("Select",INDIRECT(CONCATENATE($J706,$O706,6)),1))=FALSE),INDIRECT(CONCATENATE($J706,$O706,6)),"")</f>
        <v/>
      </c>
      <c r="Q706" s="494" t="s">
        <v>1448</v>
      </c>
      <c r="R706" s="494" t="str">
        <f t="shared" si="108"/>
        <v>H706</v>
      </c>
      <c r="S706" s="494" t="s">
        <v>1449</v>
      </c>
      <c r="T706" s="494">
        <v>10</v>
      </c>
      <c r="U706" s="556" t="str">
        <f t="shared" ca="1" si="109"/>
        <v/>
      </c>
      <c r="V706" s="494">
        <v>11</v>
      </c>
      <c r="W706" s="556" t="str">
        <f t="shared" ca="1" si="110"/>
        <v/>
      </c>
      <c r="X706" s="494" t="s">
        <v>1450</v>
      </c>
      <c r="Y706" s="547" t="str">
        <f t="shared" ref="Y706:Y769" ca="1" si="114">IF(AND(INDIRECT(CONCATENATE($J706,$K706,5))=$B706,ISBLANK(INDIRECT(CONCATENATE($J706,X706)))=FALSE),INDIRECT(CONCATENATE($J706,X706)),"")</f>
        <v/>
      </c>
      <c r="Z706" s="494" t="s">
        <v>1451</v>
      </c>
      <c r="AA706" s="547" t="str">
        <f t="shared" ref="AA706:AA769" ca="1" si="115">IF(AND(INDIRECT(CONCATENATE($J706,$K706,"5"))=$B706,ISBLANK(INDIRECT(CONCATENATE($J706,Z706)))=FALSE),INDIRECT(CONCATENATE($J706,Z706)),"")</f>
        <v/>
      </c>
      <c r="AB706" s="494" t="s">
        <v>1452</v>
      </c>
      <c r="AC706" s="547" t="str">
        <f t="shared" ref="AC706:AC769" ca="1" si="116">IF(AND(INDIRECT(CONCATENATE($J706,$K706,"5"))=$B706,ISBLANK(INDIRECT(CONCATENATE($J706,AB706)))=FALSE),INDIRECT(CONCATENATE($J706,AB706)),"")</f>
        <v/>
      </c>
      <c r="AD706" s="557"/>
      <c r="AE706" s="958"/>
    </row>
    <row r="707" spans="1:31" ht="15" customHeight="1">
      <c r="A707" s="957">
        <v>104</v>
      </c>
      <c r="B707" s="566" t="s">
        <v>493</v>
      </c>
      <c r="C707" s="567" t="s">
        <v>1443</v>
      </c>
      <c r="D707" s="958">
        <v>1.3</v>
      </c>
      <c r="E707" s="959" t="s">
        <v>335</v>
      </c>
      <c r="F707" s="558" t="s">
        <v>1455</v>
      </c>
      <c r="G707" s="558">
        <v>1076</v>
      </c>
      <c r="H707" s="558" t="s">
        <v>1457</v>
      </c>
      <c r="I707" s="559" t="s">
        <v>1458</v>
      </c>
      <c r="J707" s="567" t="s">
        <v>1445</v>
      </c>
      <c r="K707" s="961" t="s">
        <v>1373</v>
      </c>
      <c r="L707" s="555" t="str">
        <f t="shared" ca="1" si="111"/>
        <v/>
      </c>
      <c r="M707" s="494" t="s">
        <v>1446</v>
      </c>
      <c r="N707" s="555" t="str">
        <f t="shared" ca="1" si="112"/>
        <v/>
      </c>
      <c r="O707" s="494" t="s">
        <v>1447</v>
      </c>
      <c r="P707" s="555" t="str">
        <f t="shared" ca="1" si="113"/>
        <v/>
      </c>
      <c r="Q707" s="494" t="s">
        <v>1448</v>
      </c>
      <c r="R707" s="494" t="str">
        <f t="shared" si="108"/>
        <v>H707</v>
      </c>
      <c r="S707" s="494" t="s">
        <v>1449</v>
      </c>
      <c r="T707" s="494">
        <v>10</v>
      </c>
      <c r="U707" s="556" t="str">
        <f t="shared" ca="1" si="109"/>
        <v/>
      </c>
      <c r="V707" s="494">
        <v>11</v>
      </c>
      <c r="W707" s="556" t="str">
        <f t="shared" ca="1" si="110"/>
        <v/>
      </c>
      <c r="X707" s="494" t="s">
        <v>1450</v>
      </c>
      <c r="Y707" s="547" t="str">
        <f t="shared" ca="1" si="114"/>
        <v/>
      </c>
      <c r="Z707" s="494" t="s">
        <v>1451</v>
      </c>
      <c r="AA707" s="547" t="str">
        <f t="shared" ca="1" si="115"/>
        <v/>
      </c>
      <c r="AB707" s="494" t="s">
        <v>1452</v>
      </c>
      <c r="AC707" s="547" t="str">
        <f t="shared" ca="1" si="116"/>
        <v/>
      </c>
      <c r="AD707" s="557"/>
      <c r="AE707" s="958"/>
    </row>
    <row r="708" spans="1:31" ht="15" customHeight="1">
      <c r="A708" s="957">
        <v>104</v>
      </c>
      <c r="B708" s="566" t="s">
        <v>493</v>
      </c>
      <c r="C708" s="567" t="s">
        <v>1443</v>
      </c>
      <c r="D708" s="958">
        <v>1.3</v>
      </c>
      <c r="E708" s="959" t="s">
        <v>335</v>
      </c>
      <c r="F708" s="558" t="s">
        <v>1455</v>
      </c>
      <c r="G708" s="558">
        <v>1077</v>
      </c>
      <c r="H708" s="558" t="s">
        <v>1459</v>
      </c>
      <c r="I708" s="559" t="s">
        <v>1506</v>
      </c>
      <c r="J708" s="567" t="s">
        <v>1445</v>
      </c>
      <c r="K708" s="961" t="s">
        <v>1373</v>
      </c>
      <c r="L708" s="555" t="str">
        <f t="shared" ca="1" si="111"/>
        <v/>
      </c>
      <c r="M708" s="494" t="s">
        <v>1446</v>
      </c>
      <c r="N708" s="555" t="str">
        <f t="shared" ca="1" si="112"/>
        <v/>
      </c>
      <c r="O708" s="494" t="s">
        <v>1447</v>
      </c>
      <c r="P708" s="555" t="str">
        <f t="shared" ca="1" si="113"/>
        <v/>
      </c>
      <c r="Q708" s="494" t="s">
        <v>1448</v>
      </c>
      <c r="R708" s="494" t="str">
        <f t="shared" si="108"/>
        <v>H708</v>
      </c>
      <c r="S708" s="494" t="s">
        <v>1449</v>
      </c>
      <c r="T708" s="494">
        <v>10</v>
      </c>
      <c r="U708" s="556" t="str">
        <f t="shared" ca="1" si="109"/>
        <v/>
      </c>
      <c r="V708" s="494">
        <v>11</v>
      </c>
      <c r="W708" s="556" t="str">
        <f t="shared" ca="1" si="110"/>
        <v/>
      </c>
      <c r="X708" s="494" t="s">
        <v>1450</v>
      </c>
      <c r="Y708" s="547" t="str">
        <f t="shared" ca="1" si="114"/>
        <v/>
      </c>
      <c r="Z708" s="494" t="s">
        <v>1451</v>
      </c>
      <c r="AA708" s="547" t="str">
        <f t="shared" ca="1" si="115"/>
        <v/>
      </c>
      <c r="AB708" s="494" t="s">
        <v>1452</v>
      </c>
      <c r="AC708" s="547" t="str">
        <f t="shared" ca="1" si="116"/>
        <v/>
      </c>
      <c r="AD708" s="557"/>
      <c r="AE708" s="958"/>
    </row>
    <row r="709" spans="1:31" ht="15" customHeight="1">
      <c r="A709" s="957">
        <v>104</v>
      </c>
      <c r="B709" s="566" t="s">
        <v>493</v>
      </c>
      <c r="C709" s="567" t="s">
        <v>1443</v>
      </c>
      <c r="D709" s="958">
        <v>1.3</v>
      </c>
      <c r="E709" s="959" t="s">
        <v>335</v>
      </c>
      <c r="F709" s="558" t="s">
        <v>1455</v>
      </c>
      <c r="G709" s="558">
        <v>1078</v>
      </c>
      <c r="H709" s="558" t="s">
        <v>1461</v>
      </c>
      <c r="I709" s="559" t="s">
        <v>619</v>
      </c>
      <c r="J709" s="567" t="s">
        <v>1445</v>
      </c>
      <c r="K709" s="961" t="s">
        <v>1373</v>
      </c>
      <c r="L709" s="555" t="str">
        <f t="shared" ca="1" si="111"/>
        <v/>
      </c>
      <c r="M709" s="494" t="s">
        <v>1446</v>
      </c>
      <c r="N709" s="555" t="str">
        <f t="shared" ca="1" si="112"/>
        <v/>
      </c>
      <c r="O709" s="494" t="s">
        <v>1447</v>
      </c>
      <c r="P709" s="555" t="str">
        <f t="shared" ca="1" si="113"/>
        <v/>
      </c>
      <c r="Q709" s="494" t="s">
        <v>1448</v>
      </c>
      <c r="R709" s="494" t="str">
        <f t="shared" si="108"/>
        <v>H709</v>
      </c>
      <c r="S709" s="494" t="s">
        <v>1449</v>
      </c>
      <c r="T709" s="494">
        <v>10</v>
      </c>
      <c r="U709" s="556" t="str">
        <f t="shared" ref="U709:U740" ca="1" si="117">IF(AND($B709=INDIRECT(CONCATENATE($J709,$K709,5)),ISBLANK(INDEX(INDIRECT(CONCATENATE($J709,$Q709)),MATCH(INDIRECT($R709),INDIRECT(CONCATENATE($J709,$S709)),0),T709))=FALSE),INDEX(INDIRECT(CONCATENATE($J709,$Q709)),MATCH(INDIRECT($R709),INDIRECT(CONCATENATE($J709,$S709)),0),T709),"")</f>
        <v/>
      </c>
      <c r="V709" s="494">
        <v>11</v>
      </c>
      <c r="W709" s="556" t="str">
        <f t="shared" ref="W709:W740" ca="1" si="118">IF(AND($B709=INDIRECT(CONCATENATE($J709,$K709,5)),ISBLANK(INDEX(INDIRECT(CONCATENATE($J709,$Q709)),MATCH(INDIRECT($R709),INDIRECT(CONCATENATE($J709,$S709)),0),V709))=FALSE),INDEX(INDIRECT(CONCATENATE($J709,$Q709)),MATCH(INDIRECT($R709),INDIRECT(CONCATENATE($J709,$S709)),0),V709),"")</f>
        <v/>
      </c>
      <c r="X709" s="494" t="s">
        <v>1450</v>
      </c>
      <c r="Y709" s="547" t="str">
        <f t="shared" ca="1" si="114"/>
        <v/>
      </c>
      <c r="Z709" s="494" t="s">
        <v>1451</v>
      </c>
      <c r="AA709" s="547" t="str">
        <f t="shared" ca="1" si="115"/>
        <v/>
      </c>
      <c r="AB709" s="494" t="s">
        <v>1452</v>
      </c>
      <c r="AC709" s="547" t="str">
        <f t="shared" ca="1" si="116"/>
        <v/>
      </c>
      <c r="AD709" s="557"/>
      <c r="AE709" s="958"/>
    </row>
    <row r="710" spans="1:31" ht="15" customHeight="1">
      <c r="A710" s="957">
        <v>104</v>
      </c>
      <c r="B710" s="566" t="s">
        <v>493</v>
      </c>
      <c r="C710" s="567" t="s">
        <v>1443</v>
      </c>
      <c r="D710" s="958">
        <v>1.3</v>
      </c>
      <c r="E710" s="959" t="s">
        <v>335</v>
      </c>
      <c r="F710" s="558" t="s">
        <v>1455</v>
      </c>
      <c r="G710" s="558">
        <v>1079</v>
      </c>
      <c r="H710" s="558" t="s">
        <v>1462</v>
      </c>
      <c r="I710" s="559" t="s">
        <v>1507</v>
      </c>
      <c r="J710" s="567" t="s">
        <v>1445</v>
      </c>
      <c r="K710" s="961" t="s">
        <v>1373</v>
      </c>
      <c r="L710" s="555" t="str">
        <f t="shared" ca="1" si="111"/>
        <v/>
      </c>
      <c r="M710" s="494" t="s">
        <v>1446</v>
      </c>
      <c r="N710" s="555" t="str">
        <f t="shared" ca="1" si="112"/>
        <v/>
      </c>
      <c r="O710" s="494" t="s">
        <v>1447</v>
      </c>
      <c r="P710" s="555" t="str">
        <f t="shared" ca="1" si="113"/>
        <v/>
      </c>
      <c r="Q710" s="494" t="s">
        <v>1448</v>
      </c>
      <c r="R710" s="494" t="str">
        <f t="shared" si="108"/>
        <v>H710</v>
      </c>
      <c r="S710" s="494" t="s">
        <v>1449</v>
      </c>
      <c r="T710" s="494">
        <v>10</v>
      </c>
      <c r="U710" s="556" t="str">
        <f t="shared" ca="1" si="117"/>
        <v/>
      </c>
      <c r="V710" s="494">
        <v>11</v>
      </c>
      <c r="W710" s="556" t="str">
        <f t="shared" ca="1" si="118"/>
        <v/>
      </c>
      <c r="X710" s="494" t="s">
        <v>1450</v>
      </c>
      <c r="Y710" s="547" t="str">
        <f t="shared" ca="1" si="114"/>
        <v/>
      </c>
      <c r="Z710" s="494" t="s">
        <v>1451</v>
      </c>
      <c r="AA710" s="547" t="str">
        <f t="shared" ca="1" si="115"/>
        <v/>
      </c>
      <c r="AB710" s="494" t="s">
        <v>1452</v>
      </c>
      <c r="AC710" s="547" t="str">
        <f t="shared" ca="1" si="116"/>
        <v/>
      </c>
      <c r="AD710" s="557"/>
      <c r="AE710" s="958"/>
    </row>
    <row r="711" spans="1:31" ht="15" customHeight="1">
      <c r="A711" s="957">
        <v>104</v>
      </c>
      <c r="B711" s="566" t="s">
        <v>493</v>
      </c>
      <c r="C711" s="567" t="s">
        <v>1443</v>
      </c>
      <c r="D711" s="958">
        <v>1.3</v>
      </c>
      <c r="E711" s="959" t="s">
        <v>335</v>
      </c>
      <c r="F711" s="558" t="s">
        <v>1455</v>
      </c>
      <c r="G711" s="558">
        <v>1080</v>
      </c>
      <c r="H711" s="558" t="s">
        <v>1464</v>
      </c>
      <c r="I711" s="559" t="s">
        <v>635</v>
      </c>
      <c r="J711" s="567" t="s">
        <v>1445</v>
      </c>
      <c r="K711" s="961" t="s">
        <v>1373</v>
      </c>
      <c r="L711" s="555" t="str">
        <f t="shared" ca="1" si="111"/>
        <v/>
      </c>
      <c r="M711" s="494" t="s">
        <v>1446</v>
      </c>
      <c r="N711" s="555" t="str">
        <f t="shared" ca="1" si="112"/>
        <v/>
      </c>
      <c r="O711" s="494" t="s">
        <v>1447</v>
      </c>
      <c r="P711" s="555" t="str">
        <f t="shared" ca="1" si="113"/>
        <v/>
      </c>
      <c r="Q711" s="494" t="s">
        <v>1448</v>
      </c>
      <c r="R711" s="494" t="str">
        <f t="shared" si="108"/>
        <v>H711</v>
      </c>
      <c r="S711" s="494" t="s">
        <v>1449</v>
      </c>
      <c r="T711" s="494">
        <v>10</v>
      </c>
      <c r="U711" s="556" t="str">
        <f t="shared" ca="1" si="117"/>
        <v/>
      </c>
      <c r="V711" s="494">
        <v>11</v>
      </c>
      <c r="W711" s="556" t="str">
        <f t="shared" ca="1" si="118"/>
        <v/>
      </c>
      <c r="X711" s="494" t="s">
        <v>1450</v>
      </c>
      <c r="Y711" s="547" t="str">
        <f t="shared" ca="1" si="114"/>
        <v/>
      </c>
      <c r="Z711" s="494" t="s">
        <v>1451</v>
      </c>
      <c r="AA711" s="547" t="str">
        <f t="shared" ca="1" si="115"/>
        <v/>
      </c>
      <c r="AB711" s="494" t="s">
        <v>1452</v>
      </c>
      <c r="AC711" s="547" t="str">
        <f t="shared" ca="1" si="116"/>
        <v/>
      </c>
      <c r="AD711" s="557"/>
      <c r="AE711" s="958"/>
    </row>
    <row r="712" spans="1:31" ht="15" customHeight="1">
      <c r="A712" s="957">
        <v>104</v>
      </c>
      <c r="B712" s="566" t="s">
        <v>493</v>
      </c>
      <c r="C712" s="567" t="s">
        <v>1443</v>
      </c>
      <c r="D712" s="958">
        <v>1.3</v>
      </c>
      <c r="E712" s="959" t="s">
        <v>335</v>
      </c>
      <c r="F712" s="558" t="s">
        <v>1455</v>
      </c>
      <c r="G712" s="558">
        <v>1081</v>
      </c>
      <c r="H712" s="558" t="s">
        <v>1466</v>
      </c>
      <c r="I712" s="559" t="s">
        <v>1508</v>
      </c>
      <c r="J712" s="567" t="s">
        <v>1445</v>
      </c>
      <c r="K712" s="961" t="s">
        <v>1373</v>
      </c>
      <c r="L712" s="555" t="str">
        <f t="shared" ca="1" si="111"/>
        <v/>
      </c>
      <c r="M712" s="494" t="s">
        <v>1446</v>
      </c>
      <c r="N712" s="555" t="str">
        <f t="shared" ca="1" si="112"/>
        <v/>
      </c>
      <c r="O712" s="494" t="s">
        <v>1447</v>
      </c>
      <c r="P712" s="555" t="str">
        <f t="shared" ca="1" si="113"/>
        <v/>
      </c>
      <c r="Q712" s="494" t="s">
        <v>1448</v>
      </c>
      <c r="R712" s="494" t="str">
        <f t="shared" ref="R712:R778" si="119">CONCATENATE("H",ROW(J712))</f>
        <v>H712</v>
      </c>
      <c r="S712" s="494" t="s">
        <v>1449</v>
      </c>
      <c r="T712" s="494">
        <v>10</v>
      </c>
      <c r="U712" s="556" t="str">
        <f t="shared" ca="1" si="117"/>
        <v/>
      </c>
      <c r="V712" s="494">
        <v>11</v>
      </c>
      <c r="W712" s="556" t="str">
        <f t="shared" ca="1" si="118"/>
        <v/>
      </c>
      <c r="X712" s="494" t="s">
        <v>1450</v>
      </c>
      <c r="Y712" s="547" t="str">
        <f t="shared" ca="1" si="114"/>
        <v/>
      </c>
      <c r="Z712" s="494" t="s">
        <v>1451</v>
      </c>
      <c r="AA712" s="547" t="str">
        <f t="shared" ca="1" si="115"/>
        <v/>
      </c>
      <c r="AB712" s="494" t="s">
        <v>1452</v>
      </c>
      <c r="AC712" s="547" t="str">
        <f t="shared" ca="1" si="116"/>
        <v/>
      </c>
      <c r="AD712" s="557"/>
      <c r="AE712" s="958"/>
    </row>
    <row r="713" spans="1:31" ht="15" customHeight="1">
      <c r="A713" s="957">
        <v>104</v>
      </c>
      <c r="B713" s="566" t="s">
        <v>493</v>
      </c>
      <c r="C713" s="567" t="s">
        <v>1443</v>
      </c>
      <c r="D713" s="958">
        <v>1.3</v>
      </c>
      <c r="E713" s="959" t="s">
        <v>335</v>
      </c>
      <c r="F713" s="558" t="s">
        <v>1455</v>
      </c>
      <c r="G713" s="558">
        <v>1082</v>
      </c>
      <c r="H713" s="558" t="s">
        <v>59</v>
      </c>
      <c r="I713" s="559" t="s">
        <v>1509</v>
      </c>
      <c r="J713" s="567" t="s">
        <v>1445</v>
      </c>
      <c r="K713" s="961" t="s">
        <v>1373</v>
      </c>
      <c r="L713" s="555" t="str">
        <f t="shared" ca="1" si="111"/>
        <v/>
      </c>
      <c r="M713" s="494" t="s">
        <v>1446</v>
      </c>
      <c r="N713" s="555" t="str">
        <f t="shared" ca="1" si="112"/>
        <v/>
      </c>
      <c r="O713" s="494" t="s">
        <v>1447</v>
      </c>
      <c r="P713" s="555" t="str">
        <f t="shared" ca="1" si="113"/>
        <v/>
      </c>
      <c r="Q713" s="494" t="s">
        <v>1448</v>
      </c>
      <c r="R713" s="494" t="str">
        <f t="shared" si="119"/>
        <v>H713</v>
      </c>
      <c r="S713" s="494" t="s">
        <v>1449</v>
      </c>
      <c r="T713" s="494">
        <v>10</v>
      </c>
      <c r="U713" s="556" t="str">
        <f t="shared" ca="1" si="117"/>
        <v/>
      </c>
      <c r="V713" s="494">
        <v>11</v>
      </c>
      <c r="W713" s="556" t="str">
        <f t="shared" ca="1" si="118"/>
        <v/>
      </c>
      <c r="X713" s="494" t="s">
        <v>1450</v>
      </c>
      <c r="Y713" s="547" t="str">
        <f t="shared" ca="1" si="114"/>
        <v/>
      </c>
      <c r="Z713" s="494" t="s">
        <v>1451</v>
      </c>
      <c r="AA713" s="547" t="str">
        <f t="shared" ca="1" si="115"/>
        <v/>
      </c>
      <c r="AB713" s="494" t="s">
        <v>1452</v>
      </c>
      <c r="AC713" s="547" t="str">
        <f t="shared" ca="1" si="116"/>
        <v/>
      </c>
      <c r="AD713" s="557"/>
      <c r="AE713" s="958"/>
    </row>
    <row r="714" spans="1:31" ht="15" customHeight="1">
      <c r="A714" s="957">
        <v>104</v>
      </c>
      <c r="B714" s="566" t="s">
        <v>493</v>
      </c>
      <c r="C714" s="567" t="s">
        <v>1443</v>
      </c>
      <c r="D714" s="958">
        <v>1.3</v>
      </c>
      <c r="E714" s="959" t="s">
        <v>335</v>
      </c>
      <c r="F714" s="558" t="s">
        <v>1455</v>
      </c>
      <c r="G714" s="558">
        <v>1083</v>
      </c>
      <c r="H714" s="558" t="s">
        <v>1510</v>
      </c>
      <c r="I714" s="559" t="s">
        <v>1511</v>
      </c>
      <c r="J714" s="567" t="s">
        <v>1445</v>
      </c>
      <c r="K714" s="961" t="s">
        <v>1373</v>
      </c>
      <c r="L714" s="555" t="str">
        <f t="shared" ca="1" si="111"/>
        <v/>
      </c>
      <c r="M714" s="494" t="s">
        <v>1446</v>
      </c>
      <c r="N714" s="555" t="str">
        <f t="shared" ca="1" si="112"/>
        <v/>
      </c>
      <c r="O714" s="494" t="s">
        <v>1447</v>
      </c>
      <c r="P714" s="555" t="str">
        <f t="shared" ca="1" si="113"/>
        <v/>
      </c>
      <c r="Q714" s="494" t="s">
        <v>1448</v>
      </c>
      <c r="R714" s="494" t="str">
        <f t="shared" si="119"/>
        <v>H714</v>
      </c>
      <c r="S714" s="494" t="s">
        <v>1449</v>
      </c>
      <c r="T714" s="494">
        <v>10</v>
      </c>
      <c r="U714" s="556" t="str">
        <f t="shared" ca="1" si="117"/>
        <v/>
      </c>
      <c r="V714" s="494">
        <v>11</v>
      </c>
      <c r="W714" s="556" t="str">
        <f t="shared" ca="1" si="118"/>
        <v/>
      </c>
      <c r="X714" s="494" t="s">
        <v>1450</v>
      </c>
      <c r="Y714" s="547" t="str">
        <f t="shared" ca="1" si="114"/>
        <v/>
      </c>
      <c r="Z714" s="494" t="s">
        <v>1451</v>
      </c>
      <c r="AA714" s="547" t="str">
        <f t="shared" ca="1" si="115"/>
        <v/>
      </c>
      <c r="AB714" s="494" t="s">
        <v>1452</v>
      </c>
      <c r="AC714" s="547" t="str">
        <f t="shared" ca="1" si="116"/>
        <v/>
      </c>
      <c r="AD714" s="557"/>
      <c r="AE714" s="958"/>
    </row>
    <row r="715" spans="1:31" ht="15" customHeight="1">
      <c r="A715" s="957">
        <v>104</v>
      </c>
      <c r="B715" s="566" t="s">
        <v>493</v>
      </c>
      <c r="C715" s="567" t="s">
        <v>1443</v>
      </c>
      <c r="D715" s="958">
        <v>1.3</v>
      </c>
      <c r="E715" s="959" t="s">
        <v>335</v>
      </c>
      <c r="F715" s="558" t="s">
        <v>1455</v>
      </c>
      <c r="G715" s="558">
        <v>1084</v>
      </c>
      <c r="H715" s="558" t="s">
        <v>1512</v>
      </c>
      <c r="I715" s="559" t="s">
        <v>1513</v>
      </c>
      <c r="J715" s="567" t="s">
        <v>1445</v>
      </c>
      <c r="K715" s="961" t="s">
        <v>1373</v>
      </c>
      <c r="L715" s="555" t="str">
        <f t="shared" ca="1" si="111"/>
        <v/>
      </c>
      <c r="M715" s="494" t="s">
        <v>1446</v>
      </c>
      <c r="N715" s="555" t="str">
        <f t="shared" ca="1" si="112"/>
        <v/>
      </c>
      <c r="O715" s="494" t="s">
        <v>1447</v>
      </c>
      <c r="P715" s="555" t="str">
        <f t="shared" ca="1" si="113"/>
        <v/>
      </c>
      <c r="Q715" s="494" t="s">
        <v>1448</v>
      </c>
      <c r="R715" s="494" t="str">
        <f t="shared" si="119"/>
        <v>H715</v>
      </c>
      <c r="S715" s="494" t="s">
        <v>1449</v>
      </c>
      <c r="T715" s="494">
        <v>10</v>
      </c>
      <c r="U715" s="556" t="str">
        <f t="shared" ca="1" si="117"/>
        <v/>
      </c>
      <c r="V715" s="494">
        <v>11</v>
      </c>
      <c r="W715" s="556" t="str">
        <f t="shared" ca="1" si="118"/>
        <v/>
      </c>
      <c r="X715" s="494" t="s">
        <v>1450</v>
      </c>
      <c r="Y715" s="547" t="str">
        <f t="shared" ca="1" si="114"/>
        <v/>
      </c>
      <c r="Z715" s="494" t="s">
        <v>1451</v>
      </c>
      <c r="AA715" s="547" t="str">
        <f t="shared" ca="1" si="115"/>
        <v/>
      </c>
      <c r="AB715" s="494" t="s">
        <v>1452</v>
      </c>
      <c r="AC715" s="547" t="str">
        <f t="shared" ca="1" si="116"/>
        <v/>
      </c>
      <c r="AD715" s="557"/>
      <c r="AE715" s="958"/>
    </row>
    <row r="716" spans="1:31" ht="15" customHeight="1">
      <c r="A716" s="957">
        <v>104</v>
      </c>
      <c r="B716" s="566" t="s">
        <v>493</v>
      </c>
      <c r="C716" s="567" t="s">
        <v>1443</v>
      </c>
      <c r="D716" s="958">
        <v>1.3</v>
      </c>
      <c r="E716" s="959" t="s">
        <v>335</v>
      </c>
      <c r="F716" s="558" t="s">
        <v>1455</v>
      </c>
      <c r="G716" s="558">
        <v>1085</v>
      </c>
      <c r="H716" s="558" t="s">
        <v>1514</v>
      </c>
      <c r="I716" s="559" t="s">
        <v>1515</v>
      </c>
      <c r="J716" s="567" t="s">
        <v>1445</v>
      </c>
      <c r="K716" s="961" t="s">
        <v>1373</v>
      </c>
      <c r="L716" s="555" t="str">
        <f t="shared" ca="1" si="111"/>
        <v/>
      </c>
      <c r="M716" s="494" t="s">
        <v>1446</v>
      </c>
      <c r="N716" s="555" t="str">
        <f t="shared" ca="1" si="112"/>
        <v/>
      </c>
      <c r="O716" s="494" t="s">
        <v>1447</v>
      </c>
      <c r="P716" s="555" t="str">
        <f t="shared" ca="1" si="113"/>
        <v/>
      </c>
      <c r="Q716" s="494" t="s">
        <v>1448</v>
      </c>
      <c r="R716" s="494" t="str">
        <f t="shared" si="119"/>
        <v>H716</v>
      </c>
      <c r="S716" s="494" t="s">
        <v>1449</v>
      </c>
      <c r="T716" s="494">
        <v>10</v>
      </c>
      <c r="U716" s="556" t="str">
        <f t="shared" ca="1" si="117"/>
        <v/>
      </c>
      <c r="V716" s="494">
        <v>11</v>
      </c>
      <c r="W716" s="556" t="str">
        <f t="shared" ca="1" si="118"/>
        <v/>
      </c>
      <c r="X716" s="494" t="s">
        <v>1450</v>
      </c>
      <c r="Y716" s="547" t="str">
        <f t="shared" ca="1" si="114"/>
        <v/>
      </c>
      <c r="Z716" s="494" t="s">
        <v>1451</v>
      </c>
      <c r="AA716" s="547" t="str">
        <f t="shared" ca="1" si="115"/>
        <v/>
      </c>
      <c r="AB716" s="494" t="s">
        <v>1452</v>
      </c>
      <c r="AC716" s="547" t="str">
        <f t="shared" ca="1" si="116"/>
        <v/>
      </c>
      <c r="AD716" s="557"/>
      <c r="AE716" s="958"/>
    </row>
    <row r="717" spans="1:31" ht="15" customHeight="1">
      <c r="A717" s="957">
        <v>104</v>
      </c>
      <c r="B717" s="566" t="s">
        <v>493</v>
      </c>
      <c r="C717" s="567" t="s">
        <v>1443</v>
      </c>
      <c r="D717" s="958">
        <v>1.3</v>
      </c>
      <c r="E717" s="959" t="s">
        <v>335</v>
      </c>
      <c r="F717" s="558" t="s">
        <v>1455</v>
      </c>
      <c r="G717" s="558">
        <v>1087</v>
      </c>
      <c r="H717" s="558" t="s">
        <v>1468</v>
      </c>
      <c r="I717" s="559" t="s">
        <v>1469</v>
      </c>
      <c r="J717" s="567" t="s">
        <v>1445</v>
      </c>
      <c r="K717" s="961" t="s">
        <v>1373</v>
      </c>
      <c r="L717" s="555" t="str">
        <f t="shared" ca="1" si="111"/>
        <v/>
      </c>
      <c r="M717" s="494" t="s">
        <v>1446</v>
      </c>
      <c r="N717" s="555" t="str">
        <f t="shared" ca="1" si="112"/>
        <v/>
      </c>
      <c r="O717" s="494" t="s">
        <v>1447</v>
      </c>
      <c r="P717" s="555" t="str">
        <f t="shared" ca="1" si="113"/>
        <v/>
      </c>
      <c r="Q717" s="494" t="s">
        <v>1448</v>
      </c>
      <c r="R717" s="494" t="str">
        <f t="shared" si="119"/>
        <v>H717</v>
      </c>
      <c r="S717" s="494" t="s">
        <v>1449</v>
      </c>
      <c r="T717" s="494">
        <v>10</v>
      </c>
      <c r="U717" s="556" t="str">
        <f t="shared" ca="1" si="117"/>
        <v/>
      </c>
      <c r="V717" s="494">
        <v>11</v>
      </c>
      <c r="W717" s="556" t="str">
        <f t="shared" ca="1" si="118"/>
        <v/>
      </c>
      <c r="X717" s="494" t="s">
        <v>1450</v>
      </c>
      <c r="Y717" s="547" t="str">
        <f t="shared" ca="1" si="114"/>
        <v/>
      </c>
      <c r="Z717" s="494" t="s">
        <v>1451</v>
      </c>
      <c r="AA717" s="547" t="str">
        <f t="shared" ca="1" si="115"/>
        <v/>
      </c>
      <c r="AB717" s="494" t="s">
        <v>1452</v>
      </c>
      <c r="AC717" s="547" t="str">
        <f t="shared" ca="1" si="116"/>
        <v/>
      </c>
      <c r="AD717" s="557"/>
      <c r="AE717" s="958"/>
    </row>
    <row r="718" spans="1:31" ht="15" customHeight="1">
      <c r="A718" s="957">
        <v>104</v>
      </c>
      <c r="B718" s="566" t="s">
        <v>493</v>
      </c>
      <c r="C718" s="567" t="s">
        <v>1443</v>
      </c>
      <c r="D718" s="958">
        <v>1.3</v>
      </c>
      <c r="E718" s="959" t="s">
        <v>335</v>
      </c>
      <c r="F718" s="558" t="s">
        <v>1455</v>
      </c>
      <c r="G718" s="558">
        <v>1088</v>
      </c>
      <c r="H718" s="558" t="s">
        <v>1470</v>
      </c>
      <c r="I718" s="559" t="s">
        <v>1516</v>
      </c>
      <c r="J718" s="567" t="s">
        <v>1445</v>
      </c>
      <c r="K718" s="961" t="s">
        <v>1373</v>
      </c>
      <c r="L718" s="555" t="str">
        <f t="shared" ca="1" si="111"/>
        <v/>
      </c>
      <c r="M718" s="494" t="s">
        <v>1446</v>
      </c>
      <c r="N718" s="555" t="str">
        <f t="shared" ca="1" si="112"/>
        <v/>
      </c>
      <c r="O718" s="494" t="s">
        <v>1447</v>
      </c>
      <c r="P718" s="555" t="str">
        <f t="shared" ca="1" si="113"/>
        <v/>
      </c>
      <c r="Q718" s="494" t="s">
        <v>1448</v>
      </c>
      <c r="R718" s="494" t="str">
        <f t="shared" si="119"/>
        <v>H718</v>
      </c>
      <c r="S718" s="494" t="s">
        <v>1449</v>
      </c>
      <c r="T718" s="494">
        <v>10</v>
      </c>
      <c r="U718" s="556" t="str">
        <f t="shared" ca="1" si="117"/>
        <v/>
      </c>
      <c r="V718" s="494">
        <v>11</v>
      </c>
      <c r="W718" s="556" t="str">
        <f t="shared" ca="1" si="118"/>
        <v/>
      </c>
      <c r="X718" s="494" t="s">
        <v>1450</v>
      </c>
      <c r="Y718" s="547" t="str">
        <f t="shared" ca="1" si="114"/>
        <v/>
      </c>
      <c r="Z718" s="494" t="s">
        <v>1451</v>
      </c>
      <c r="AA718" s="547" t="str">
        <f t="shared" ca="1" si="115"/>
        <v/>
      </c>
      <c r="AB718" s="494" t="s">
        <v>1452</v>
      </c>
      <c r="AC718" s="547" t="str">
        <f t="shared" ca="1" si="116"/>
        <v/>
      </c>
      <c r="AD718" s="557"/>
      <c r="AE718" s="958"/>
    </row>
    <row r="719" spans="1:31" ht="15" customHeight="1">
      <c r="A719" s="957">
        <v>104</v>
      </c>
      <c r="B719" s="566" t="s">
        <v>493</v>
      </c>
      <c r="C719" s="567" t="s">
        <v>1443</v>
      </c>
      <c r="D719" s="958">
        <v>1.3</v>
      </c>
      <c r="E719" s="959" t="s">
        <v>335</v>
      </c>
      <c r="F719" s="558" t="s">
        <v>1455</v>
      </c>
      <c r="G719" s="558">
        <v>1090</v>
      </c>
      <c r="H719" s="558" t="s">
        <v>1517</v>
      </c>
      <c r="I719" s="559" t="s">
        <v>1518</v>
      </c>
      <c r="J719" s="567" t="s">
        <v>1445</v>
      </c>
      <c r="K719" s="961" t="s">
        <v>1373</v>
      </c>
      <c r="L719" s="555" t="str">
        <f t="shared" ca="1" si="111"/>
        <v/>
      </c>
      <c r="M719" s="494" t="s">
        <v>1446</v>
      </c>
      <c r="N719" s="555" t="str">
        <f t="shared" ca="1" si="112"/>
        <v/>
      </c>
      <c r="O719" s="494" t="s">
        <v>1447</v>
      </c>
      <c r="P719" s="555" t="str">
        <f t="shared" ca="1" si="113"/>
        <v/>
      </c>
      <c r="Q719" s="494" t="s">
        <v>1448</v>
      </c>
      <c r="R719" s="494" t="str">
        <f t="shared" ref="R719:R728" si="120">CONCATENATE("I",ROW(J719))</f>
        <v>I719</v>
      </c>
      <c r="S719" s="494" t="s">
        <v>1491</v>
      </c>
      <c r="T719" s="494">
        <v>10</v>
      </c>
      <c r="U719" s="556" t="str">
        <f t="shared" ca="1" si="117"/>
        <v/>
      </c>
      <c r="V719" s="494">
        <v>11</v>
      </c>
      <c r="W719" s="556" t="str">
        <f t="shared" ca="1" si="118"/>
        <v/>
      </c>
      <c r="X719" s="494" t="s">
        <v>1450</v>
      </c>
      <c r="Y719" s="547" t="str">
        <f t="shared" ca="1" si="114"/>
        <v/>
      </c>
      <c r="Z719" s="494" t="s">
        <v>1451</v>
      </c>
      <c r="AA719" s="547" t="str">
        <f t="shared" ca="1" si="115"/>
        <v/>
      </c>
      <c r="AB719" s="494" t="s">
        <v>1452</v>
      </c>
      <c r="AC719" s="547" t="str">
        <f t="shared" ca="1" si="116"/>
        <v/>
      </c>
      <c r="AD719" s="557"/>
      <c r="AE719" s="958"/>
    </row>
    <row r="720" spans="1:31" ht="15" customHeight="1">
      <c r="A720" s="957">
        <v>104</v>
      </c>
      <c r="B720" s="566" t="s">
        <v>493</v>
      </c>
      <c r="C720" s="567" t="s">
        <v>1443</v>
      </c>
      <c r="D720" s="958">
        <v>1.3</v>
      </c>
      <c r="E720" s="959" t="s">
        <v>335</v>
      </c>
      <c r="F720" s="558" t="s">
        <v>1455</v>
      </c>
      <c r="G720" s="558">
        <v>1091</v>
      </c>
      <c r="H720" s="558" t="s">
        <v>1519</v>
      </c>
      <c r="I720" s="559" t="s">
        <v>1520</v>
      </c>
      <c r="J720" s="567" t="s">
        <v>1445</v>
      </c>
      <c r="K720" s="961" t="s">
        <v>1373</v>
      </c>
      <c r="L720" s="555" t="str">
        <f t="shared" ca="1" si="111"/>
        <v/>
      </c>
      <c r="M720" s="494" t="s">
        <v>1446</v>
      </c>
      <c r="N720" s="555" t="str">
        <f t="shared" ca="1" si="112"/>
        <v/>
      </c>
      <c r="O720" s="494" t="s">
        <v>1447</v>
      </c>
      <c r="P720" s="555" t="str">
        <f t="shared" ca="1" si="113"/>
        <v/>
      </c>
      <c r="Q720" s="494" t="s">
        <v>1448</v>
      </c>
      <c r="R720" s="494" t="str">
        <f t="shared" si="120"/>
        <v>I720</v>
      </c>
      <c r="S720" s="494" t="s">
        <v>1491</v>
      </c>
      <c r="T720" s="494">
        <v>10</v>
      </c>
      <c r="U720" s="556" t="str">
        <f t="shared" ca="1" si="117"/>
        <v/>
      </c>
      <c r="V720" s="494">
        <v>11</v>
      </c>
      <c r="W720" s="556" t="str">
        <f t="shared" ca="1" si="118"/>
        <v/>
      </c>
      <c r="X720" s="494" t="s">
        <v>1450</v>
      </c>
      <c r="Y720" s="547" t="str">
        <f t="shared" ca="1" si="114"/>
        <v/>
      </c>
      <c r="Z720" s="494" t="s">
        <v>1451</v>
      </c>
      <c r="AA720" s="547" t="str">
        <f t="shared" ca="1" si="115"/>
        <v/>
      </c>
      <c r="AB720" s="494" t="s">
        <v>1452</v>
      </c>
      <c r="AC720" s="547" t="str">
        <f t="shared" ca="1" si="116"/>
        <v/>
      </c>
      <c r="AD720" s="557"/>
      <c r="AE720" s="958"/>
    </row>
    <row r="721" spans="1:31" ht="15" customHeight="1">
      <c r="A721" s="957">
        <v>104</v>
      </c>
      <c r="B721" s="566" t="s">
        <v>493</v>
      </c>
      <c r="C721" s="567" t="s">
        <v>1443</v>
      </c>
      <c r="D721" s="958">
        <v>1.3</v>
      </c>
      <c r="E721" s="959" t="s">
        <v>335</v>
      </c>
      <c r="F721" s="558" t="s">
        <v>1455</v>
      </c>
      <c r="G721" s="558">
        <v>1095</v>
      </c>
      <c r="H721" s="558" t="s">
        <v>1521</v>
      </c>
      <c r="I721" s="559" t="s">
        <v>1522</v>
      </c>
      <c r="J721" s="567" t="s">
        <v>1445</v>
      </c>
      <c r="K721" s="961" t="s">
        <v>1373</v>
      </c>
      <c r="L721" s="555" t="str">
        <f t="shared" ca="1" si="111"/>
        <v/>
      </c>
      <c r="M721" s="494" t="s">
        <v>1446</v>
      </c>
      <c r="N721" s="555" t="str">
        <f t="shared" ca="1" si="112"/>
        <v/>
      </c>
      <c r="O721" s="494" t="s">
        <v>1447</v>
      </c>
      <c r="P721" s="555" t="str">
        <f t="shared" ca="1" si="113"/>
        <v/>
      </c>
      <c r="Q721" s="494" t="s">
        <v>1448</v>
      </c>
      <c r="R721" s="494" t="str">
        <f t="shared" si="120"/>
        <v>I721</v>
      </c>
      <c r="S721" s="494" t="s">
        <v>1491</v>
      </c>
      <c r="T721" s="494">
        <v>10</v>
      </c>
      <c r="U721" s="556" t="str">
        <f t="shared" ca="1" si="117"/>
        <v/>
      </c>
      <c r="V721" s="494">
        <v>11</v>
      </c>
      <c r="W721" s="556" t="str">
        <f t="shared" ca="1" si="118"/>
        <v/>
      </c>
      <c r="X721" s="494" t="s">
        <v>1450</v>
      </c>
      <c r="Y721" s="547" t="str">
        <f t="shared" ca="1" si="114"/>
        <v/>
      </c>
      <c r="Z721" s="494" t="s">
        <v>1451</v>
      </c>
      <c r="AA721" s="547" t="str">
        <f t="shared" ca="1" si="115"/>
        <v/>
      </c>
      <c r="AB721" s="494" t="s">
        <v>1452</v>
      </c>
      <c r="AC721" s="547" t="str">
        <f t="shared" ca="1" si="116"/>
        <v/>
      </c>
      <c r="AD721" s="557"/>
      <c r="AE721" s="958"/>
    </row>
    <row r="722" spans="1:31" ht="15" customHeight="1">
      <c r="A722" s="957">
        <v>104</v>
      </c>
      <c r="B722" s="566" t="s">
        <v>493</v>
      </c>
      <c r="C722" s="567" t="s">
        <v>1443</v>
      </c>
      <c r="D722" s="958">
        <v>1.3</v>
      </c>
      <c r="E722" s="959" t="s">
        <v>335</v>
      </c>
      <c r="F722" s="558" t="s">
        <v>1455</v>
      </c>
      <c r="G722" s="558">
        <v>1096</v>
      </c>
      <c r="H722" s="558" t="s">
        <v>1523</v>
      </c>
      <c r="I722" s="559" t="s">
        <v>1524</v>
      </c>
      <c r="J722" s="567" t="s">
        <v>1445</v>
      </c>
      <c r="K722" s="961" t="s">
        <v>1373</v>
      </c>
      <c r="L722" s="555" t="str">
        <f t="shared" ca="1" si="111"/>
        <v/>
      </c>
      <c r="M722" s="494" t="s">
        <v>1446</v>
      </c>
      <c r="N722" s="555" t="str">
        <f t="shared" ca="1" si="112"/>
        <v/>
      </c>
      <c r="O722" s="494" t="s">
        <v>1447</v>
      </c>
      <c r="P722" s="555" t="str">
        <f t="shared" ca="1" si="113"/>
        <v/>
      </c>
      <c r="Q722" s="494" t="s">
        <v>1448</v>
      </c>
      <c r="R722" s="494" t="str">
        <f t="shared" si="120"/>
        <v>I722</v>
      </c>
      <c r="S722" s="494" t="s">
        <v>1491</v>
      </c>
      <c r="T722" s="494">
        <v>10</v>
      </c>
      <c r="U722" s="556" t="str">
        <f t="shared" ca="1" si="117"/>
        <v/>
      </c>
      <c r="V722" s="494">
        <v>11</v>
      </c>
      <c r="W722" s="556" t="str">
        <f t="shared" ca="1" si="118"/>
        <v/>
      </c>
      <c r="X722" s="494" t="s">
        <v>1450</v>
      </c>
      <c r="Y722" s="547" t="str">
        <f t="shared" ca="1" si="114"/>
        <v/>
      </c>
      <c r="Z722" s="494" t="s">
        <v>1451</v>
      </c>
      <c r="AA722" s="547" t="str">
        <f t="shared" ca="1" si="115"/>
        <v/>
      </c>
      <c r="AB722" s="494" t="s">
        <v>1452</v>
      </c>
      <c r="AC722" s="547" t="str">
        <f t="shared" ca="1" si="116"/>
        <v/>
      </c>
      <c r="AD722" s="557"/>
      <c r="AE722" s="958"/>
    </row>
    <row r="723" spans="1:31" ht="15" customHeight="1">
      <c r="A723" s="957">
        <v>104</v>
      </c>
      <c r="B723" s="566" t="s">
        <v>493</v>
      </c>
      <c r="C723" s="567" t="s">
        <v>1443</v>
      </c>
      <c r="D723" s="958">
        <v>1.3</v>
      </c>
      <c r="E723" s="959" t="s">
        <v>335</v>
      </c>
      <c r="F723" s="558" t="s">
        <v>1455</v>
      </c>
      <c r="G723" s="558">
        <v>1097</v>
      </c>
      <c r="H723" s="558" t="s">
        <v>1525</v>
      </c>
      <c r="I723" s="559" t="s">
        <v>1526</v>
      </c>
      <c r="J723" s="567" t="s">
        <v>1445</v>
      </c>
      <c r="K723" s="961" t="s">
        <v>1373</v>
      </c>
      <c r="L723" s="555" t="str">
        <f t="shared" ca="1" si="111"/>
        <v/>
      </c>
      <c r="M723" s="494" t="s">
        <v>1446</v>
      </c>
      <c r="N723" s="555" t="str">
        <f t="shared" ca="1" si="112"/>
        <v/>
      </c>
      <c r="O723" s="494" t="s">
        <v>1447</v>
      </c>
      <c r="P723" s="555" t="str">
        <f t="shared" ca="1" si="113"/>
        <v/>
      </c>
      <c r="Q723" s="494" t="s">
        <v>1448</v>
      </c>
      <c r="R723" s="494" t="str">
        <f t="shared" si="120"/>
        <v>I723</v>
      </c>
      <c r="S723" s="494" t="s">
        <v>1491</v>
      </c>
      <c r="T723" s="494">
        <v>10</v>
      </c>
      <c r="U723" s="556" t="str">
        <f t="shared" ca="1" si="117"/>
        <v/>
      </c>
      <c r="V723" s="494">
        <v>11</v>
      </c>
      <c r="W723" s="556" t="str">
        <f t="shared" ca="1" si="118"/>
        <v/>
      </c>
      <c r="X723" s="494" t="s">
        <v>1450</v>
      </c>
      <c r="Y723" s="547" t="str">
        <f t="shared" ca="1" si="114"/>
        <v/>
      </c>
      <c r="Z723" s="494" t="s">
        <v>1451</v>
      </c>
      <c r="AA723" s="547" t="str">
        <f t="shared" ca="1" si="115"/>
        <v/>
      </c>
      <c r="AB723" s="494" t="s">
        <v>1452</v>
      </c>
      <c r="AC723" s="547" t="str">
        <f t="shared" ca="1" si="116"/>
        <v/>
      </c>
      <c r="AD723" s="557"/>
      <c r="AE723" s="958"/>
    </row>
    <row r="724" spans="1:31" ht="15" customHeight="1">
      <c r="A724" s="957">
        <v>104</v>
      </c>
      <c r="B724" s="566" t="s">
        <v>493</v>
      </c>
      <c r="C724" s="567" t="s">
        <v>1443</v>
      </c>
      <c r="D724" s="958">
        <v>1.3</v>
      </c>
      <c r="E724" s="959" t="s">
        <v>335</v>
      </c>
      <c r="F724" s="558" t="s">
        <v>1455</v>
      </c>
      <c r="G724" s="558">
        <v>1098</v>
      </c>
      <c r="H724" s="558" t="s">
        <v>1527</v>
      </c>
      <c r="I724" s="559" t="s">
        <v>1528</v>
      </c>
      <c r="J724" s="567" t="s">
        <v>1445</v>
      </c>
      <c r="K724" s="961" t="s">
        <v>1373</v>
      </c>
      <c r="L724" s="555" t="str">
        <f t="shared" ca="1" si="111"/>
        <v/>
      </c>
      <c r="M724" s="494" t="s">
        <v>1446</v>
      </c>
      <c r="N724" s="555" t="str">
        <f t="shared" ca="1" si="112"/>
        <v/>
      </c>
      <c r="O724" s="494" t="s">
        <v>1447</v>
      </c>
      <c r="P724" s="555" t="str">
        <f t="shared" ca="1" si="113"/>
        <v/>
      </c>
      <c r="Q724" s="494" t="s">
        <v>1448</v>
      </c>
      <c r="R724" s="494" t="str">
        <f t="shared" si="120"/>
        <v>I724</v>
      </c>
      <c r="S724" s="494" t="s">
        <v>1491</v>
      </c>
      <c r="T724" s="494">
        <v>10</v>
      </c>
      <c r="U724" s="556" t="str">
        <f t="shared" ca="1" si="117"/>
        <v/>
      </c>
      <c r="V724" s="494">
        <v>11</v>
      </c>
      <c r="W724" s="556" t="str">
        <f t="shared" ca="1" si="118"/>
        <v/>
      </c>
      <c r="X724" s="494" t="s">
        <v>1450</v>
      </c>
      <c r="Y724" s="547" t="str">
        <f t="shared" ca="1" si="114"/>
        <v/>
      </c>
      <c r="Z724" s="494" t="s">
        <v>1451</v>
      </c>
      <c r="AA724" s="547" t="str">
        <f t="shared" ca="1" si="115"/>
        <v/>
      </c>
      <c r="AB724" s="494" t="s">
        <v>1452</v>
      </c>
      <c r="AC724" s="547" t="str">
        <f t="shared" ca="1" si="116"/>
        <v/>
      </c>
      <c r="AD724" s="557"/>
      <c r="AE724" s="958"/>
    </row>
    <row r="725" spans="1:31" ht="15" customHeight="1">
      <c r="A725" s="957">
        <v>104</v>
      </c>
      <c r="B725" s="566" t="s">
        <v>493</v>
      </c>
      <c r="C725" s="567" t="s">
        <v>1443</v>
      </c>
      <c r="D725" s="958">
        <v>1.3</v>
      </c>
      <c r="E725" s="959" t="s">
        <v>335</v>
      </c>
      <c r="F725" s="558" t="s">
        <v>1455</v>
      </c>
      <c r="G725" s="558">
        <v>1099</v>
      </c>
      <c r="H725" s="558" t="s">
        <v>1529</v>
      </c>
      <c r="I725" s="559" t="s">
        <v>1530</v>
      </c>
      <c r="J725" s="567" t="s">
        <v>1445</v>
      </c>
      <c r="K725" s="961" t="s">
        <v>1373</v>
      </c>
      <c r="L725" s="555" t="str">
        <f t="shared" ca="1" si="111"/>
        <v/>
      </c>
      <c r="M725" s="494" t="s">
        <v>1446</v>
      </c>
      <c r="N725" s="555" t="str">
        <f t="shared" ca="1" si="112"/>
        <v/>
      </c>
      <c r="O725" s="494" t="s">
        <v>1447</v>
      </c>
      <c r="P725" s="555" t="str">
        <f t="shared" ca="1" si="113"/>
        <v/>
      </c>
      <c r="Q725" s="494" t="s">
        <v>1448</v>
      </c>
      <c r="R725" s="494" t="str">
        <f t="shared" si="120"/>
        <v>I725</v>
      </c>
      <c r="S725" s="494" t="s">
        <v>1491</v>
      </c>
      <c r="T725" s="494">
        <v>10</v>
      </c>
      <c r="U725" s="556" t="str">
        <f t="shared" ca="1" si="117"/>
        <v/>
      </c>
      <c r="V725" s="494">
        <v>11</v>
      </c>
      <c r="W725" s="556" t="str">
        <f t="shared" ca="1" si="118"/>
        <v/>
      </c>
      <c r="X725" s="494" t="s">
        <v>1450</v>
      </c>
      <c r="Y725" s="547" t="str">
        <f t="shared" ca="1" si="114"/>
        <v/>
      </c>
      <c r="Z725" s="494" t="s">
        <v>1451</v>
      </c>
      <c r="AA725" s="547" t="str">
        <f t="shared" ca="1" si="115"/>
        <v/>
      </c>
      <c r="AB725" s="494" t="s">
        <v>1452</v>
      </c>
      <c r="AC725" s="547" t="str">
        <f t="shared" ca="1" si="116"/>
        <v/>
      </c>
      <c r="AD725" s="557"/>
      <c r="AE725" s="958"/>
    </row>
    <row r="726" spans="1:31" ht="15" customHeight="1">
      <c r="A726" s="957">
        <v>104</v>
      </c>
      <c r="B726" s="566" t="s">
        <v>493</v>
      </c>
      <c r="C726" s="567" t="s">
        <v>1443</v>
      </c>
      <c r="D726" s="958">
        <v>1.3</v>
      </c>
      <c r="E726" s="959" t="s">
        <v>335</v>
      </c>
      <c r="F726" s="558" t="s">
        <v>1455</v>
      </c>
      <c r="G726" s="558">
        <v>1100</v>
      </c>
      <c r="H726" s="558" t="s">
        <v>1531</v>
      </c>
      <c r="I726" s="559" t="s">
        <v>1532</v>
      </c>
      <c r="J726" s="567" t="s">
        <v>1445</v>
      </c>
      <c r="K726" s="961" t="s">
        <v>1373</v>
      </c>
      <c r="L726" s="555" t="str">
        <f t="shared" ca="1" si="111"/>
        <v/>
      </c>
      <c r="M726" s="494" t="s">
        <v>1446</v>
      </c>
      <c r="N726" s="555" t="str">
        <f t="shared" ca="1" si="112"/>
        <v/>
      </c>
      <c r="O726" s="494" t="s">
        <v>1447</v>
      </c>
      <c r="P726" s="555" t="str">
        <f t="shared" ca="1" si="113"/>
        <v/>
      </c>
      <c r="Q726" s="494" t="s">
        <v>1448</v>
      </c>
      <c r="R726" s="494" t="str">
        <f t="shared" si="120"/>
        <v>I726</v>
      </c>
      <c r="S726" s="494" t="s">
        <v>1491</v>
      </c>
      <c r="T726" s="494">
        <v>10</v>
      </c>
      <c r="U726" s="556" t="str">
        <f t="shared" ca="1" si="117"/>
        <v/>
      </c>
      <c r="V726" s="494">
        <v>11</v>
      </c>
      <c r="W726" s="556" t="str">
        <f t="shared" ca="1" si="118"/>
        <v/>
      </c>
      <c r="X726" s="494" t="s">
        <v>1450</v>
      </c>
      <c r="Y726" s="547" t="str">
        <f t="shared" ca="1" si="114"/>
        <v/>
      </c>
      <c r="Z726" s="494" t="s">
        <v>1451</v>
      </c>
      <c r="AA726" s="547" t="str">
        <f t="shared" ca="1" si="115"/>
        <v/>
      </c>
      <c r="AB726" s="494" t="s">
        <v>1452</v>
      </c>
      <c r="AC726" s="547" t="str">
        <f t="shared" ca="1" si="116"/>
        <v/>
      </c>
      <c r="AD726" s="557"/>
      <c r="AE726" s="958"/>
    </row>
    <row r="727" spans="1:31" ht="15" customHeight="1">
      <c r="A727" s="957">
        <v>104</v>
      </c>
      <c r="B727" s="566" t="s">
        <v>493</v>
      </c>
      <c r="C727" s="567" t="s">
        <v>1443</v>
      </c>
      <c r="D727" s="958">
        <v>1.3</v>
      </c>
      <c r="E727" s="959" t="s">
        <v>335</v>
      </c>
      <c r="F727" s="558" t="s">
        <v>1455</v>
      </c>
      <c r="G727" s="558">
        <v>1101</v>
      </c>
      <c r="H727" s="558" t="s">
        <v>1533</v>
      </c>
      <c r="I727" s="559" t="s">
        <v>1534</v>
      </c>
      <c r="J727" s="567" t="s">
        <v>1445</v>
      </c>
      <c r="K727" s="961" t="s">
        <v>1373</v>
      </c>
      <c r="L727" s="555" t="str">
        <f t="shared" ca="1" si="111"/>
        <v/>
      </c>
      <c r="M727" s="494" t="s">
        <v>1446</v>
      </c>
      <c r="N727" s="555" t="str">
        <f t="shared" ca="1" si="112"/>
        <v/>
      </c>
      <c r="O727" s="494" t="s">
        <v>1447</v>
      </c>
      <c r="P727" s="555" t="str">
        <f t="shared" ca="1" si="113"/>
        <v/>
      </c>
      <c r="Q727" s="494" t="s">
        <v>1448</v>
      </c>
      <c r="R727" s="494" t="str">
        <f t="shared" si="120"/>
        <v>I727</v>
      </c>
      <c r="S727" s="494" t="s">
        <v>1491</v>
      </c>
      <c r="T727" s="494">
        <v>10</v>
      </c>
      <c r="U727" s="556" t="str">
        <f t="shared" ca="1" si="117"/>
        <v/>
      </c>
      <c r="V727" s="494">
        <v>11</v>
      </c>
      <c r="W727" s="556" t="str">
        <f t="shared" ca="1" si="118"/>
        <v/>
      </c>
      <c r="X727" s="494" t="s">
        <v>1450</v>
      </c>
      <c r="Y727" s="547" t="str">
        <f t="shared" ca="1" si="114"/>
        <v/>
      </c>
      <c r="Z727" s="494" t="s">
        <v>1451</v>
      </c>
      <c r="AA727" s="547" t="str">
        <f t="shared" ca="1" si="115"/>
        <v/>
      </c>
      <c r="AB727" s="494" t="s">
        <v>1452</v>
      </c>
      <c r="AC727" s="547" t="str">
        <f t="shared" ca="1" si="116"/>
        <v/>
      </c>
      <c r="AD727" s="557"/>
      <c r="AE727" s="958"/>
    </row>
    <row r="728" spans="1:31" ht="15" customHeight="1">
      <c r="A728" s="957">
        <v>104</v>
      </c>
      <c r="B728" s="566" t="s">
        <v>493</v>
      </c>
      <c r="C728" s="567" t="s">
        <v>1443</v>
      </c>
      <c r="D728" s="958">
        <v>1.3</v>
      </c>
      <c r="E728" s="959" t="s">
        <v>335</v>
      </c>
      <c r="F728" s="558" t="s">
        <v>1455</v>
      </c>
      <c r="G728" s="558">
        <v>1102</v>
      </c>
      <c r="H728" s="558" t="s">
        <v>1535</v>
      </c>
      <c r="I728" s="559" t="s">
        <v>1536</v>
      </c>
      <c r="J728" s="567" t="s">
        <v>1445</v>
      </c>
      <c r="K728" s="961" t="s">
        <v>1373</v>
      </c>
      <c r="L728" s="555" t="str">
        <f t="shared" ca="1" si="111"/>
        <v/>
      </c>
      <c r="M728" s="494" t="s">
        <v>1446</v>
      </c>
      <c r="N728" s="555" t="str">
        <f t="shared" ca="1" si="112"/>
        <v/>
      </c>
      <c r="O728" s="494" t="s">
        <v>1447</v>
      </c>
      <c r="P728" s="555" t="str">
        <f t="shared" ca="1" si="113"/>
        <v/>
      </c>
      <c r="Q728" s="494" t="s">
        <v>1448</v>
      </c>
      <c r="R728" s="494" t="str">
        <f t="shared" si="120"/>
        <v>I728</v>
      </c>
      <c r="S728" s="494" t="s">
        <v>1491</v>
      </c>
      <c r="T728" s="494">
        <v>10</v>
      </c>
      <c r="U728" s="556" t="str">
        <f t="shared" ca="1" si="117"/>
        <v/>
      </c>
      <c r="V728" s="494">
        <v>11</v>
      </c>
      <c r="W728" s="556" t="str">
        <f t="shared" ca="1" si="118"/>
        <v/>
      </c>
      <c r="X728" s="494" t="s">
        <v>1450</v>
      </c>
      <c r="Y728" s="547" t="str">
        <f t="shared" ca="1" si="114"/>
        <v/>
      </c>
      <c r="Z728" s="494" t="s">
        <v>1451</v>
      </c>
      <c r="AA728" s="547" t="str">
        <f t="shared" ca="1" si="115"/>
        <v/>
      </c>
      <c r="AB728" s="494" t="s">
        <v>1452</v>
      </c>
      <c r="AC728" s="547" t="str">
        <f t="shared" ca="1" si="116"/>
        <v/>
      </c>
      <c r="AD728" s="557"/>
      <c r="AE728" s="958"/>
    </row>
    <row r="729" spans="1:31" ht="15" customHeight="1">
      <c r="A729" s="957">
        <v>104</v>
      </c>
      <c r="B729" s="566" t="s">
        <v>493</v>
      </c>
      <c r="C729" s="567" t="s">
        <v>1443</v>
      </c>
      <c r="D729" s="958">
        <v>1.3</v>
      </c>
      <c r="E729" s="959" t="s">
        <v>335</v>
      </c>
      <c r="F729" s="558" t="s">
        <v>1455</v>
      </c>
      <c r="G729" s="558">
        <v>1104</v>
      </c>
      <c r="H729" s="558" t="s">
        <v>1472</v>
      </c>
      <c r="I729" s="559" t="s">
        <v>1473</v>
      </c>
      <c r="J729" s="567" t="s">
        <v>1445</v>
      </c>
      <c r="K729" s="961" t="s">
        <v>1373</v>
      </c>
      <c r="L729" s="555" t="str">
        <f t="shared" ca="1" si="111"/>
        <v/>
      </c>
      <c r="M729" s="494" t="s">
        <v>1446</v>
      </c>
      <c r="N729" s="555" t="str">
        <f t="shared" ca="1" si="112"/>
        <v/>
      </c>
      <c r="O729" s="494" t="s">
        <v>1447</v>
      </c>
      <c r="P729" s="555" t="str">
        <f t="shared" ca="1" si="113"/>
        <v/>
      </c>
      <c r="Q729" s="494" t="s">
        <v>1448</v>
      </c>
      <c r="R729" s="494" t="str">
        <f t="shared" si="119"/>
        <v>H729</v>
      </c>
      <c r="S729" s="494" t="s">
        <v>1449</v>
      </c>
      <c r="T729" s="494">
        <v>10</v>
      </c>
      <c r="U729" s="556" t="str">
        <f t="shared" ca="1" si="117"/>
        <v/>
      </c>
      <c r="V729" s="494">
        <v>11</v>
      </c>
      <c r="W729" s="556" t="str">
        <f t="shared" ca="1" si="118"/>
        <v/>
      </c>
      <c r="X729" s="494" t="s">
        <v>1450</v>
      </c>
      <c r="Y729" s="547" t="str">
        <f t="shared" ca="1" si="114"/>
        <v/>
      </c>
      <c r="Z729" s="494" t="s">
        <v>1451</v>
      </c>
      <c r="AA729" s="547" t="str">
        <f t="shared" ca="1" si="115"/>
        <v/>
      </c>
      <c r="AB729" s="494" t="s">
        <v>1452</v>
      </c>
      <c r="AC729" s="547" t="str">
        <f t="shared" ca="1" si="116"/>
        <v/>
      </c>
      <c r="AD729" s="557"/>
      <c r="AE729" s="958"/>
    </row>
    <row r="730" spans="1:31" ht="15" customHeight="1">
      <c r="A730" s="957">
        <v>104</v>
      </c>
      <c r="B730" s="566" t="s">
        <v>493</v>
      </c>
      <c r="C730" s="567" t="s">
        <v>1443</v>
      </c>
      <c r="D730" s="958">
        <v>1.3</v>
      </c>
      <c r="E730" s="959" t="s">
        <v>335</v>
      </c>
      <c r="F730" s="558" t="s">
        <v>1455</v>
      </c>
      <c r="G730" s="558">
        <v>1105</v>
      </c>
      <c r="H730" s="558" t="s">
        <v>1474</v>
      </c>
      <c r="I730" s="559" t="s">
        <v>1537</v>
      </c>
      <c r="J730" s="567" t="s">
        <v>1445</v>
      </c>
      <c r="K730" s="961" t="s">
        <v>1373</v>
      </c>
      <c r="L730" s="555" t="str">
        <f t="shared" ca="1" si="111"/>
        <v/>
      </c>
      <c r="M730" s="494" t="s">
        <v>1446</v>
      </c>
      <c r="N730" s="555" t="str">
        <f t="shared" ca="1" si="112"/>
        <v/>
      </c>
      <c r="O730" s="494" t="s">
        <v>1447</v>
      </c>
      <c r="P730" s="555" t="str">
        <f t="shared" ca="1" si="113"/>
        <v/>
      </c>
      <c r="Q730" s="494" t="s">
        <v>1448</v>
      </c>
      <c r="R730" s="494" t="str">
        <f t="shared" si="119"/>
        <v>H730</v>
      </c>
      <c r="S730" s="494" t="s">
        <v>1449</v>
      </c>
      <c r="T730" s="494">
        <v>10</v>
      </c>
      <c r="U730" s="556" t="str">
        <f t="shared" ca="1" si="117"/>
        <v/>
      </c>
      <c r="V730" s="494">
        <v>11</v>
      </c>
      <c r="W730" s="556" t="str">
        <f t="shared" ca="1" si="118"/>
        <v/>
      </c>
      <c r="X730" s="494" t="s">
        <v>1450</v>
      </c>
      <c r="Y730" s="547" t="str">
        <f t="shared" ca="1" si="114"/>
        <v/>
      </c>
      <c r="Z730" s="494" t="s">
        <v>1451</v>
      </c>
      <c r="AA730" s="547" t="str">
        <f t="shared" ca="1" si="115"/>
        <v/>
      </c>
      <c r="AB730" s="494" t="s">
        <v>1452</v>
      </c>
      <c r="AC730" s="547" t="str">
        <f t="shared" ca="1" si="116"/>
        <v/>
      </c>
      <c r="AD730" s="557"/>
      <c r="AE730" s="958"/>
    </row>
    <row r="731" spans="1:31" ht="15" customHeight="1">
      <c r="A731" s="957">
        <v>104</v>
      </c>
      <c r="B731" s="566" t="s">
        <v>493</v>
      </c>
      <c r="C731" s="567" t="s">
        <v>1443</v>
      </c>
      <c r="D731" s="958">
        <v>1.3</v>
      </c>
      <c r="E731" s="959" t="s">
        <v>335</v>
      </c>
      <c r="F731" s="558" t="s">
        <v>1455</v>
      </c>
      <c r="G731" s="558">
        <v>1106</v>
      </c>
      <c r="H731" s="558" t="s">
        <v>1538</v>
      </c>
      <c r="I731" s="559" t="s">
        <v>1515</v>
      </c>
      <c r="J731" s="567" t="s">
        <v>1445</v>
      </c>
      <c r="K731" s="961" t="s">
        <v>1373</v>
      </c>
      <c r="L731" s="555" t="str">
        <f t="shared" ca="1" si="111"/>
        <v/>
      </c>
      <c r="M731" s="494" t="s">
        <v>1446</v>
      </c>
      <c r="N731" s="555" t="str">
        <f t="shared" ca="1" si="112"/>
        <v/>
      </c>
      <c r="O731" s="494" t="s">
        <v>1447</v>
      </c>
      <c r="P731" s="555" t="str">
        <f t="shared" ca="1" si="113"/>
        <v/>
      </c>
      <c r="Q731" s="494" t="s">
        <v>1448</v>
      </c>
      <c r="R731" s="494" t="str">
        <f t="shared" si="119"/>
        <v>H731</v>
      </c>
      <c r="S731" s="494" t="s">
        <v>1449</v>
      </c>
      <c r="T731" s="494">
        <v>10</v>
      </c>
      <c r="U731" s="556" t="str">
        <f t="shared" ca="1" si="117"/>
        <v/>
      </c>
      <c r="V731" s="494">
        <v>11</v>
      </c>
      <c r="W731" s="556" t="str">
        <f t="shared" ca="1" si="118"/>
        <v/>
      </c>
      <c r="X731" s="494" t="s">
        <v>1450</v>
      </c>
      <c r="Y731" s="547" t="str">
        <f t="shared" ca="1" si="114"/>
        <v/>
      </c>
      <c r="Z731" s="494" t="s">
        <v>1451</v>
      </c>
      <c r="AA731" s="547" t="str">
        <f t="shared" ca="1" si="115"/>
        <v/>
      </c>
      <c r="AB731" s="494" t="s">
        <v>1452</v>
      </c>
      <c r="AC731" s="547" t="str">
        <f t="shared" ca="1" si="116"/>
        <v/>
      </c>
      <c r="AD731" s="557"/>
      <c r="AE731" s="958"/>
    </row>
    <row r="732" spans="1:31" ht="15" customHeight="1">
      <c r="A732" s="957">
        <v>104</v>
      </c>
      <c r="B732" s="566" t="s">
        <v>493</v>
      </c>
      <c r="C732" s="567" t="s">
        <v>1443</v>
      </c>
      <c r="D732" s="958">
        <v>1.3</v>
      </c>
      <c r="E732" s="959" t="s">
        <v>335</v>
      </c>
      <c r="F732" s="558" t="s">
        <v>1455</v>
      </c>
      <c r="G732" s="558">
        <v>1108</v>
      </c>
      <c r="H732" s="558" t="s">
        <v>1476</v>
      </c>
      <c r="I732" s="559" t="s">
        <v>1477</v>
      </c>
      <c r="J732" s="567" t="s">
        <v>1445</v>
      </c>
      <c r="K732" s="961" t="s">
        <v>1373</v>
      </c>
      <c r="L732" s="555" t="str">
        <f t="shared" ca="1" si="111"/>
        <v/>
      </c>
      <c r="M732" s="494" t="s">
        <v>1446</v>
      </c>
      <c r="N732" s="555" t="str">
        <f t="shared" ca="1" si="112"/>
        <v/>
      </c>
      <c r="O732" s="494" t="s">
        <v>1447</v>
      </c>
      <c r="P732" s="555" t="str">
        <f t="shared" ca="1" si="113"/>
        <v/>
      </c>
      <c r="Q732" s="494" t="s">
        <v>1448</v>
      </c>
      <c r="R732" s="494" t="str">
        <f t="shared" si="119"/>
        <v>H732</v>
      </c>
      <c r="S732" s="494" t="s">
        <v>1449</v>
      </c>
      <c r="T732" s="494">
        <v>10</v>
      </c>
      <c r="U732" s="556" t="str">
        <f t="shared" ca="1" si="117"/>
        <v/>
      </c>
      <c r="V732" s="494">
        <v>11</v>
      </c>
      <c r="W732" s="556" t="str">
        <f t="shared" ca="1" si="118"/>
        <v/>
      </c>
      <c r="X732" s="494" t="s">
        <v>1450</v>
      </c>
      <c r="Y732" s="547" t="str">
        <f t="shared" ca="1" si="114"/>
        <v/>
      </c>
      <c r="Z732" s="494" t="s">
        <v>1451</v>
      </c>
      <c r="AA732" s="547" t="str">
        <f t="shared" ca="1" si="115"/>
        <v/>
      </c>
      <c r="AB732" s="494" t="s">
        <v>1452</v>
      </c>
      <c r="AC732" s="547" t="str">
        <f t="shared" ca="1" si="116"/>
        <v/>
      </c>
      <c r="AD732" s="557"/>
      <c r="AE732" s="958"/>
    </row>
    <row r="733" spans="1:31" ht="15" customHeight="1">
      <c r="A733" s="957">
        <v>104</v>
      </c>
      <c r="B733" s="566" t="s">
        <v>493</v>
      </c>
      <c r="C733" s="567" t="s">
        <v>1443</v>
      </c>
      <c r="D733" s="958">
        <v>1.3</v>
      </c>
      <c r="E733" s="959" t="s">
        <v>335</v>
      </c>
      <c r="F733" s="558" t="s">
        <v>1455</v>
      </c>
      <c r="G733" s="558">
        <v>1109</v>
      </c>
      <c r="H733" s="558" t="s">
        <v>1478</v>
      </c>
      <c r="I733" s="559" t="s">
        <v>1539</v>
      </c>
      <c r="J733" s="567" t="s">
        <v>1445</v>
      </c>
      <c r="K733" s="961" t="s">
        <v>1373</v>
      </c>
      <c r="L733" s="555" t="str">
        <f t="shared" ca="1" si="111"/>
        <v/>
      </c>
      <c r="M733" s="494" t="s">
        <v>1446</v>
      </c>
      <c r="N733" s="555" t="str">
        <f t="shared" ca="1" si="112"/>
        <v/>
      </c>
      <c r="O733" s="494" t="s">
        <v>1447</v>
      </c>
      <c r="P733" s="555" t="str">
        <f t="shared" ca="1" si="113"/>
        <v/>
      </c>
      <c r="Q733" s="494" t="s">
        <v>1448</v>
      </c>
      <c r="R733" s="494" t="str">
        <f t="shared" si="119"/>
        <v>H733</v>
      </c>
      <c r="S733" s="494" t="s">
        <v>1449</v>
      </c>
      <c r="T733" s="494">
        <v>10</v>
      </c>
      <c r="U733" s="556" t="str">
        <f t="shared" ca="1" si="117"/>
        <v/>
      </c>
      <c r="V733" s="494">
        <v>11</v>
      </c>
      <c r="W733" s="556" t="str">
        <f t="shared" ca="1" si="118"/>
        <v/>
      </c>
      <c r="X733" s="494" t="s">
        <v>1450</v>
      </c>
      <c r="Y733" s="547" t="str">
        <f t="shared" ca="1" si="114"/>
        <v/>
      </c>
      <c r="Z733" s="494" t="s">
        <v>1451</v>
      </c>
      <c r="AA733" s="547" t="str">
        <f t="shared" ca="1" si="115"/>
        <v/>
      </c>
      <c r="AB733" s="494" t="s">
        <v>1452</v>
      </c>
      <c r="AC733" s="547" t="str">
        <f t="shared" ca="1" si="116"/>
        <v/>
      </c>
      <c r="AD733" s="557"/>
      <c r="AE733" s="958"/>
    </row>
    <row r="734" spans="1:31" ht="15" customHeight="1">
      <c r="A734" s="957">
        <v>104</v>
      </c>
      <c r="B734" s="566" t="s">
        <v>493</v>
      </c>
      <c r="C734" s="567" t="s">
        <v>1443</v>
      </c>
      <c r="D734" s="958">
        <v>1.3</v>
      </c>
      <c r="E734" s="959" t="s">
        <v>335</v>
      </c>
      <c r="F734" s="558" t="s">
        <v>1455</v>
      </c>
      <c r="G734" s="558">
        <v>1110</v>
      </c>
      <c r="H734" s="558" t="s">
        <v>1540</v>
      </c>
      <c r="I734" s="559" t="s">
        <v>1515</v>
      </c>
      <c r="J734" s="567" t="s">
        <v>1445</v>
      </c>
      <c r="K734" s="961" t="s">
        <v>1373</v>
      </c>
      <c r="L734" s="555" t="str">
        <f t="shared" ca="1" si="111"/>
        <v/>
      </c>
      <c r="M734" s="494" t="s">
        <v>1446</v>
      </c>
      <c r="N734" s="555" t="str">
        <f t="shared" ca="1" si="112"/>
        <v/>
      </c>
      <c r="O734" s="494" t="s">
        <v>1447</v>
      </c>
      <c r="P734" s="555" t="str">
        <f t="shared" ca="1" si="113"/>
        <v/>
      </c>
      <c r="Q734" s="494" t="s">
        <v>1448</v>
      </c>
      <c r="R734" s="494" t="str">
        <f t="shared" si="119"/>
        <v>H734</v>
      </c>
      <c r="S734" s="494" t="s">
        <v>1449</v>
      </c>
      <c r="T734" s="494">
        <v>10</v>
      </c>
      <c r="U734" s="556" t="str">
        <f t="shared" ca="1" si="117"/>
        <v/>
      </c>
      <c r="V734" s="494">
        <v>11</v>
      </c>
      <c r="W734" s="556" t="str">
        <f t="shared" ca="1" si="118"/>
        <v/>
      </c>
      <c r="X734" s="494" t="s">
        <v>1450</v>
      </c>
      <c r="Y734" s="547" t="str">
        <f t="shared" ca="1" si="114"/>
        <v/>
      </c>
      <c r="Z734" s="494" t="s">
        <v>1451</v>
      </c>
      <c r="AA734" s="547" t="str">
        <f t="shared" ca="1" si="115"/>
        <v/>
      </c>
      <c r="AB734" s="494" t="s">
        <v>1452</v>
      </c>
      <c r="AC734" s="547" t="str">
        <f t="shared" ca="1" si="116"/>
        <v/>
      </c>
      <c r="AD734" s="557"/>
      <c r="AE734" s="958"/>
    </row>
    <row r="735" spans="1:31" ht="15" customHeight="1">
      <c r="A735" s="957">
        <v>104</v>
      </c>
      <c r="B735" s="566" t="s">
        <v>493</v>
      </c>
      <c r="C735" s="567" t="s">
        <v>1443</v>
      </c>
      <c r="D735" s="958">
        <v>1.3</v>
      </c>
      <c r="E735" s="959" t="s">
        <v>335</v>
      </c>
      <c r="F735" s="558" t="s">
        <v>1455</v>
      </c>
      <c r="G735" s="558">
        <v>1112</v>
      </c>
      <c r="H735" s="558" t="s">
        <v>1541</v>
      </c>
      <c r="I735" s="559" t="s">
        <v>1542</v>
      </c>
      <c r="J735" s="567" t="s">
        <v>1445</v>
      </c>
      <c r="K735" s="961" t="s">
        <v>1373</v>
      </c>
      <c r="L735" s="555" t="str">
        <f t="shared" ca="1" si="111"/>
        <v/>
      </c>
      <c r="M735" s="494" t="s">
        <v>1446</v>
      </c>
      <c r="N735" s="555" t="str">
        <f t="shared" ca="1" si="112"/>
        <v/>
      </c>
      <c r="O735" s="494" t="s">
        <v>1447</v>
      </c>
      <c r="P735" s="555" t="str">
        <f t="shared" ca="1" si="113"/>
        <v/>
      </c>
      <c r="Q735" s="494" t="s">
        <v>1448</v>
      </c>
      <c r="R735" s="494" t="str">
        <f>CONCATENATE("I",ROW(J735))</f>
        <v>I735</v>
      </c>
      <c r="S735" s="494" t="s">
        <v>1491</v>
      </c>
      <c r="T735" s="494">
        <v>10</v>
      </c>
      <c r="U735" s="556" t="str">
        <f t="shared" ca="1" si="117"/>
        <v/>
      </c>
      <c r="V735" s="494">
        <v>11</v>
      </c>
      <c r="W735" s="556" t="str">
        <f t="shared" ca="1" si="118"/>
        <v/>
      </c>
      <c r="X735" s="494" t="s">
        <v>1450</v>
      </c>
      <c r="Y735" s="547" t="str">
        <f t="shared" ca="1" si="114"/>
        <v/>
      </c>
      <c r="Z735" s="494" t="s">
        <v>1451</v>
      </c>
      <c r="AA735" s="547" t="str">
        <f t="shared" ca="1" si="115"/>
        <v/>
      </c>
      <c r="AB735" s="494" t="s">
        <v>1452</v>
      </c>
      <c r="AC735" s="547" t="str">
        <f t="shared" ca="1" si="116"/>
        <v/>
      </c>
      <c r="AD735" s="557"/>
      <c r="AE735" s="958"/>
    </row>
    <row r="736" spans="1:31" ht="15" customHeight="1">
      <c r="A736" s="957">
        <v>104</v>
      </c>
      <c r="B736" s="566" t="s">
        <v>493</v>
      </c>
      <c r="C736" s="567" t="s">
        <v>1443</v>
      </c>
      <c r="D736" s="958">
        <v>1.3</v>
      </c>
      <c r="E736" s="959" t="s">
        <v>335</v>
      </c>
      <c r="F736" s="558" t="s">
        <v>1455</v>
      </c>
      <c r="G736" s="558">
        <v>1113</v>
      </c>
      <c r="H736" s="558" t="s">
        <v>1543</v>
      </c>
      <c r="I736" s="559" t="s">
        <v>1544</v>
      </c>
      <c r="J736" s="567" t="s">
        <v>1445</v>
      </c>
      <c r="K736" s="961" t="s">
        <v>1373</v>
      </c>
      <c r="L736" s="555" t="str">
        <f t="shared" ca="1" si="111"/>
        <v/>
      </c>
      <c r="M736" s="494" t="s">
        <v>1446</v>
      </c>
      <c r="N736" s="555" t="str">
        <f t="shared" ca="1" si="112"/>
        <v/>
      </c>
      <c r="O736" s="494" t="s">
        <v>1447</v>
      </c>
      <c r="P736" s="555" t="str">
        <f t="shared" ca="1" si="113"/>
        <v/>
      </c>
      <c r="Q736" s="494" t="s">
        <v>1448</v>
      </c>
      <c r="R736" s="494" t="str">
        <f>CONCATENATE("I",ROW(J736))</f>
        <v>I736</v>
      </c>
      <c r="S736" s="494" t="s">
        <v>1491</v>
      </c>
      <c r="T736" s="494">
        <v>10</v>
      </c>
      <c r="U736" s="556" t="str">
        <f t="shared" ca="1" si="117"/>
        <v/>
      </c>
      <c r="V736" s="494">
        <v>11</v>
      </c>
      <c r="W736" s="556" t="str">
        <f t="shared" ca="1" si="118"/>
        <v/>
      </c>
      <c r="X736" s="494" t="s">
        <v>1450</v>
      </c>
      <c r="Y736" s="547" t="str">
        <f t="shared" ca="1" si="114"/>
        <v/>
      </c>
      <c r="Z736" s="494" t="s">
        <v>1451</v>
      </c>
      <c r="AA736" s="547" t="str">
        <f t="shared" ca="1" si="115"/>
        <v/>
      </c>
      <c r="AB736" s="494" t="s">
        <v>1452</v>
      </c>
      <c r="AC736" s="547" t="str">
        <f t="shared" ca="1" si="116"/>
        <v/>
      </c>
      <c r="AD736" s="557"/>
      <c r="AE736" s="958"/>
    </row>
    <row r="737" spans="1:31" ht="15" customHeight="1">
      <c r="A737" s="957">
        <v>104</v>
      </c>
      <c r="B737" s="566" t="s">
        <v>493</v>
      </c>
      <c r="C737" s="567" t="s">
        <v>1443</v>
      </c>
      <c r="D737" s="958">
        <v>1.3</v>
      </c>
      <c r="E737" s="959" t="s">
        <v>335</v>
      </c>
      <c r="F737" s="558" t="s">
        <v>1455</v>
      </c>
      <c r="G737" s="558">
        <v>1114</v>
      </c>
      <c r="H737" s="558" t="s">
        <v>1545</v>
      </c>
      <c r="I737" s="559" t="s">
        <v>1546</v>
      </c>
      <c r="J737" s="567" t="s">
        <v>1445</v>
      </c>
      <c r="K737" s="961" t="s">
        <v>1373</v>
      </c>
      <c r="L737" s="555" t="str">
        <f t="shared" ca="1" si="111"/>
        <v/>
      </c>
      <c r="M737" s="494" t="s">
        <v>1446</v>
      </c>
      <c r="N737" s="555" t="str">
        <f t="shared" ca="1" si="112"/>
        <v/>
      </c>
      <c r="O737" s="494" t="s">
        <v>1447</v>
      </c>
      <c r="P737" s="555" t="str">
        <f t="shared" ca="1" si="113"/>
        <v/>
      </c>
      <c r="Q737" s="494" t="s">
        <v>1448</v>
      </c>
      <c r="R737" s="494" t="str">
        <f>CONCATENATE("I",ROW(J737))</f>
        <v>I737</v>
      </c>
      <c r="S737" s="494" t="s">
        <v>1491</v>
      </c>
      <c r="T737" s="494">
        <v>10</v>
      </c>
      <c r="U737" s="556" t="str">
        <f t="shared" ca="1" si="117"/>
        <v/>
      </c>
      <c r="V737" s="494">
        <v>11</v>
      </c>
      <c r="W737" s="556" t="str">
        <f t="shared" ca="1" si="118"/>
        <v/>
      </c>
      <c r="X737" s="494" t="s">
        <v>1450</v>
      </c>
      <c r="Y737" s="547" t="str">
        <f t="shared" ca="1" si="114"/>
        <v/>
      </c>
      <c r="Z737" s="494" t="s">
        <v>1451</v>
      </c>
      <c r="AA737" s="547" t="str">
        <f t="shared" ca="1" si="115"/>
        <v/>
      </c>
      <c r="AB737" s="494" t="s">
        <v>1452</v>
      </c>
      <c r="AC737" s="547" t="str">
        <f t="shared" ca="1" si="116"/>
        <v/>
      </c>
      <c r="AD737" s="557"/>
      <c r="AE737" s="958"/>
    </row>
    <row r="738" spans="1:31" ht="15" customHeight="1">
      <c r="A738" s="957">
        <v>104</v>
      </c>
      <c r="B738" s="566" t="s">
        <v>493</v>
      </c>
      <c r="C738" s="567" t="s">
        <v>1443</v>
      </c>
      <c r="D738" s="958">
        <v>1.3</v>
      </c>
      <c r="E738" s="959" t="s">
        <v>335</v>
      </c>
      <c r="F738" s="558" t="s">
        <v>1455</v>
      </c>
      <c r="G738" s="558">
        <v>1116</v>
      </c>
      <c r="H738" s="558" t="s">
        <v>1480</v>
      </c>
      <c r="I738" s="559" t="s">
        <v>1481</v>
      </c>
      <c r="J738" s="567" t="s">
        <v>1445</v>
      </c>
      <c r="K738" s="961" t="s">
        <v>1373</v>
      </c>
      <c r="L738" s="555" t="str">
        <f t="shared" ca="1" si="111"/>
        <v/>
      </c>
      <c r="M738" s="494" t="s">
        <v>1446</v>
      </c>
      <c r="N738" s="555" t="str">
        <f t="shared" ca="1" si="112"/>
        <v/>
      </c>
      <c r="O738" s="494" t="s">
        <v>1447</v>
      </c>
      <c r="P738" s="555" t="str">
        <f t="shared" ca="1" si="113"/>
        <v/>
      </c>
      <c r="Q738" s="494" t="s">
        <v>1448</v>
      </c>
      <c r="R738" s="494" t="str">
        <f t="shared" si="119"/>
        <v>H738</v>
      </c>
      <c r="S738" s="494" t="s">
        <v>1449</v>
      </c>
      <c r="T738" s="494">
        <v>10</v>
      </c>
      <c r="U738" s="556" t="str">
        <f t="shared" ca="1" si="117"/>
        <v/>
      </c>
      <c r="V738" s="494">
        <v>11</v>
      </c>
      <c r="W738" s="556" t="str">
        <f t="shared" ca="1" si="118"/>
        <v/>
      </c>
      <c r="X738" s="494" t="s">
        <v>1450</v>
      </c>
      <c r="Y738" s="547" t="str">
        <f t="shared" ca="1" si="114"/>
        <v/>
      </c>
      <c r="Z738" s="494" t="s">
        <v>1451</v>
      </c>
      <c r="AA738" s="547" t="str">
        <f t="shared" ca="1" si="115"/>
        <v/>
      </c>
      <c r="AB738" s="494" t="s">
        <v>1452</v>
      </c>
      <c r="AC738" s="547" t="str">
        <f t="shared" ca="1" si="116"/>
        <v/>
      </c>
      <c r="AD738" s="557"/>
      <c r="AE738" s="958"/>
    </row>
    <row r="739" spans="1:31" ht="15" customHeight="1">
      <c r="A739" s="957">
        <v>104</v>
      </c>
      <c r="B739" s="566" t="s">
        <v>493</v>
      </c>
      <c r="C739" s="567" t="s">
        <v>1443</v>
      </c>
      <c r="D739" s="958">
        <v>1.3</v>
      </c>
      <c r="E739" s="959" t="s">
        <v>335</v>
      </c>
      <c r="F739" s="558" t="s">
        <v>1455</v>
      </c>
      <c r="G739" s="558">
        <v>1117</v>
      </c>
      <c r="H739" s="558" t="s">
        <v>1482</v>
      </c>
      <c r="I739" s="559" t="s">
        <v>1547</v>
      </c>
      <c r="J739" s="567" t="s">
        <v>1445</v>
      </c>
      <c r="K739" s="961" t="s">
        <v>1373</v>
      </c>
      <c r="L739" s="555" t="str">
        <f t="shared" ca="1" si="111"/>
        <v/>
      </c>
      <c r="M739" s="494" t="s">
        <v>1446</v>
      </c>
      <c r="N739" s="555" t="str">
        <f t="shared" ca="1" si="112"/>
        <v/>
      </c>
      <c r="O739" s="494" t="s">
        <v>1447</v>
      </c>
      <c r="P739" s="555" t="str">
        <f t="shared" ca="1" si="113"/>
        <v/>
      </c>
      <c r="Q739" s="494" t="s">
        <v>1448</v>
      </c>
      <c r="R739" s="494" t="str">
        <f t="shared" si="119"/>
        <v>H739</v>
      </c>
      <c r="S739" s="494" t="s">
        <v>1449</v>
      </c>
      <c r="T739" s="494">
        <v>10</v>
      </c>
      <c r="U739" s="556" t="str">
        <f t="shared" ca="1" si="117"/>
        <v/>
      </c>
      <c r="V739" s="494">
        <v>11</v>
      </c>
      <c r="W739" s="556" t="str">
        <f t="shared" ca="1" si="118"/>
        <v/>
      </c>
      <c r="X739" s="494" t="s">
        <v>1450</v>
      </c>
      <c r="Y739" s="547" t="str">
        <f t="shared" ca="1" si="114"/>
        <v/>
      </c>
      <c r="Z739" s="494" t="s">
        <v>1451</v>
      </c>
      <c r="AA739" s="547" t="str">
        <f t="shared" ca="1" si="115"/>
        <v/>
      </c>
      <c r="AB739" s="494" t="s">
        <v>1452</v>
      </c>
      <c r="AC739" s="547" t="str">
        <f t="shared" ca="1" si="116"/>
        <v/>
      </c>
      <c r="AD739" s="557"/>
      <c r="AE739" s="958"/>
    </row>
    <row r="740" spans="1:31" ht="15" customHeight="1">
      <c r="A740" s="957">
        <v>104</v>
      </c>
      <c r="B740" s="566" t="s">
        <v>493</v>
      </c>
      <c r="C740" s="567" t="s">
        <v>1443</v>
      </c>
      <c r="D740" s="958">
        <v>1.3</v>
      </c>
      <c r="E740" s="959" t="s">
        <v>335</v>
      </c>
      <c r="F740" s="558" t="s">
        <v>1455</v>
      </c>
      <c r="G740" s="558">
        <v>1118</v>
      </c>
      <c r="H740" s="558" t="s">
        <v>1548</v>
      </c>
      <c r="I740" s="559" t="s">
        <v>1549</v>
      </c>
      <c r="J740" s="567" t="s">
        <v>1445</v>
      </c>
      <c r="K740" s="961" t="s">
        <v>1373</v>
      </c>
      <c r="L740" s="555" t="str">
        <f t="shared" ca="1" si="111"/>
        <v/>
      </c>
      <c r="M740" s="494" t="s">
        <v>1446</v>
      </c>
      <c r="N740" s="555" t="str">
        <f t="shared" ca="1" si="112"/>
        <v/>
      </c>
      <c r="O740" s="494" t="s">
        <v>1447</v>
      </c>
      <c r="P740" s="555" t="str">
        <f t="shared" ca="1" si="113"/>
        <v/>
      </c>
      <c r="Q740" s="494" t="s">
        <v>1448</v>
      </c>
      <c r="R740" s="494" t="str">
        <f t="shared" si="119"/>
        <v>H740</v>
      </c>
      <c r="S740" s="494" t="s">
        <v>1449</v>
      </c>
      <c r="T740" s="494">
        <v>10</v>
      </c>
      <c r="U740" s="556" t="str">
        <f t="shared" ca="1" si="117"/>
        <v/>
      </c>
      <c r="V740" s="494">
        <v>11</v>
      </c>
      <c r="W740" s="556" t="str">
        <f t="shared" ca="1" si="118"/>
        <v/>
      </c>
      <c r="X740" s="494" t="s">
        <v>1450</v>
      </c>
      <c r="Y740" s="547" t="str">
        <f t="shared" ca="1" si="114"/>
        <v/>
      </c>
      <c r="Z740" s="494" t="s">
        <v>1451</v>
      </c>
      <c r="AA740" s="547" t="str">
        <f t="shared" ca="1" si="115"/>
        <v/>
      </c>
      <c r="AB740" s="494" t="s">
        <v>1452</v>
      </c>
      <c r="AC740" s="547" t="str">
        <f t="shared" ca="1" si="116"/>
        <v/>
      </c>
      <c r="AD740" s="557"/>
      <c r="AE740" s="958"/>
    </row>
    <row r="741" spans="1:31" ht="15" customHeight="1">
      <c r="A741" s="957">
        <v>104</v>
      </c>
      <c r="B741" s="566" t="s">
        <v>493</v>
      </c>
      <c r="C741" s="567" t="s">
        <v>1443</v>
      </c>
      <c r="D741" s="958">
        <v>1.3</v>
      </c>
      <c r="E741" s="959" t="s">
        <v>335</v>
      </c>
      <c r="F741" s="558" t="s">
        <v>1455</v>
      </c>
      <c r="G741" s="558">
        <v>1119</v>
      </c>
      <c r="H741" s="558" t="s">
        <v>1550</v>
      </c>
      <c r="I741" s="559" t="s">
        <v>1515</v>
      </c>
      <c r="J741" s="567" t="s">
        <v>1445</v>
      </c>
      <c r="K741" s="961" t="s">
        <v>1373</v>
      </c>
      <c r="L741" s="555" t="str">
        <f t="shared" ca="1" si="111"/>
        <v/>
      </c>
      <c r="M741" s="494" t="s">
        <v>1446</v>
      </c>
      <c r="N741" s="555" t="str">
        <f t="shared" ca="1" si="112"/>
        <v/>
      </c>
      <c r="O741" s="494" t="s">
        <v>1447</v>
      </c>
      <c r="P741" s="555" t="str">
        <f t="shared" ca="1" si="113"/>
        <v/>
      </c>
      <c r="Q741" s="494" t="s">
        <v>1448</v>
      </c>
      <c r="R741" s="494" t="str">
        <f t="shared" si="119"/>
        <v>H741</v>
      </c>
      <c r="S741" s="494" t="s">
        <v>1449</v>
      </c>
      <c r="T741" s="494">
        <v>10</v>
      </c>
      <c r="U741" s="556" t="str">
        <f t="shared" ref="U741:U764" ca="1" si="121">IF(AND($B741=INDIRECT(CONCATENATE($J741,$K741,5)),ISBLANK(INDEX(INDIRECT(CONCATENATE($J741,$Q741)),MATCH(INDIRECT($R741),INDIRECT(CONCATENATE($J741,$S741)),0),T741))=FALSE),INDEX(INDIRECT(CONCATENATE($J741,$Q741)),MATCH(INDIRECT($R741),INDIRECT(CONCATENATE($J741,$S741)),0),T741),"")</f>
        <v/>
      </c>
      <c r="V741" s="494">
        <v>11</v>
      </c>
      <c r="W741" s="556" t="str">
        <f t="shared" ref="W741:W764" ca="1" si="122">IF(AND($B741=INDIRECT(CONCATENATE($J741,$K741,5)),ISBLANK(INDEX(INDIRECT(CONCATENATE($J741,$Q741)),MATCH(INDIRECT($R741),INDIRECT(CONCATENATE($J741,$S741)),0),V741))=FALSE),INDEX(INDIRECT(CONCATENATE($J741,$Q741)),MATCH(INDIRECT($R741),INDIRECT(CONCATENATE($J741,$S741)),0),V741),"")</f>
        <v/>
      </c>
      <c r="X741" s="494" t="s">
        <v>1450</v>
      </c>
      <c r="Y741" s="547" t="str">
        <f t="shared" ca="1" si="114"/>
        <v/>
      </c>
      <c r="Z741" s="494" t="s">
        <v>1451</v>
      </c>
      <c r="AA741" s="547" t="str">
        <f t="shared" ca="1" si="115"/>
        <v/>
      </c>
      <c r="AB741" s="494" t="s">
        <v>1452</v>
      </c>
      <c r="AC741" s="547" t="str">
        <f t="shared" ca="1" si="116"/>
        <v/>
      </c>
      <c r="AD741" s="557"/>
      <c r="AE741" s="958"/>
    </row>
    <row r="742" spans="1:31" ht="15" customHeight="1">
      <c r="A742" s="957">
        <v>104</v>
      </c>
      <c r="B742" s="566" t="s">
        <v>493</v>
      </c>
      <c r="C742" s="567" t="s">
        <v>1443</v>
      </c>
      <c r="D742" s="958">
        <v>1.3</v>
      </c>
      <c r="E742" s="959" t="s">
        <v>335</v>
      </c>
      <c r="F742" s="558" t="s">
        <v>1455</v>
      </c>
      <c r="G742" s="558">
        <v>1120</v>
      </c>
      <c r="H742" s="558" t="s">
        <v>1551</v>
      </c>
      <c r="I742" s="559" t="s">
        <v>1552</v>
      </c>
      <c r="J742" s="567" t="s">
        <v>1445</v>
      </c>
      <c r="K742" s="961" t="s">
        <v>1373</v>
      </c>
      <c r="L742" s="555" t="str">
        <f t="shared" ca="1" si="111"/>
        <v/>
      </c>
      <c r="M742" s="494" t="s">
        <v>1446</v>
      </c>
      <c r="N742" s="555" t="str">
        <f t="shared" ca="1" si="112"/>
        <v/>
      </c>
      <c r="O742" s="494" t="s">
        <v>1447</v>
      </c>
      <c r="P742" s="555" t="str">
        <f t="shared" ca="1" si="113"/>
        <v/>
      </c>
      <c r="Q742" s="494" t="s">
        <v>1448</v>
      </c>
      <c r="R742" s="494" t="str">
        <f t="shared" si="119"/>
        <v>H742</v>
      </c>
      <c r="S742" s="494" t="s">
        <v>1449</v>
      </c>
      <c r="T742" s="494">
        <v>10</v>
      </c>
      <c r="U742" s="556" t="str">
        <f t="shared" ca="1" si="121"/>
        <v/>
      </c>
      <c r="V742" s="494">
        <v>11</v>
      </c>
      <c r="W742" s="556" t="str">
        <f t="shared" ca="1" si="122"/>
        <v/>
      </c>
      <c r="X742" s="494" t="s">
        <v>1450</v>
      </c>
      <c r="Y742" s="547" t="str">
        <f t="shared" ca="1" si="114"/>
        <v/>
      </c>
      <c r="Z742" s="494" t="s">
        <v>1451</v>
      </c>
      <c r="AA742" s="547" t="str">
        <f t="shared" ca="1" si="115"/>
        <v/>
      </c>
      <c r="AB742" s="494" t="s">
        <v>1452</v>
      </c>
      <c r="AC742" s="547" t="str">
        <f t="shared" ca="1" si="116"/>
        <v/>
      </c>
      <c r="AD742" s="557"/>
      <c r="AE742" s="958"/>
    </row>
    <row r="743" spans="1:31" ht="15" customHeight="1">
      <c r="A743" s="957">
        <v>104</v>
      </c>
      <c r="B743" s="566" t="s">
        <v>493</v>
      </c>
      <c r="C743" s="567" t="s">
        <v>1443</v>
      </c>
      <c r="D743" s="958">
        <v>1.3</v>
      </c>
      <c r="E743" s="959" t="s">
        <v>335</v>
      </c>
      <c r="F743" s="558" t="s">
        <v>1455</v>
      </c>
      <c r="G743" s="558">
        <v>1122</v>
      </c>
      <c r="H743" s="558" t="s">
        <v>1553</v>
      </c>
      <c r="I743" s="559" t="s">
        <v>1554</v>
      </c>
      <c r="J743" s="567" t="s">
        <v>1445</v>
      </c>
      <c r="K743" s="961" t="s">
        <v>1373</v>
      </c>
      <c r="L743" s="555" t="str">
        <f t="shared" ca="1" si="111"/>
        <v/>
      </c>
      <c r="M743" s="494" t="s">
        <v>1446</v>
      </c>
      <c r="N743" s="555" t="str">
        <f t="shared" ca="1" si="112"/>
        <v/>
      </c>
      <c r="O743" s="494" t="s">
        <v>1447</v>
      </c>
      <c r="P743" s="555" t="str">
        <f t="shared" ca="1" si="113"/>
        <v/>
      </c>
      <c r="Q743" s="494" t="s">
        <v>1448</v>
      </c>
      <c r="R743" s="494" t="str">
        <f>CONCATENATE("I",ROW(J743))</f>
        <v>I743</v>
      </c>
      <c r="S743" s="494" t="s">
        <v>1491</v>
      </c>
      <c r="T743" s="494">
        <v>10</v>
      </c>
      <c r="U743" s="556" t="str">
        <f t="shared" ca="1" si="121"/>
        <v/>
      </c>
      <c r="V743" s="494">
        <v>11</v>
      </c>
      <c r="W743" s="556" t="str">
        <f t="shared" ca="1" si="122"/>
        <v/>
      </c>
      <c r="X743" s="494" t="s">
        <v>1450</v>
      </c>
      <c r="Y743" s="547" t="str">
        <f t="shared" ca="1" si="114"/>
        <v/>
      </c>
      <c r="Z743" s="494" t="s">
        <v>1451</v>
      </c>
      <c r="AA743" s="547" t="str">
        <f t="shared" ca="1" si="115"/>
        <v/>
      </c>
      <c r="AB743" s="494" t="s">
        <v>1452</v>
      </c>
      <c r="AC743" s="547" t="str">
        <f t="shared" ca="1" si="116"/>
        <v/>
      </c>
      <c r="AD743" s="557"/>
      <c r="AE743" s="958"/>
    </row>
    <row r="744" spans="1:31" ht="15" customHeight="1">
      <c r="A744" s="957">
        <v>104</v>
      </c>
      <c r="B744" s="566" t="s">
        <v>493</v>
      </c>
      <c r="C744" s="567" t="s">
        <v>1443</v>
      </c>
      <c r="D744" s="958">
        <v>1.3</v>
      </c>
      <c r="E744" s="959" t="s">
        <v>335</v>
      </c>
      <c r="F744" s="558" t="s">
        <v>1455</v>
      </c>
      <c r="G744" s="558">
        <v>1123</v>
      </c>
      <c r="H744" s="558" t="s">
        <v>1555</v>
      </c>
      <c r="I744" s="559" t="s">
        <v>1556</v>
      </c>
      <c r="J744" s="567" t="s">
        <v>1445</v>
      </c>
      <c r="K744" s="961" t="s">
        <v>1373</v>
      </c>
      <c r="L744" s="555" t="str">
        <f t="shared" ca="1" si="111"/>
        <v/>
      </c>
      <c r="M744" s="494" t="s">
        <v>1446</v>
      </c>
      <c r="N744" s="555" t="str">
        <f t="shared" ca="1" si="112"/>
        <v/>
      </c>
      <c r="O744" s="494" t="s">
        <v>1447</v>
      </c>
      <c r="P744" s="555" t="str">
        <f t="shared" ca="1" si="113"/>
        <v/>
      </c>
      <c r="Q744" s="494" t="s">
        <v>1448</v>
      </c>
      <c r="R744" s="494" t="str">
        <f>CONCATENATE("I",ROW(J744))</f>
        <v>I744</v>
      </c>
      <c r="S744" s="494" t="s">
        <v>1491</v>
      </c>
      <c r="T744" s="494">
        <v>10</v>
      </c>
      <c r="U744" s="556" t="str">
        <f t="shared" ca="1" si="121"/>
        <v/>
      </c>
      <c r="V744" s="494">
        <v>11</v>
      </c>
      <c r="W744" s="556" t="str">
        <f t="shared" ca="1" si="122"/>
        <v/>
      </c>
      <c r="X744" s="494" t="s">
        <v>1450</v>
      </c>
      <c r="Y744" s="547" t="str">
        <f t="shared" ca="1" si="114"/>
        <v/>
      </c>
      <c r="Z744" s="494" t="s">
        <v>1451</v>
      </c>
      <c r="AA744" s="547" t="str">
        <f t="shared" ca="1" si="115"/>
        <v/>
      </c>
      <c r="AB744" s="494" t="s">
        <v>1452</v>
      </c>
      <c r="AC744" s="547" t="str">
        <f t="shared" ca="1" si="116"/>
        <v/>
      </c>
      <c r="AD744" s="557"/>
      <c r="AE744" s="958"/>
    </row>
    <row r="745" spans="1:31" ht="15" customHeight="1">
      <c r="A745" s="957">
        <v>104</v>
      </c>
      <c r="B745" s="566" t="s">
        <v>493</v>
      </c>
      <c r="C745" s="567" t="s">
        <v>1443</v>
      </c>
      <c r="D745" s="958">
        <v>1.3</v>
      </c>
      <c r="E745" s="959" t="s">
        <v>335</v>
      </c>
      <c r="F745" s="558" t="s">
        <v>1455</v>
      </c>
      <c r="G745" s="558">
        <v>1124</v>
      </c>
      <c r="H745" s="558" t="s">
        <v>1557</v>
      </c>
      <c r="I745" s="559" t="s">
        <v>1558</v>
      </c>
      <c r="J745" s="567" t="s">
        <v>1445</v>
      </c>
      <c r="K745" s="961" t="s">
        <v>1373</v>
      </c>
      <c r="L745" s="555" t="str">
        <f t="shared" ca="1" si="111"/>
        <v/>
      </c>
      <c r="M745" s="494" t="s">
        <v>1446</v>
      </c>
      <c r="N745" s="555" t="str">
        <f t="shared" ca="1" si="112"/>
        <v/>
      </c>
      <c r="O745" s="494" t="s">
        <v>1447</v>
      </c>
      <c r="P745" s="555" t="str">
        <f t="shared" ca="1" si="113"/>
        <v/>
      </c>
      <c r="Q745" s="494" t="s">
        <v>1448</v>
      </c>
      <c r="R745" s="494" t="str">
        <f>CONCATENATE("I",ROW(J745))</f>
        <v>I745</v>
      </c>
      <c r="S745" s="494" t="s">
        <v>1491</v>
      </c>
      <c r="T745" s="494">
        <v>10</v>
      </c>
      <c r="U745" s="556" t="str">
        <f t="shared" ca="1" si="121"/>
        <v/>
      </c>
      <c r="V745" s="494">
        <v>11</v>
      </c>
      <c r="W745" s="556" t="str">
        <f t="shared" ca="1" si="122"/>
        <v/>
      </c>
      <c r="X745" s="494" t="s">
        <v>1450</v>
      </c>
      <c r="Y745" s="547" t="str">
        <f t="shared" ca="1" si="114"/>
        <v/>
      </c>
      <c r="Z745" s="494" t="s">
        <v>1451</v>
      </c>
      <c r="AA745" s="547" t="str">
        <f t="shared" ca="1" si="115"/>
        <v/>
      </c>
      <c r="AB745" s="494" t="s">
        <v>1452</v>
      </c>
      <c r="AC745" s="547" t="str">
        <f t="shared" ca="1" si="116"/>
        <v/>
      </c>
      <c r="AD745" s="557"/>
      <c r="AE745" s="958"/>
    </row>
    <row r="746" spans="1:31" ht="15" customHeight="1">
      <c r="A746" s="957">
        <v>104</v>
      </c>
      <c r="B746" s="566" t="s">
        <v>493</v>
      </c>
      <c r="C746" s="567" t="s">
        <v>1443</v>
      </c>
      <c r="D746" s="958">
        <v>1.3</v>
      </c>
      <c r="E746" s="959" t="s">
        <v>335</v>
      </c>
      <c r="F746" s="558" t="s">
        <v>1455</v>
      </c>
      <c r="G746" s="558">
        <v>1126</v>
      </c>
      <c r="H746" s="558" t="s">
        <v>341</v>
      </c>
      <c r="I746" s="559" t="s">
        <v>503</v>
      </c>
      <c r="J746" s="567" t="s">
        <v>1445</v>
      </c>
      <c r="K746" s="961" t="s">
        <v>1373</v>
      </c>
      <c r="L746" s="555" t="str">
        <f t="shared" ca="1" si="111"/>
        <v/>
      </c>
      <c r="M746" s="494" t="s">
        <v>1446</v>
      </c>
      <c r="N746" s="555" t="str">
        <f t="shared" ca="1" si="112"/>
        <v/>
      </c>
      <c r="O746" s="494" t="s">
        <v>1447</v>
      </c>
      <c r="P746" s="555" t="str">
        <f t="shared" ca="1" si="113"/>
        <v/>
      </c>
      <c r="Q746" s="494" t="s">
        <v>1448</v>
      </c>
      <c r="R746" s="494" t="str">
        <f t="shared" si="119"/>
        <v>H746</v>
      </c>
      <c r="S746" s="494" t="s">
        <v>1449</v>
      </c>
      <c r="T746" s="494">
        <v>10</v>
      </c>
      <c r="U746" s="556" t="str">
        <f t="shared" ca="1" si="121"/>
        <v/>
      </c>
      <c r="V746" s="494">
        <v>11</v>
      </c>
      <c r="W746" s="556" t="str">
        <f t="shared" ca="1" si="122"/>
        <v/>
      </c>
      <c r="X746" s="494" t="s">
        <v>1450</v>
      </c>
      <c r="Y746" s="547" t="str">
        <f t="shared" ca="1" si="114"/>
        <v/>
      </c>
      <c r="Z746" s="494" t="s">
        <v>1451</v>
      </c>
      <c r="AA746" s="547" t="str">
        <f t="shared" ca="1" si="115"/>
        <v/>
      </c>
      <c r="AB746" s="494" t="s">
        <v>1452</v>
      </c>
      <c r="AC746" s="547" t="str">
        <f t="shared" ca="1" si="116"/>
        <v/>
      </c>
      <c r="AD746" s="557"/>
      <c r="AE746" s="958"/>
    </row>
    <row r="747" spans="1:31" ht="15" customHeight="1">
      <c r="A747" s="957">
        <v>104</v>
      </c>
      <c r="B747" s="566" t="s">
        <v>493</v>
      </c>
      <c r="C747" s="567" t="s">
        <v>1443</v>
      </c>
      <c r="D747" s="958">
        <v>1.3</v>
      </c>
      <c r="E747" s="959" t="s">
        <v>335</v>
      </c>
      <c r="F747" s="558" t="s">
        <v>1455</v>
      </c>
      <c r="G747" s="558">
        <v>1127</v>
      </c>
      <c r="H747" s="558" t="s">
        <v>343</v>
      </c>
      <c r="I747" s="559" t="s">
        <v>505</v>
      </c>
      <c r="J747" s="567" t="s">
        <v>1445</v>
      </c>
      <c r="K747" s="961" t="s">
        <v>1373</v>
      </c>
      <c r="L747" s="555" t="str">
        <f t="shared" ca="1" si="111"/>
        <v/>
      </c>
      <c r="M747" s="494" t="s">
        <v>1446</v>
      </c>
      <c r="N747" s="555" t="str">
        <f t="shared" ca="1" si="112"/>
        <v/>
      </c>
      <c r="O747" s="494" t="s">
        <v>1447</v>
      </c>
      <c r="P747" s="555" t="str">
        <f t="shared" ca="1" si="113"/>
        <v/>
      </c>
      <c r="Q747" s="494" t="s">
        <v>1448</v>
      </c>
      <c r="R747" s="494" t="str">
        <f t="shared" si="119"/>
        <v>H747</v>
      </c>
      <c r="S747" s="494" t="s">
        <v>1449</v>
      </c>
      <c r="T747" s="494">
        <v>10</v>
      </c>
      <c r="U747" s="556" t="str">
        <f t="shared" ca="1" si="121"/>
        <v/>
      </c>
      <c r="V747" s="494">
        <v>11</v>
      </c>
      <c r="W747" s="556" t="str">
        <f t="shared" ca="1" si="122"/>
        <v/>
      </c>
      <c r="X747" s="494" t="s">
        <v>1450</v>
      </c>
      <c r="Y747" s="547" t="str">
        <f t="shared" ca="1" si="114"/>
        <v/>
      </c>
      <c r="Z747" s="494" t="s">
        <v>1451</v>
      </c>
      <c r="AA747" s="547" t="str">
        <f t="shared" ca="1" si="115"/>
        <v/>
      </c>
      <c r="AB747" s="494" t="s">
        <v>1452</v>
      </c>
      <c r="AC747" s="547" t="str">
        <f t="shared" ca="1" si="116"/>
        <v/>
      </c>
      <c r="AD747" s="557"/>
      <c r="AE747" s="958"/>
    </row>
    <row r="748" spans="1:31" ht="15" customHeight="1">
      <c r="A748" s="957">
        <v>104</v>
      </c>
      <c r="B748" s="566" t="s">
        <v>493</v>
      </c>
      <c r="C748" s="567" t="s">
        <v>1443</v>
      </c>
      <c r="D748" s="958">
        <v>1.3</v>
      </c>
      <c r="E748" s="959" t="s">
        <v>345</v>
      </c>
      <c r="F748" s="558" t="s">
        <v>1484</v>
      </c>
      <c r="G748" s="558">
        <v>1129</v>
      </c>
      <c r="H748" s="558" t="s">
        <v>611</v>
      </c>
      <c r="I748" s="559" t="s">
        <v>265</v>
      </c>
      <c r="J748" s="567" t="s">
        <v>1445</v>
      </c>
      <c r="K748" s="961" t="s">
        <v>1373</v>
      </c>
      <c r="L748" s="555" t="str">
        <f t="shared" ca="1" si="111"/>
        <v/>
      </c>
      <c r="M748" s="494" t="s">
        <v>1446</v>
      </c>
      <c r="N748" s="555" t="str">
        <f t="shared" ca="1" si="112"/>
        <v/>
      </c>
      <c r="O748" s="494" t="s">
        <v>1447</v>
      </c>
      <c r="P748" s="555" t="str">
        <f t="shared" ca="1" si="113"/>
        <v/>
      </c>
      <c r="Q748" s="494" t="s">
        <v>1448</v>
      </c>
      <c r="R748" s="494" t="str">
        <f t="shared" si="119"/>
        <v>H748</v>
      </c>
      <c r="S748" s="494" t="s">
        <v>1449</v>
      </c>
      <c r="T748" s="494">
        <v>10</v>
      </c>
      <c r="U748" s="556" t="str">
        <f t="shared" ca="1" si="121"/>
        <v/>
      </c>
      <c r="V748" s="494">
        <v>11</v>
      </c>
      <c r="W748" s="556" t="str">
        <f t="shared" ca="1" si="122"/>
        <v/>
      </c>
      <c r="X748" s="494" t="s">
        <v>1450</v>
      </c>
      <c r="Y748" s="547" t="str">
        <f t="shared" ca="1" si="114"/>
        <v/>
      </c>
      <c r="Z748" s="494" t="s">
        <v>1451</v>
      </c>
      <c r="AA748" s="547" t="str">
        <f t="shared" ca="1" si="115"/>
        <v/>
      </c>
      <c r="AB748" s="494" t="s">
        <v>1452</v>
      </c>
      <c r="AC748" s="547" t="str">
        <f t="shared" ca="1" si="116"/>
        <v/>
      </c>
      <c r="AD748" s="557"/>
      <c r="AE748" s="958"/>
    </row>
    <row r="749" spans="1:31" ht="15" customHeight="1">
      <c r="A749" s="957">
        <v>104</v>
      </c>
      <c r="B749" s="566" t="s">
        <v>493</v>
      </c>
      <c r="C749" s="567" t="s">
        <v>1443</v>
      </c>
      <c r="D749" s="958">
        <v>1.3</v>
      </c>
      <c r="E749" s="959" t="s">
        <v>345</v>
      </c>
      <c r="F749" s="558" t="s">
        <v>1484</v>
      </c>
      <c r="G749" s="558">
        <v>1131</v>
      </c>
      <c r="H749" s="558" t="s">
        <v>467</v>
      </c>
      <c r="I749" s="559" t="s">
        <v>1559</v>
      </c>
      <c r="J749" s="567" t="s">
        <v>1445</v>
      </c>
      <c r="K749" s="961" t="s">
        <v>1373</v>
      </c>
      <c r="L749" s="555" t="str">
        <f t="shared" ca="1" si="111"/>
        <v/>
      </c>
      <c r="M749" s="494" t="s">
        <v>1446</v>
      </c>
      <c r="N749" s="555" t="str">
        <f t="shared" ca="1" si="112"/>
        <v/>
      </c>
      <c r="O749" s="494" t="s">
        <v>1447</v>
      </c>
      <c r="P749" s="555" t="str">
        <f t="shared" ca="1" si="113"/>
        <v/>
      </c>
      <c r="Q749" s="494" t="s">
        <v>1448</v>
      </c>
      <c r="R749" s="494" t="str">
        <f t="shared" si="119"/>
        <v>H749</v>
      </c>
      <c r="S749" s="494" t="s">
        <v>1449</v>
      </c>
      <c r="T749" s="494">
        <v>10</v>
      </c>
      <c r="U749" s="556" t="str">
        <f t="shared" ca="1" si="121"/>
        <v/>
      </c>
      <c r="V749" s="494">
        <v>11</v>
      </c>
      <c r="W749" s="556" t="str">
        <f t="shared" ca="1" si="122"/>
        <v/>
      </c>
      <c r="X749" s="494" t="s">
        <v>1450</v>
      </c>
      <c r="Y749" s="547" t="str">
        <f t="shared" ca="1" si="114"/>
        <v/>
      </c>
      <c r="Z749" s="494" t="s">
        <v>1451</v>
      </c>
      <c r="AA749" s="547" t="str">
        <f t="shared" ca="1" si="115"/>
        <v/>
      </c>
      <c r="AB749" s="494" t="s">
        <v>1452</v>
      </c>
      <c r="AC749" s="547" t="str">
        <f t="shared" ca="1" si="116"/>
        <v/>
      </c>
      <c r="AD749" s="557"/>
      <c r="AE749" s="958"/>
    </row>
    <row r="750" spans="1:31" ht="15" customHeight="1">
      <c r="A750" s="957">
        <v>104</v>
      </c>
      <c r="B750" s="566" t="s">
        <v>493</v>
      </c>
      <c r="C750" s="567" t="s">
        <v>1443</v>
      </c>
      <c r="D750" s="958">
        <v>1.3</v>
      </c>
      <c r="E750" s="959" t="s">
        <v>345</v>
      </c>
      <c r="F750" s="558" t="s">
        <v>1484</v>
      </c>
      <c r="G750" s="558">
        <v>1132</v>
      </c>
      <c r="H750" s="558" t="s">
        <v>470</v>
      </c>
      <c r="I750" s="559" t="s">
        <v>349</v>
      </c>
      <c r="J750" s="567" t="s">
        <v>1445</v>
      </c>
      <c r="K750" s="961" t="s">
        <v>1373</v>
      </c>
      <c r="L750" s="555" t="str">
        <f t="shared" ca="1" si="111"/>
        <v/>
      </c>
      <c r="M750" s="494" t="s">
        <v>1446</v>
      </c>
      <c r="N750" s="555" t="str">
        <f t="shared" ca="1" si="112"/>
        <v/>
      </c>
      <c r="O750" s="494" t="s">
        <v>1447</v>
      </c>
      <c r="P750" s="555" t="str">
        <f t="shared" ca="1" si="113"/>
        <v/>
      </c>
      <c r="Q750" s="494" t="s">
        <v>1448</v>
      </c>
      <c r="R750" s="494" t="str">
        <f t="shared" si="119"/>
        <v>H750</v>
      </c>
      <c r="S750" s="494" t="s">
        <v>1449</v>
      </c>
      <c r="T750" s="494">
        <v>10</v>
      </c>
      <c r="U750" s="556" t="str">
        <f t="shared" ca="1" si="121"/>
        <v/>
      </c>
      <c r="V750" s="494">
        <v>11</v>
      </c>
      <c r="W750" s="556" t="str">
        <f t="shared" ca="1" si="122"/>
        <v/>
      </c>
      <c r="X750" s="494" t="s">
        <v>1450</v>
      </c>
      <c r="Y750" s="547" t="str">
        <f t="shared" ca="1" si="114"/>
        <v/>
      </c>
      <c r="Z750" s="494" t="s">
        <v>1451</v>
      </c>
      <c r="AA750" s="547" t="str">
        <f t="shared" ca="1" si="115"/>
        <v/>
      </c>
      <c r="AB750" s="494" t="s">
        <v>1452</v>
      </c>
      <c r="AC750" s="547" t="str">
        <f t="shared" ca="1" si="116"/>
        <v/>
      </c>
      <c r="AD750" s="557"/>
      <c r="AE750" s="958"/>
    </row>
    <row r="751" spans="1:31" ht="15" customHeight="1">
      <c r="A751" s="957">
        <v>104</v>
      </c>
      <c r="B751" s="566" t="s">
        <v>493</v>
      </c>
      <c r="C751" s="567" t="s">
        <v>1443</v>
      </c>
      <c r="D751" s="958">
        <v>1.3</v>
      </c>
      <c r="E751" s="959" t="s">
        <v>345</v>
      </c>
      <c r="F751" s="558" t="s">
        <v>1484</v>
      </c>
      <c r="G751" s="558">
        <v>1133</v>
      </c>
      <c r="H751" s="558" t="s">
        <v>472</v>
      </c>
      <c r="I751" s="559" t="s">
        <v>350</v>
      </c>
      <c r="J751" s="567" t="s">
        <v>1445</v>
      </c>
      <c r="K751" s="961" t="s">
        <v>1373</v>
      </c>
      <c r="L751" s="555" t="str">
        <f t="shared" ca="1" si="111"/>
        <v/>
      </c>
      <c r="M751" s="494" t="s">
        <v>1446</v>
      </c>
      <c r="N751" s="555" t="str">
        <f t="shared" ca="1" si="112"/>
        <v/>
      </c>
      <c r="O751" s="494" t="s">
        <v>1447</v>
      </c>
      <c r="P751" s="555" t="str">
        <f t="shared" ca="1" si="113"/>
        <v/>
      </c>
      <c r="Q751" s="494" t="s">
        <v>1448</v>
      </c>
      <c r="R751" s="494" t="str">
        <f t="shared" si="119"/>
        <v>H751</v>
      </c>
      <c r="S751" s="494" t="s">
        <v>1449</v>
      </c>
      <c r="T751" s="494">
        <v>10</v>
      </c>
      <c r="U751" s="556" t="str">
        <f t="shared" ca="1" si="121"/>
        <v/>
      </c>
      <c r="V751" s="494">
        <v>11</v>
      </c>
      <c r="W751" s="556" t="str">
        <f t="shared" ca="1" si="122"/>
        <v/>
      </c>
      <c r="X751" s="494" t="s">
        <v>1450</v>
      </c>
      <c r="Y751" s="547" t="str">
        <f t="shared" ca="1" si="114"/>
        <v/>
      </c>
      <c r="Z751" s="494" t="s">
        <v>1451</v>
      </c>
      <c r="AA751" s="547" t="str">
        <f t="shared" ca="1" si="115"/>
        <v/>
      </c>
      <c r="AB751" s="494" t="s">
        <v>1452</v>
      </c>
      <c r="AC751" s="547" t="str">
        <f t="shared" ca="1" si="116"/>
        <v/>
      </c>
      <c r="AD751" s="557"/>
      <c r="AE751" s="958"/>
    </row>
    <row r="752" spans="1:31" ht="15" customHeight="1">
      <c r="A752" s="957">
        <v>104</v>
      </c>
      <c r="B752" s="566" t="s">
        <v>493</v>
      </c>
      <c r="C752" s="567" t="s">
        <v>1443</v>
      </c>
      <c r="D752" s="958">
        <v>1.3</v>
      </c>
      <c r="E752" s="959" t="s">
        <v>345</v>
      </c>
      <c r="F752" s="558" t="s">
        <v>1484</v>
      </c>
      <c r="G752" s="558">
        <v>1138</v>
      </c>
      <c r="H752" s="558" t="s">
        <v>474</v>
      </c>
      <c r="I752" s="559" t="s">
        <v>351</v>
      </c>
      <c r="J752" s="567" t="s">
        <v>1445</v>
      </c>
      <c r="K752" s="961" t="s">
        <v>1373</v>
      </c>
      <c r="L752" s="555" t="str">
        <f t="shared" ca="1" si="111"/>
        <v/>
      </c>
      <c r="M752" s="494" t="s">
        <v>1446</v>
      </c>
      <c r="N752" s="555" t="str">
        <f t="shared" ca="1" si="112"/>
        <v/>
      </c>
      <c r="O752" s="494" t="s">
        <v>1447</v>
      </c>
      <c r="P752" s="555" t="str">
        <f t="shared" ca="1" si="113"/>
        <v/>
      </c>
      <c r="Q752" s="494" t="s">
        <v>1448</v>
      </c>
      <c r="R752" s="494" t="str">
        <f t="shared" si="119"/>
        <v>H752</v>
      </c>
      <c r="S752" s="494" t="s">
        <v>1449</v>
      </c>
      <c r="T752" s="494">
        <v>10</v>
      </c>
      <c r="U752" s="556" t="str">
        <f t="shared" ca="1" si="121"/>
        <v/>
      </c>
      <c r="V752" s="494">
        <v>11</v>
      </c>
      <c r="W752" s="556" t="str">
        <f t="shared" ca="1" si="122"/>
        <v/>
      </c>
      <c r="X752" s="494" t="s">
        <v>1450</v>
      </c>
      <c r="Y752" s="547" t="str">
        <f t="shared" ca="1" si="114"/>
        <v/>
      </c>
      <c r="Z752" s="494" t="s">
        <v>1451</v>
      </c>
      <c r="AA752" s="547" t="str">
        <f t="shared" ca="1" si="115"/>
        <v/>
      </c>
      <c r="AB752" s="494" t="s">
        <v>1452</v>
      </c>
      <c r="AC752" s="547" t="str">
        <f t="shared" ca="1" si="116"/>
        <v/>
      </c>
      <c r="AD752" s="557"/>
      <c r="AE752" s="958"/>
    </row>
    <row r="753" spans="1:31" ht="15" customHeight="1">
      <c r="A753" s="957">
        <v>104</v>
      </c>
      <c r="B753" s="566" t="s">
        <v>493</v>
      </c>
      <c r="C753" s="567" t="s">
        <v>1443</v>
      </c>
      <c r="D753" s="958">
        <v>1.3</v>
      </c>
      <c r="E753" s="959" t="s">
        <v>345</v>
      </c>
      <c r="F753" s="558" t="s">
        <v>1484</v>
      </c>
      <c r="G753" s="558">
        <v>1139</v>
      </c>
      <c r="H753" s="558" t="s">
        <v>476</v>
      </c>
      <c r="I753" s="559" t="s">
        <v>352</v>
      </c>
      <c r="J753" s="567" t="s">
        <v>1445</v>
      </c>
      <c r="K753" s="961" t="s">
        <v>1373</v>
      </c>
      <c r="L753" s="555" t="str">
        <f t="shared" ca="1" si="111"/>
        <v/>
      </c>
      <c r="M753" s="494" t="s">
        <v>1446</v>
      </c>
      <c r="N753" s="555" t="str">
        <f t="shared" ca="1" si="112"/>
        <v/>
      </c>
      <c r="O753" s="494" t="s">
        <v>1447</v>
      </c>
      <c r="P753" s="555" t="str">
        <f t="shared" ca="1" si="113"/>
        <v/>
      </c>
      <c r="Q753" s="494" t="s">
        <v>1448</v>
      </c>
      <c r="R753" s="494" t="str">
        <f t="shared" si="119"/>
        <v>H753</v>
      </c>
      <c r="S753" s="494" t="s">
        <v>1449</v>
      </c>
      <c r="T753" s="494">
        <v>10</v>
      </c>
      <c r="U753" s="556" t="str">
        <f t="shared" ca="1" si="121"/>
        <v/>
      </c>
      <c r="V753" s="494">
        <v>11</v>
      </c>
      <c r="W753" s="556" t="str">
        <f t="shared" ca="1" si="122"/>
        <v/>
      </c>
      <c r="X753" s="494" t="s">
        <v>1450</v>
      </c>
      <c r="Y753" s="547" t="str">
        <f t="shared" ca="1" si="114"/>
        <v/>
      </c>
      <c r="Z753" s="494" t="s">
        <v>1451</v>
      </c>
      <c r="AA753" s="547" t="str">
        <f t="shared" ca="1" si="115"/>
        <v/>
      </c>
      <c r="AB753" s="494" t="s">
        <v>1452</v>
      </c>
      <c r="AC753" s="547" t="str">
        <f t="shared" ca="1" si="116"/>
        <v/>
      </c>
      <c r="AD753" s="557"/>
      <c r="AE753" s="958"/>
    </row>
    <row r="754" spans="1:31" ht="15" customHeight="1">
      <c r="A754" s="957">
        <v>104</v>
      </c>
      <c r="B754" s="566" t="s">
        <v>493</v>
      </c>
      <c r="C754" s="567" t="s">
        <v>1443</v>
      </c>
      <c r="D754" s="958">
        <v>1.3</v>
      </c>
      <c r="E754" s="959" t="s">
        <v>353</v>
      </c>
      <c r="F754" s="558" t="s">
        <v>1486</v>
      </c>
      <c r="G754" s="558">
        <v>1143</v>
      </c>
      <c r="H754" s="558" t="s">
        <v>355</v>
      </c>
      <c r="I754" s="559" t="s">
        <v>356</v>
      </c>
      <c r="J754" s="567" t="s">
        <v>1445</v>
      </c>
      <c r="K754" s="961" t="s">
        <v>1373</v>
      </c>
      <c r="L754" s="555" t="str">
        <f t="shared" ca="1" si="111"/>
        <v/>
      </c>
      <c r="M754" s="494" t="s">
        <v>1446</v>
      </c>
      <c r="N754" s="555" t="str">
        <f t="shared" ca="1" si="112"/>
        <v/>
      </c>
      <c r="O754" s="494" t="s">
        <v>1447</v>
      </c>
      <c r="P754" s="555" t="str">
        <f t="shared" ca="1" si="113"/>
        <v/>
      </c>
      <c r="Q754" s="494" t="s">
        <v>1448</v>
      </c>
      <c r="R754" s="494" t="str">
        <f t="shared" si="119"/>
        <v>H754</v>
      </c>
      <c r="S754" s="494" t="s">
        <v>1449</v>
      </c>
      <c r="T754" s="494">
        <v>10</v>
      </c>
      <c r="U754" s="556" t="str">
        <f t="shared" ca="1" si="121"/>
        <v/>
      </c>
      <c r="V754" s="494">
        <v>11</v>
      </c>
      <c r="W754" s="556" t="str">
        <f t="shared" ca="1" si="122"/>
        <v/>
      </c>
      <c r="X754" s="494" t="s">
        <v>1450</v>
      </c>
      <c r="Y754" s="547" t="str">
        <f t="shared" ca="1" si="114"/>
        <v/>
      </c>
      <c r="Z754" s="494" t="s">
        <v>1451</v>
      </c>
      <c r="AA754" s="547" t="str">
        <f t="shared" ca="1" si="115"/>
        <v/>
      </c>
      <c r="AB754" s="494" t="s">
        <v>1452</v>
      </c>
      <c r="AC754" s="547" t="str">
        <f t="shared" ca="1" si="116"/>
        <v/>
      </c>
      <c r="AD754" s="557"/>
      <c r="AE754" s="958"/>
    </row>
    <row r="755" spans="1:31" ht="15" customHeight="1">
      <c r="A755" s="957">
        <v>104</v>
      </c>
      <c r="B755" s="566" t="s">
        <v>493</v>
      </c>
      <c r="C755" s="567" t="s">
        <v>1443</v>
      </c>
      <c r="D755" s="958">
        <v>1.3</v>
      </c>
      <c r="E755" s="959" t="s">
        <v>353</v>
      </c>
      <c r="F755" s="558" t="s">
        <v>1486</v>
      </c>
      <c r="G755" s="558">
        <v>1145</v>
      </c>
      <c r="H755" s="558" t="s">
        <v>357</v>
      </c>
      <c r="I755" s="559" t="s">
        <v>358</v>
      </c>
      <c r="J755" s="567" t="s">
        <v>1445</v>
      </c>
      <c r="K755" s="961" t="s">
        <v>1373</v>
      </c>
      <c r="L755" s="555" t="str">
        <f t="shared" ca="1" si="111"/>
        <v/>
      </c>
      <c r="M755" s="494" t="s">
        <v>1446</v>
      </c>
      <c r="N755" s="555" t="str">
        <f t="shared" ca="1" si="112"/>
        <v/>
      </c>
      <c r="O755" s="494" t="s">
        <v>1447</v>
      </c>
      <c r="P755" s="555" t="str">
        <f t="shared" ca="1" si="113"/>
        <v/>
      </c>
      <c r="Q755" s="494" t="s">
        <v>1448</v>
      </c>
      <c r="R755" s="494" t="str">
        <f t="shared" si="119"/>
        <v>H755</v>
      </c>
      <c r="S755" s="494" t="s">
        <v>1449</v>
      </c>
      <c r="T755" s="494">
        <v>10</v>
      </c>
      <c r="U755" s="556" t="str">
        <f t="shared" ca="1" si="121"/>
        <v/>
      </c>
      <c r="V755" s="494">
        <v>11</v>
      </c>
      <c r="W755" s="556" t="str">
        <f t="shared" ca="1" si="122"/>
        <v/>
      </c>
      <c r="X755" s="494" t="s">
        <v>1450</v>
      </c>
      <c r="Y755" s="547" t="str">
        <f t="shared" ca="1" si="114"/>
        <v/>
      </c>
      <c r="Z755" s="494" t="s">
        <v>1451</v>
      </c>
      <c r="AA755" s="547" t="str">
        <f t="shared" ca="1" si="115"/>
        <v/>
      </c>
      <c r="AB755" s="494" t="s">
        <v>1452</v>
      </c>
      <c r="AC755" s="547" t="str">
        <f t="shared" ca="1" si="116"/>
        <v/>
      </c>
      <c r="AD755" s="557"/>
      <c r="AE755" s="958"/>
    </row>
    <row r="756" spans="1:31" ht="15" customHeight="1">
      <c r="A756" s="957">
        <v>104</v>
      </c>
      <c r="B756" s="566" t="s">
        <v>493</v>
      </c>
      <c r="C756" s="567" t="s">
        <v>1443</v>
      </c>
      <c r="D756" s="958">
        <v>1.3</v>
      </c>
      <c r="E756" s="959" t="s">
        <v>353</v>
      </c>
      <c r="F756" s="558" t="s">
        <v>1486</v>
      </c>
      <c r="G756" s="558">
        <v>1146</v>
      </c>
      <c r="H756" s="558" t="s">
        <v>359</v>
      </c>
      <c r="I756" s="559" t="s">
        <v>360</v>
      </c>
      <c r="J756" s="567" t="s">
        <v>1445</v>
      </c>
      <c r="K756" s="961" t="s">
        <v>1373</v>
      </c>
      <c r="L756" s="555" t="str">
        <f t="shared" ca="1" si="111"/>
        <v/>
      </c>
      <c r="M756" s="494" t="s">
        <v>1446</v>
      </c>
      <c r="N756" s="555" t="str">
        <f t="shared" ca="1" si="112"/>
        <v/>
      </c>
      <c r="O756" s="494" t="s">
        <v>1447</v>
      </c>
      <c r="P756" s="555" t="str">
        <f t="shared" ca="1" si="113"/>
        <v/>
      </c>
      <c r="Q756" s="494" t="s">
        <v>1448</v>
      </c>
      <c r="R756" s="494" t="str">
        <f t="shared" si="119"/>
        <v>H756</v>
      </c>
      <c r="S756" s="494" t="s">
        <v>1449</v>
      </c>
      <c r="T756" s="494">
        <v>10</v>
      </c>
      <c r="U756" s="556" t="str">
        <f t="shared" ca="1" si="121"/>
        <v/>
      </c>
      <c r="V756" s="494">
        <v>11</v>
      </c>
      <c r="W756" s="556" t="str">
        <f t="shared" ca="1" si="122"/>
        <v/>
      </c>
      <c r="X756" s="494" t="s">
        <v>1450</v>
      </c>
      <c r="Y756" s="547" t="str">
        <f t="shared" ca="1" si="114"/>
        <v/>
      </c>
      <c r="Z756" s="494" t="s">
        <v>1451</v>
      </c>
      <c r="AA756" s="547" t="str">
        <f t="shared" ca="1" si="115"/>
        <v/>
      </c>
      <c r="AB756" s="494" t="s">
        <v>1452</v>
      </c>
      <c r="AC756" s="547" t="str">
        <f t="shared" ca="1" si="116"/>
        <v/>
      </c>
      <c r="AD756" s="557"/>
      <c r="AE756" s="958"/>
    </row>
    <row r="757" spans="1:31" ht="15" customHeight="1">
      <c r="A757" s="957">
        <v>104</v>
      </c>
      <c r="B757" s="566" t="s">
        <v>493</v>
      </c>
      <c r="C757" s="567" t="s">
        <v>1443</v>
      </c>
      <c r="D757" s="958">
        <v>1.3</v>
      </c>
      <c r="E757" s="959" t="s">
        <v>353</v>
      </c>
      <c r="F757" s="558" t="s">
        <v>1486</v>
      </c>
      <c r="G757" s="558">
        <v>1147</v>
      </c>
      <c r="H757" s="558" t="s">
        <v>361</v>
      </c>
      <c r="I757" s="559" t="s">
        <v>362</v>
      </c>
      <c r="J757" s="567" t="s">
        <v>1445</v>
      </c>
      <c r="K757" s="961" t="s">
        <v>1373</v>
      </c>
      <c r="L757" s="555" t="str">
        <f t="shared" ca="1" si="111"/>
        <v/>
      </c>
      <c r="M757" s="494" t="s">
        <v>1446</v>
      </c>
      <c r="N757" s="555" t="str">
        <f t="shared" ca="1" si="112"/>
        <v/>
      </c>
      <c r="O757" s="494" t="s">
        <v>1447</v>
      </c>
      <c r="P757" s="555" t="str">
        <f t="shared" ca="1" si="113"/>
        <v/>
      </c>
      <c r="Q757" s="494" t="s">
        <v>1448</v>
      </c>
      <c r="R757" s="494" t="str">
        <f t="shared" si="119"/>
        <v>H757</v>
      </c>
      <c r="S757" s="494" t="s">
        <v>1449</v>
      </c>
      <c r="T757" s="494">
        <v>10</v>
      </c>
      <c r="U757" s="556" t="str">
        <f t="shared" ca="1" si="121"/>
        <v/>
      </c>
      <c r="V757" s="494">
        <v>11</v>
      </c>
      <c r="W757" s="556" t="str">
        <f t="shared" ca="1" si="122"/>
        <v/>
      </c>
      <c r="X757" s="494" t="s">
        <v>1450</v>
      </c>
      <c r="Y757" s="547" t="str">
        <f t="shared" ca="1" si="114"/>
        <v/>
      </c>
      <c r="Z757" s="494" t="s">
        <v>1451</v>
      </c>
      <c r="AA757" s="547" t="str">
        <f t="shared" ca="1" si="115"/>
        <v/>
      </c>
      <c r="AB757" s="494" t="s">
        <v>1452</v>
      </c>
      <c r="AC757" s="547" t="str">
        <f t="shared" ca="1" si="116"/>
        <v/>
      </c>
      <c r="AD757" s="557"/>
      <c r="AE757" s="958"/>
    </row>
    <row r="758" spans="1:31" ht="15" customHeight="1">
      <c r="A758" s="957">
        <v>104</v>
      </c>
      <c r="B758" s="566" t="s">
        <v>493</v>
      </c>
      <c r="C758" s="567" t="s">
        <v>1443</v>
      </c>
      <c r="D758" s="958">
        <v>1.3</v>
      </c>
      <c r="E758" s="959" t="s">
        <v>353</v>
      </c>
      <c r="F758" s="558" t="s">
        <v>1486</v>
      </c>
      <c r="G758" s="558">
        <v>1148</v>
      </c>
      <c r="H758" s="558" t="s">
        <v>363</v>
      </c>
      <c r="I758" s="559" t="s">
        <v>364</v>
      </c>
      <c r="J758" s="567" t="s">
        <v>1445</v>
      </c>
      <c r="K758" s="961" t="s">
        <v>1373</v>
      </c>
      <c r="L758" s="555" t="str">
        <f t="shared" ca="1" si="111"/>
        <v/>
      </c>
      <c r="M758" s="494" t="s">
        <v>1446</v>
      </c>
      <c r="N758" s="555" t="str">
        <f t="shared" ca="1" si="112"/>
        <v/>
      </c>
      <c r="O758" s="494" t="s">
        <v>1447</v>
      </c>
      <c r="P758" s="555" t="str">
        <f t="shared" ca="1" si="113"/>
        <v/>
      </c>
      <c r="Q758" s="494" t="s">
        <v>1448</v>
      </c>
      <c r="R758" s="494" t="str">
        <f t="shared" si="119"/>
        <v>H758</v>
      </c>
      <c r="S758" s="494" t="s">
        <v>1449</v>
      </c>
      <c r="T758" s="494">
        <v>10</v>
      </c>
      <c r="U758" s="556" t="str">
        <f t="shared" ca="1" si="121"/>
        <v/>
      </c>
      <c r="V758" s="494">
        <v>11</v>
      </c>
      <c r="W758" s="556" t="str">
        <f t="shared" ca="1" si="122"/>
        <v/>
      </c>
      <c r="X758" s="494" t="s">
        <v>1450</v>
      </c>
      <c r="Y758" s="547" t="str">
        <f t="shared" ca="1" si="114"/>
        <v/>
      </c>
      <c r="Z758" s="494" t="s">
        <v>1451</v>
      </c>
      <c r="AA758" s="547" t="str">
        <f t="shared" ca="1" si="115"/>
        <v/>
      </c>
      <c r="AB758" s="494" t="s">
        <v>1452</v>
      </c>
      <c r="AC758" s="547" t="str">
        <f t="shared" ca="1" si="116"/>
        <v/>
      </c>
      <c r="AD758" s="557"/>
      <c r="AE758" s="958"/>
    </row>
    <row r="759" spans="1:31" ht="15" customHeight="1">
      <c r="A759" s="957">
        <v>104</v>
      </c>
      <c r="B759" s="566" t="s">
        <v>493</v>
      </c>
      <c r="C759" s="567" t="s">
        <v>1443</v>
      </c>
      <c r="D759" s="958">
        <v>1.3</v>
      </c>
      <c r="E759" s="959" t="s">
        <v>353</v>
      </c>
      <c r="F759" s="558" t="s">
        <v>1486</v>
      </c>
      <c r="G759" s="558">
        <v>1149</v>
      </c>
      <c r="H759" s="558" t="s">
        <v>365</v>
      </c>
      <c r="I759" s="559" t="s">
        <v>1560</v>
      </c>
      <c r="J759" s="567" t="s">
        <v>1445</v>
      </c>
      <c r="K759" s="961" t="s">
        <v>1373</v>
      </c>
      <c r="L759" s="555" t="str">
        <f t="shared" ca="1" si="111"/>
        <v/>
      </c>
      <c r="M759" s="494" t="s">
        <v>1446</v>
      </c>
      <c r="N759" s="555" t="str">
        <f t="shared" ca="1" si="112"/>
        <v/>
      </c>
      <c r="O759" s="494" t="s">
        <v>1447</v>
      </c>
      <c r="P759" s="555" t="str">
        <f t="shared" ca="1" si="113"/>
        <v/>
      </c>
      <c r="Q759" s="494" t="s">
        <v>1448</v>
      </c>
      <c r="R759" s="494" t="str">
        <f t="shared" si="119"/>
        <v>H759</v>
      </c>
      <c r="S759" s="494" t="s">
        <v>1449</v>
      </c>
      <c r="T759" s="494">
        <v>10</v>
      </c>
      <c r="U759" s="556" t="str">
        <f t="shared" ca="1" si="121"/>
        <v/>
      </c>
      <c r="V759" s="494">
        <v>11</v>
      </c>
      <c r="W759" s="556" t="str">
        <f t="shared" ca="1" si="122"/>
        <v/>
      </c>
      <c r="X759" s="494" t="s">
        <v>1450</v>
      </c>
      <c r="Y759" s="547" t="str">
        <f t="shared" ca="1" si="114"/>
        <v/>
      </c>
      <c r="Z759" s="494" t="s">
        <v>1451</v>
      </c>
      <c r="AA759" s="547" t="str">
        <f t="shared" ca="1" si="115"/>
        <v/>
      </c>
      <c r="AB759" s="494" t="s">
        <v>1452</v>
      </c>
      <c r="AC759" s="547" t="str">
        <f t="shared" ca="1" si="116"/>
        <v/>
      </c>
      <c r="AD759" s="557"/>
      <c r="AE759" s="958"/>
    </row>
    <row r="760" spans="1:31" ht="15" customHeight="1">
      <c r="A760" s="957">
        <v>104</v>
      </c>
      <c r="B760" s="566" t="s">
        <v>493</v>
      </c>
      <c r="C760" s="567" t="s">
        <v>1443</v>
      </c>
      <c r="D760" s="958">
        <v>1.3</v>
      </c>
      <c r="E760" s="959" t="s">
        <v>367</v>
      </c>
      <c r="F760" s="558" t="s">
        <v>1488</v>
      </c>
      <c r="G760" s="558">
        <v>1152</v>
      </c>
      <c r="H760" s="558" t="s">
        <v>370</v>
      </c>
      <c r="I760" s="559" t="s">
        <v>371</v>
      </c>
      <c r="J760" s="567" t="s">
        <v>1445</v>
      </c>
      <c r="K760" s="961" t="s">
        <v>1373</v>
      </c>
      <c r="L760" s="555" t="str">
        <f t="shared" ca="1" si="111"/>
        <v/>
      </c>
      <c r="M760" s="494" t="s">
        <v>1446</v>
      </c>
      <c r="N760" s="555" t="str">
        <f t="shared" ca="1" si="112"/>
        <v/>
      </c>
      <c r="O760" s="494" t="s">
        <v>1447</v>
      </c>
      <c r="P760" s="555" t="str">
        <f t="shared" ca="1" si="113"/>
        <v/>
      </c>
      <c r="Q760" s="494" t="s">
        <v>1448</v>
      </c>
      <c r="R760" s="494" t="str">
        <f t="shared" si="119"/>
        <v>H760</v>
      </c>
      <c r="S760" s="494" t="s">
        <v>1449</v>
      </c>
      <c r="T760" s="494">
        <v>10</v>
      </c>
      <c r="U760" s="556" t="str">
        <f t="shared" ca="1" si="121"/>
        <v/>
      </c>
      <c r="V760" s="494">
        <v>11</v>
      </c>
      <c r="W760" s="556" t="str">
        <f t="shared" ca="1" si="122"/>
        <v/>
      </c>
      <c r="X760" s="494" t="s">
        <v>1450</v>
      </c>
      <c r="Y760" s="547" t="str">
        <f t="shared" ca="1" si="114"/>
        <v/>
      </c>
      <c r="Z760" s="494" t="s">
        <v>1451</v>
      </c>
      <c r="AA760" s="547" t="str">
        <f t="shared" ca="1" si="115"/>
        <v/>
      </c>
      <c r="AB760" s="494" t="s">
        <v>1452</v>
      </c>
      <c r="AC760" s="547" t="str">
        <f t="shared" ca="1" si="116"/>
        <v/>
      </c>
      <c r="AD760" s="557"/>
      <c r="AE760" s="958"/>
    </row>
    <row r="761" spans="1:31" ht="15" customHeight="1">
      <c r="A761" s="957">
        <v>104</v>
      </c>
      <c r="B761" s="566" t="s">
        <v>493</v>
      </c>
      <c r="C761" s="567" t="s">
        <v>1443</v>
      </c>
      <c r="D761" s="958">
        <v>1.3</v>
      </c>
      <c r="E761" s="959" t="s">
        <v>367</v>
      </c>
      <c r="F761" s="558" t="s">
        <v>1488</v>
      </c>
      <c r="G761" s="558">
        <v>1161</v>
      </c>
      <c r="H761" s="558" t="s">
        <v>373</v>
      </c>
      <c r="I761" s="559" t="s">
        <v>374</v>
      </c>
      <c r="J761" s="567" t="s">
        <v>1445</v>
      </c>
      <c r="K761" s="961" t="s">
        <v>1373</v>
      </c>
      <c r="L761" s="555" t="str">
        <f t="shared" ca="1" si="111"/>
        <v/>
      </c>
      <c r="M761" s="494" t="s">
        <v>1446</v>
      </c>
      <c r="N761" s="555" t="str">
        <f t="shared" ca="1" si="112"/>
        <v/>
      </c>
      <c r="O761" s="494" t="s">
        <v>1447</v>
      </c>
      <c r="P761" s="555" t="str">
        <f t="shared" ca="1" si="113"/>
        <v/>
      </c>
      <c r="Q761" s="494" t="s">
        <v>1448</v>
      </c>
      <c r="R761" s="494" t="str">
        <f t="shared" si="119"/>
        <v>H761</v>
      </c>
      <c r="S761" s="494" t="s">
        <v>1449</v>
      </c>
      <c r="T761" s="494">
        <v>10</v>
      </c>
      <c r="U761" s="556" t="str">
        <f t="shared" ca="1" si="121"/>
        <v/>
      </c>
      <c r="V761" s="494">
        <v>11</v>
      </c>
      <c r="W761" s="556" t="str">
        <f t="shared" ca="1" si="122"/>
        <v/>
      </c>
      <c r="X761" s="494" t="s">
        <v>1450</v>
      </c>
      <c r="Y761" s="547" t="str">
        <f t="shared" ca="1" si="114"/>
        <v/>
      </c>
      <c r="Z761" s="494" t="s">
        <v>1451</v>
      </c>
      <c r="AA761" s="547" t="str">
        <f t="shared" ca="1" si="115"/>
        <v/>
      </c>
      <c r="AB761" s="494" t="s">
        <v>1452</v>
      </c>
      <c r="AC761" s="547" t="str">
        <f t="shared" ca="1" si="116"/>
        <v/>
      </c>
      <c r="AD761" s="557"/>
      <c r="AE761" s="958"/>
    </row>
    <row r="762" spans="1:31" ht="15" customHeight="1">
      <c r="A762" s="957">
        <v>104</v>
      </c>
      <c r="B762" s="566" t="s">
        <v>493</v>
      </c>
      <c r="C762" s="567" t="s">
        <v>1443</v>
      </c>
      <c r="D762" s="958">
        <v>1.3</v>
      </c>
      <c r="E762" s="959" t="s">
        <v>367</v>
      </c>
      <c r="F762" s="558" t="s">
        <v>1488</v>
      </c>
      <c r="G762" s="558">
        <v>1168</v>
      </c>
      <c r="H762" s="558" t="s">
        <v>1489</v>
      </c>
      <c r="I762" s="559" t="s">
        <v>1490</v>
      </c>
      <c r="J762" s="567" t="s">
        <v>1445</v>
      </c>
      <c r="K762" s="961" t="s">
        <v>1373</v>
      </c>
      <c r="L762" s="555" t="str">
        <f t="shared" ca="1" si="111"/>
        <v/>
      </c>
      <c r="M762" s="494" t="s">
        <v>1446</v>
      </c>
      <c r="N762" s="555" t="str">
        <f t="shared" ca="1" si="112"/>
        <v/>
      </c>
      <c r="O762" s="494" t="s">
        <v>1447</v>
      </c>
      <c r="P762" s="555" t="str">
        <f t="shared" ca="1" si="113"/>
        <v/>
      </c>
      <c r="Q762" s="494" t="s">
        <v>1448</v>
      </c>
      <c r="R762" s="494" t="str">
        <f t="shared" ref="R762:R770" si="123">CONCATENATE("I",ROW(J762))</f>
        <v>I762</v>
      </c>
      <c r="S762" s="494" t="s">
        <v>1491</v>
      </c>
      <c r="T762" s="494">
        <v>10</v>
      </c>
      <c r="U762" s="556" t="str">
        <f t="shared" ca="1" si="121"/>
        <v/>
      </c>
      <c r="V762" s="494">
        <v>11</v>
      </c>
      <c r="W762" s="556" t="str">
        <f t="shared" ca="1" si="122"/>
        <v/>
      </c>
      <c r="X762" s="494" t="s">
        <v>1450</v>
      </c>
      <c r="Y762" s="547" t="str">
        <f t="shared" ca="1" si="114"/>
        <v/>
      </c>
      <c r="Z762" s="494" t="s">
        <v>1451</v>
      </c>
      <c r="AA762" s="547" t="str">
        <f t="shared" ca="1" si="115"/>
        <v/>
      </c>
      <c r="AB762" s="494" t="s">
        <v>1452</v>
      </c>
      <c r="AC762" s="547" t="str">
        <f t="shared" ca="1" si="116"/>
        <v/>
      </c>
      <c r="AD762" s="557"/>
      <c r="AE762" s="958"/>
    </row>
    <row r="763" spans="1:31" ht="15" customHeight="1">
      <c r="A763" s="957">
        <v>104</v>
      </c>
      <c r="B763" s="566" t="s">
        <v>493</v>
      </c>
      <c r="C763" s="567" t="s">
        <v>1443</v>
      </c>
      <c r="D763" s="958">
        <v>1.3</v>
      </c>
      <c r="E763" s="959" t="s">
        <v>367</v>
      </c>
      <c r="F763" s="558" t="s">
        <v>1488</v>
      </c>
      <c r="G763" s="558">
        <v>1169</v>
      </c>
      <c r="H763" s="558" t="s">
        <v>1492</v>
      </c>
      <c r="I763" s="559" t="s">
        <v>1493</v>
      </c>
      <c r="J763" s="567" t="s">
        <v>1445</v>
      </c>
      <c r="K763" s="961" t="s">
        <v>1373</v>
      </c>
      <c r="L763" s="555" t="str">
        <f t="shared" ca="1" si="111"/>
        <v/>
      </c>
      <c r="M763" s="494" t="s">
        <v>1446</v>
      </c>
      <c r="N763" s="555" t="str">
        <f t="shared" ca="1" si="112"/>
        <v/>
      </c>
      <c r="O763" s="494" t="s">
        <v>1447</v>
      </c>
      <c r="P763" s="555" t="str">
        <f t="shared" ca="1" si="113"/>
        <v/>
      </c>
      <c r="Q763" s="494" t="s">
        <v>1448</v>
      </c>
      <c r="R763" s="494" t="str">
        <f t="shared" si="123"/>
        <v>I763</v>
      </c>
      <c r="S763" s="494" t="s">
        <v>1491</v>
      </c>
      <c r="T763" s="494">
        <v>10</v>
      </c>
      <c r="U763" s="556" t="str">
        <f t="shared" ca="1" si="121"/>
        <v/>
      </c>
      <c r="V763" s="494">
        <v>11</v>
      </c>
      <c r="W763" s="556" t="str">
        <f t="shared" ca="1" si="122"/>
        <v/>
      </c>
      <c r="X763" s="494" t="s">
        <v>1450</v>
      </c>
      <c r="Y763" s="547" t="str">
        <f t="shared" ca="1" si="114"/>
        <v/>
      </c>
      <c r="Z763" s="494" t="s">
        <v>1451</v>
      </c>
      <c r="AA763" s="547" t="str">
        <f t="shared" ca="1" si="115"/>
        <v/>
      </c>
      <c r="AB763" s="494" t="s">
        <v>1452</v>
      </c>
      <c r="AC763" s="547" t="str">
        <f t="shared" ca="1" si="116"/>
        <v/>
      </c>
      <c r="AD763" s="557"/>
      <c r="AE763" s="958"/>
    </row>
    <row r="764" spans="1:31" ht="15" customHeight="1">
      <c r="A764" s="957">
        <v>104</v>
      </c>
      <c r="B764" s="566" t="s">
        <v>493</v>
      </c>
      <c r="C764" s="567" t="s">
        <v>1443</v>
      </c>
      <c r="D764" s="958">
        <v>1.3</v>
      </c>
      <c r="E764" s="959" t="s">
        <v>367</v>
      </c>
      <c r="F764" s="558" t="s">
        <v>1488</v>
      </c>
      <c r="G764" s="558">
        <v>1170</v>
      </c>
      <c r="H764" s="558" t="s">
        <v>1494</v>
      </c>
      <c r="I764" s="559" t="s">
        <v>1495</v>
      </c>
      <c r="J764" s="567" t="s">
        <v>1445</v>
      </c>
      <c r="K764" s="961" t="s">
        <v>1373</v>
      </c>
      <c r="L764" s="555" t="str">
        <f t="shared" ca="1" si="111"/>
        <v/>
      </c>
      <c r="M764" s="494" t="s">
        <v>1446</v>
      </c>
      <c r="N764" s="555" t="str">
        <f t="shared" ca="1" si="112"/>
        <v/>
      </c>
      <c r="O764" s="494" t="s">
        <v>1447</v>
      </c>
      <c r="P764" s="555" t="str">
        <f t="shared" ca="1" si="113"/>
        <v/>
      </c>
      <c r="Q764" s="494" t="s">
        <v>1448</v>
      </c>
      <c r="R764" s="494" t="str">
        <f t="shared" si="123"/>
        <v>I764</v>
      </c>
      <c r="S764" s="494" t="s">
        <v>1491</v>
      </c>
      <c r="T764" s="494">
        <v>10</v>
      </c>
      <c r="U764" s="556" t="str">
        <f t="shared" ca="1" si="121"/>
        <v/>
      </c>
      <c r="V764" s="494">
        <v>11</v>
      </c>
      <c r="W764" s="556" t="str">
        <f t="shared" ca="1" si="122"/>
        <v/>
      </c>
      <c r="X764" s="494" t="s">
        <v>1450</v>
      </c>
      <c r="Y764" s="547" t="str">
        <f t="shared" ca="1" si="114"/>
        <v/>
      </c>
      <c r="Z764" s="494" t="s">
        <v>1451</v>
      </c>
      <c r="AA764" s="547" t="str">
        <f t="shared" ca="1" si="115"/>
        <v/>
      </c>
      <c r="AB764" s="494" t="s">
        <v>1452</v>
      </c>
      <c r="AC764" s="547" t="str">
        <f t="shared" ca="1" si="116"/>
        <v/>
      </c>
      <c r="AD764" s="557"/>
      <c r="AE764" s="958"/>
    </row>
    <row r="765" spans="1:31" ht="15" customHeight="1">
      <c r="A765" s="957">
        <v>104</v>
      </c>
      <c r="B765" s="566" t="s">
        <v>493</v>
      </c>
      <c r="C765" s="567" t="s">
        <v>1443</v>
      </c>
      <c r="D765" s="958">
        <v>1.3</v>
      </c>
      <c r="E765" s="959" t="s">
        <v>367</v>
      </c>
      <c r="F765" s="558" t="s">
        <v>1488</v>
      </c>
      <c r="G765" s="558">
        <v>1174</v>
      </c>
      <c r="H765" s="558" t="s">
        <v>1561</v>
      </c>
      <c r="I765" s="559" t="s">
        <v>508</v>
      </c>
      <c r="J765" s="567" t="s">
        <v>1445</v>
      </c>
      <c r="K765" s="961" t="s">
        <v>1373</v>
      </c>
      <c r="L765" s="555" t="str">
        <f t="shared" ca="1" si="111"/>
        <v/>
      </c>
      <c r="M765" s="494" t="s">
        <v>1446</v>
      </c>
      <c r="N765" s="555" t="str">
        <f t="shared" ca="1" si="112"/>
        <v/>
      </c>
      <c r="O765" s="494" t="s">
        <v>1447</v>
      </c>
      <c r="P765" s="555" t="str">
        <f t="shared" ca="1" si="113"/>
        <v/>
      </c>
      <c r="Q765" s="494" t="s">
        <v>1448</v>
      </c>
      <c r="R765" s="494" t="str">
        <f t="shared" si="123"/>
        <v>I765</v>
      </c>
      <c r="S765" s="494" t="s">
        <v>1491</v>
      </c>
      <c r="T765" s="494">
        <v>10</v>
      </c>
      <c r="U765" s="556" t="str">
        <f ca="1">_xlfn.IFNA(IF(AND($B765=INDIRECT(CONCATENATE($J765,$K765,5)),ISBLANK(INDEX(INDIRECT(CONCATENATE($J765,$Q765)),MATCH(INDIRECT($R765),INDIRECT(CONCATENATE($J765,$S765)),0),T765))=FALSE),INDEX(INDIRECT(CONCATENATE($J765,$Q765)),MATCH(INDIRECT($R765),INDIRECT(CONCATENATE($J765,$S765)),0),T765),""),"")</f>
        <v/>
      </c>
      <c r="V765" s="494">
        <v>11</v>
      </c>
      <c r="W765" s="556" t="str">
        <f ca="1">_xlfn.IFNA(IF(AND($B765=INDIRECT(CONCATENATE($J765,$K765,5)),ISBLANK(INDEX(INDIRECT(CONCATENATE($J765,$Q765)),MATCH(INDIRECT($R765),INDIRECT(CONCATENATE($J765,$S765)),0),V765))=FALSE),INDEX(INDIRECT(CONCATENATE($J765,$Q765)),MATCH(INDIRECT($R765),INDIRECT(CONCATENATE($J765,$S765)),0),V765),""),"")</f>
        <v/>
      </c>
      <c r="X765" s="494" t="s">
        <v>1450</v>
      </c>
      <c r="Y765" s="547" t="str">
        <f t="shared" ca="1" si="114"/>
        <v/>
      </c>
      <c r="Z765" s="494" t="s">
        <v>1451</v>
      </c>
      <c r="AA765" s="547" t="str">
        <f t="shared" ca="1" si="115"/>
        <v/>
      </c>
      <c r="AB765" s="494" t="s">
        <v>1452</v>
      </c>
      <c r="AC765" s="547" t="str">
        <f t="shared" ca="1" si="116"/>
        <v/>
      </c>
      <c r="AD765" s="557"/>
      <c r="AE765" s="958"/>
    </row>
    <row r="766" spans="1:31" ht="15" customHeight="1">
      <c r="A766" s="957">
        <v>104</v>
      </c>
      <c r="B766" s="566" t="s">
        <v>493</v>
      </c>
      <c r="C766" s="567" t="s">
        <v>1443</v>
      </c>
      <c r="D766" s="958">
        <v>1.3</v>
      </c>
      <c r="E766" s="959" t="s">
        <v>367</v>
      </c>
      <c r="F766" s="558" t="s">
        <v>1488</v>
      </c>
      <c r="G766" s="558">
        <v>1177</v>
      </c>
      <c r="H766" s="558" t="s">
        <v>1562</v>
      </c>
      <c r="I766" s="559" t="s">
        <v>509</v>
      </c>
      <c r="J766" s="567" t="s">
        <v>1445</v>
      </c>
      <c r="K766" s="961" t="s">
        <v>1373</v>
      </c>
      <c r="L766" s="555" t="str">
        <f t="shared" ca="1" si="111"/>
        <v/>
      </c>
      <c r="M766" s="494" t="s">
        <v>1446</v>
      </c>
      <c r="N766" s="555" t="str">
        <f t="shared" ca="1" si="112"/>
        <v/>
      </c>
      <c r="O766" s="494" t="s">
        <v>1447</v>
      </c>
      <c r="P766" s="555" t="str">
        <f t="shared" ca="1" si="113"/>
        <v/>
      </c>
      <c r="Q766" s="494" t="s">
        <v>1448</v>
      </c>
      <c r="R766" s="494" t="str">
        <f t="shared" si="123"/>
        <v>I766</v>
      </c>
      <c r="S766" s="494" t="s">
        <v>1491</v>
      </c>
      <c r="T766" s="494">
        <v>10</v>
      </c>
      <c r="U766" s="556" t="str">
        <f ca="1">_xlfn.IFNA(IF(AND($B766=INDIRECT(CONCATENATE($J766,$K766,5)),ISBLANK(INDEX(INDIRECT(CONCATENATE($J766,$Q766)),MATCH(INDIRECT($R766),INDIRECT(CONCATENATE($J766,$S766)),0),T766))=FALSE),INDEX(INDIRECT(CONCATENATE($J766,$Q766)),MATCH(INDIRECT($R766),INDIRECT(CONCATENATE($J766,$S766)),0),T766),""),"")</f>
        <v/>
      </c>
      <c r="V766" s="494">
        <v>11</v>
      </c>
      <c r="W766" s="556" t="str">
        <f ca="1">_xlfn.IFNA(IF(AND($B766=INDIRECT(CONCATENATE($J766,$K766,5)),ISBLANK(INDEX(INDIRECT(CONCATENATE($J766,$Q766)),MATCH(INDIRECT($R766),INDIRECT(CONCATENATE($J766,$S766)),0),V766))=FALSE),INDEX(INDIRECT(CONCATENATE($J766,$Q766)),MATCH(INDIRECT($R766),INDIRECT(CONCATENATE($J766,$S766)),0),V766),""),"")</f>
        <v/>
      </c>
      <c r="X766" s="494" t="s">
        <v>1450</v>
      </c>
      <c r="Y766" s="547" t="str">
        <f t="shared" ca="1" si="114"/>
        <v/>
      </c>
      <c r="Z766" s="494" t="s">
        <v>1451</v>
      </c>
      <c r="AA766" s="547" t="str">
        <f t="shared" ca="1" si="115"/>
        <v/>
      </c>
      <c r="AB766" s="494" t="s">
        <v>1452</v>
      </c>
      <c r="AC766" s="547" t="str">
        <f t="shared" ca="1" si="116"/>
        <v/>
      </c>
      <c r="AD766" s="557"/>
      <c r="AE766" s="958"/>
    </row>
    <row r="767" spans="1:31" ht="15" customHeight="1">
      <c r="A767" s="957">
        <v>104</v>
      </c>
      <c r="B767" s="566" t="s">
        <v>493</v>
      </c>
      <c r="C767" s="567" t="s">
        <v>1443</v>
      </c>
      <c r="D767" s="958">
        <v>1.3</v>
      </c>
      <c r="E767" s="959" t="s">
        <v>367</v>
      </c>
      <c r="F767" s="558" t="s">
        <v>1488</v>
      </c>
      <c r="G767" s="558">
        <v>1179</v>
      </c>
      <c r="H767" s="558" t="s">
        <v>1563</v>
      </c>
      <c r="I767" s="559" t="s">
        <v>1502</v>
      </c>
      <c r="J767" s="567" t="s">
        <v>1445</v>
      </c>
      <c r="K767" s="961" t="s">
        <v>1373</v>
      </c>
      <c r="L767" s="555" t="str">
        <f t="shared" ca="1" si="111"/>
        <v/>
      </c>
      <c r="M767" s="494" t="s">
        <v>1446</v>
      </c>
      <c r="N767" s="555" t="str">
        <f t="shared" ca="1" si="112"/>
        <v/>
      </c>
      <c r="O767" s="494" t="s">
        <v>1447</v>
      </c>
      <c r="P767" s="555" t="str">
        <f t="shared" ca="1" si="113"/>
        <v/>
      </c>
      <c r="Q767" s="494" t="s">
        <v>1448</v>
      </c>
      <c r="R767" s="494" t="str">
        <f t="shared" si="123"/>
        <v>I767</v>
      </c>
      <c r="S767" s="494" t="s">
        <v>1491</v>
      </c>
      <c r="T767" s="494">
        <v>10</v>
      </c>
      <c r="U767" s="556" t="str">
        <f t="shared" ref="U767:U830" ca="1" si="124">IF(AND($B767=INDIRECT(CONCATENATE($J767,$K767,5)),ISBLANK(INDEX(INDIRECT(CONCATENATE($J767,$Q767)),MATCH(INDIRECT($R767),INDIRECT(CONCATENATE($J767,$S767)),0),T767))=FALSE),INDEX(INDIRECT(CONCATENATE($J767,$Q767)),MATCH(INDIRECT($R767),INDIRECT(CONCATENATE($J767,$S767)),0),T767),"")</f>
        <v/>
      </c>
      <c r="V767" s="494">
        <v>11</v>
      </c>
      <c r="W767" s="556" t="str">
        <f t="shared" ref="W767:W830" ca="1" si="125">IF(AND($B767=INDIRECT(CONCATENATE($J767,$K767,5)),ISBLANK(INDEX(INDIRECT(CONCATENATE($J767,$Q767)),MATCH(INDIRECT($R767),INDIRECT(CONCATENATE($J767,$S767)),0),V767))=FALSE),INDEX(INDIRECT(CONCATENATE($J767,$Q767)),MATCH(INDIRECT($R767),INDIRECT(CONCATENATE($J767,$S767)),0),V767),"")</f>
        <v/>
      </c>
      <c r="X767" s="494" t="s">
        <v>1450</v>
      </c>
      <c r="Y767" s="547" t="str">
        <f t="shared" ca="1" si="114"/>
        <v/>
      </c>
      <c r="Z767" s="494" t="s">
        <v>1451</v>
      </c>
      <c r="AA767" s="547" t="str">
        <f t="shared" ca="1" si="115"/>
        <v/>
      </c>
      <c r="AB767" s="494" t="s">
        <v>1452</v>
      </c>
      <c r="AC767" s="547" t="str">
        <f t="shared" ca="1" si="116"/>
        <v/>
      </c>
      <c r="AD767" s="557"/>
      <c r="AE767" s="958"/>
    </row>
    <row r="768" spans="1:31" ht="15" customHeight="1">
      <c r="A768" s="957">
        <v>104</v>
      </c>
      <c r="B768" s="566" t="s">
        <v>493</v>
      </c>
      <c r="C768" s="567" t="s">
        <v>1443</v>
      </c>
      <c r="D768" s="958">
        <v>1.3</v>
      </c>
      <c r="E768" s="959" t="s">
        <v>367</v>
      </c>
      <c r="F768" s="558" t="s">
        <v>1488</v>
      </c>
      <c r="G768" s="558">
        <v>1180</v>
      </c>
      <c r="H768" s="558" t="s">
        <v>1564</v>
      </c>
      <c r="I768" s="559" t="s">
        <v>1503</v>
      </c>
      <c r="J768" s="567" t="s">
        <v>1445</v>
      </c>
      <c r="K768" s="961" t="s">
        <v>1373</v>
      </c>
      <c r="L768" s="555" t="str">
        <f t="shared" ca="1" si="111"/>
        <v/>
      </c>
      <c r="M768" s="494" t="s">
        <v>1446</v>
      </c>
      <c r="N768" s="555" t="str">
        <f t="shared" ca="1" si="112"/>
        <v/>
      </c>
      <c r="O768" s="494" t="s">
        <v>1447</v>
      </c>
      <c r="P768" s="555" t="str">
        <f t="shared" ca="1" si="113"/>
        <v/>
      </c>
      <c r="Q768" s="494" t="s">
        <v>1448</v>
      </c>
      <c r="R768" s="494" t="str">
        <f t="shared" si="123"/>
        <v>I768</v>
      </c>
      <c r="S768" s="494" t="s">
        <v>1491</v>
      </c>
      <c r="T768" s="494">
        <v>10</v>
      </c>
      <c r="U768" s="556" t="str">
        <f t="shared" ca="1" si="124"/>
        <v/>
      </c>
      <c r="V768" s="494">
        <v>11</v>
      </c>
      <c r="W768" s="556" t="str">
        <f t="shared" ca="1" si="125"/>
        <v/>
      </c>
      <c r="X768" s="494" t="s">
        <v>1450</v>
      </c>
      <c r="Y768" s="547" t="str">
        <f t="shared" ca="1" si="114"/>
        <v/>
      </c>
      <c r="Z768" s="494" t="s">
        <v>1451</v>
      </c>
      <c r="AA768" s="547" t="str">
        <f t="shared" ca="1" si="115"/>
        <v/>
      </c>
      <c r="AB768" s="494" t="s">
        <v>1452</v>
      </c>
      <c r="AC768" s="547" t="str">
        <f t="shared" ca="1" si="116"/>
        <v/>
      </c>
      <c r="AD768" s="557"/>
      <c r="AE768" s="958"/>
    </row>
    <row r="769" spans="1:31" ht="15" customHeight="1">
      <c r="A769" s="957">
        <v>104</v>
      </c>
      <c r="B769" s="566" t="s">
        <v>493</v>
      </c>
      <c r="C769" s="567" t="s">
        <v>1443</v>
      </c>
      <c r="D769" s="958">
        <v>1.3</v>
      </c>
      <c r="E769" s="959" t="s">
        <v>367</v>
      </c>
      <c r="F769" s="558" t="s">
        <v>1488</v>
      </c>
      <c r="G769" s="558">
        <v>1182</v>
      </c>
      <c r="H769" s="558" t="s">
        <v>1565</v>
      </c>
      <c r="I769" s="559" t="s">
        <v>1504</v>
      </c>
      <c r="J769" s="567" t="s">
        <v>1445</v>
      </c>
      <c r="K769" s="961" t="s">
        <v>1373</v>
      </c>
      <c r="L769" s="555" t="str">
        <f t="shared" ca="1" si="111"/>
        <v/>
      </c>
      <c r="M769" s="494" t="s">
        <v>1446</v>
      </c>
      <c r="N769" s="555" t="str">
        <f t="shared" ca="1" si="112"/>
        <v/>
      </c>
      <c r="O769" s="494" t="s">
        <v>1447</v>
      </c>
      <c r="P769" s="555" t="str">
        <f t="shared" ca="1" si="113"/>
        <v/>
      </c>
      <c r="Q769" s="494" t="s">
        <v>1448</v>
      </c>
      <c r="R769" s="494" t="str">
        <f t="shared" si="123"/>
        <v>I769</v>
      </c>
      <c r="S769" s="494" t="s">
        <v>1491</v>
      </c>
      <c r="T769" s="494">
        <v>10</v>
      </c>
      <c r="U769" s="556" t="str">
        <f t="shared" ca="1" si="124"/>
        <v/>
      </c>
      <c r="V769" s="494">
        <v>11</v>
      </c>
      <c r="W769" s="556" t="str">
        <f t="shared" ca="1" si="125"/>
        <v/>
      </c>
      <c r="X769" s="494" t="s">
        <v>1450</v>
      </c>
      <c r="Y769" s="547" t="str">
        <f t="shared" ca="1" si="114"/>
        <v/>
      </c>
      <c r="Z769" s="494" t="s">
        <v>1451</v>
      </c>
      <c r="AA769" s="547" t="str">
        <f t="shared" ca="1" si="115"/>
        <v/>
      </c>
      <c r="AB769" s="494" t="s">
        <v>1452</v>
      </c>
      <c r="AC769" s="547" t="str">
        <f t="shared" ca="1" si="116"/>
        <v/>
      </c>
      <c r="AD769" s="557"/>
      <c r="AE769" s="958"/>
    </row>
    <row r="770" spans="1:31" ht="15" customHeight="1">
      <c r="A770" s="957">
        <v>104</v>
      </c>
      <c r="B770" s="566" t="s">
        <v>493</v>
      </c>
      <c r="C770" s="567" t="s">
        <v>1443</v>
      </c>
      <c r="D770" s="958">
        <v>1.3</v>
      </c>
      <c r="E770" s="959" t="s">
        <v>367</v>
      </c>
      <c r="F770" s="558" t="s">
        <v>1488</v>
      </c>
      <c r="G770" s="558">
        <v>1183</v>
      </c>
      <c r="H770" s="558" t="s">
        <v>1566</v>
      </c>
      <c r="I770" s="559" t="s">
        <v>1505</v>
      </c>
      <c r="J770" s="567" t="s">
        <v>1445</v>
      </c>
      <c r="K770" s="961" t="s">
        <v>1373</v>
      </c>
      <c r="L770" s="555" t="str">
        <f t="shared" ref="L770:L833" ca="1" si="126">IF(AND(INDIRECT(CONCATENATE($J770,$K770,5))=$B770,ISNUMBER(SEARCH("Please",INDIRECT(CONCATENATE($J770,$K770,2)),1))=FALSE),SUMPRODUCT(MID(0&amp;INDIRECT(CONCATENATE($J770,$K770,2)), LARGE(INDEX(ISNUMBER(--MID(INDIRECT(CONCATENATE($J770,$K770,2)), ROW(INDIRECT("1:"&amp;LEN(INDIRECT(CONCATENATE($J770,$K770,2))))),1))*ROW(INDIRECT("1:"&amp;LEN(INDIRECT(CONCATENATE($J770,$K770,2))))),0), ROW(INDIRECT("1:"&amp;LEN(INDIRECT(CONCATENATE($J770,$K770,2))))))+1,1)*10^ROW(INDIRECT("1:"&amp;LEN(INDIRECT(CONCATENATE($J770,$K770,2)))))/10),"")</f>
        <v/>
      </c>
      <c r="M770" s="494" t="s">
        <v>1446</v>
      </c>
      <c r="N770" s="555" t="str">
        <f t="shared" ref="N770:N833" ca="1" si="127">IF(AND(INDIRECT(CONCATENATE($J770,$K770,5))=$B770,ISNUMBER(SEARCH("Select",INDIRECT(CONCATENATE($J770,$M770,6)),1))=FALSE),INDIRECT(CONCATENATE($J770,$M770,6)),"")</f>
        <v/>
      </c>
      <c r="O770" s="494" t="s">
        <v>1447</v>
      </c>
      <c r="P770" s="555" t="str">
        <f t="shared" ref="P770:P833" ca="1" si="128">IF(AND(INDIRECT(CONCATENATE($J770,$K770,5))=$B770,ISNUMBER(SEARCH("Select",INDIRECT(CONCATENATE($J770,$O770,6)),1))=FALSE),INDIRECT(CONCATENATE($J770,$O770,6)),"")</f>
        <v/>
      </c>
      <c r="Q770" s="494" t="s">
        <v>1448</v>
      </c>
      <c r="R770" s="494" t="str">
        <f t="shared" si="123"/>
        <v>I770</v>
      </c>
      <c r="S770" s="494" t="s">
        <v>1491</v>
      </c>
      <c r="T770" s="494">
        <v>10</v>
      </c>
      <c r="U770" s="556" t="str">
        <f t="shared" ca="1" si="124"/>
        <v/>
      </c>
      <c r="V770" s="494">
        <v>11</v>
      </c>
      <c r="W770" s="556" t="str">
        <f t="shared" ca="1" si="125"/>
        <v/>
      </c>
      <c r="X770" s="494" t="s">
        <v>1450</v>
      </c>
      <c r="Y770" s="547" t="str">
        <f t="shared" ref="Y770:Y833" ca="1" si="129">IF(AND(INDIRECT(CONCATENATE($J770,$K770,5))=$B770,ISBLANK(INDIRECT(CONCATENATE($J770,X770)))=FALSE),INDIRECT(CONCATENATE($J770,X770)),"")</f>
        <v/>
      </c>
      <c r="Z770" s="494" t="s">
        <v>1451</v>
      </c>
      <c r="AA770" s="547" t="str">
        <f t="shared" ref="AA770:AA833" ca="1" si="130">IF(AND(INDIRECT(CONCATENATE($J770,$K770,"5"))=$B770,ISBLANK(INDIRECT(CONCATENATE($J770,Z770)))=FALSE),INDIRECT(CONCATENATE($J770,Z770)),"")</f>
        <v/>
      </c>
      <c r="AB770" s="494" t="s">
        <v>1452</v>
      </c>
      <c r="AC770" s="547" t="str">
        <f t="shared" ref="AC770:AC833" ca="1" si="131">IF(AND(INDIRECT(CONCATENATE($J770,$K770,"5"))=$B770,ISBLANK(INDIRECT(CONCATENATE($J770,AB770)))=FALSE),INDIRECT(CONCATENATE($J770,AB770)),"")</f>
        <v/>
      </c>
      <c r="AD770" s="557"/>
      <c r="AE770" s="958"/>
    </row>
    <row r="771" spans="1:31" ht="15" customHeight="1">
      <c r="A771" s="957">
        <v>104</v>
      </c>
      <c r="B771" s="566" t="s">
        <v>493</v>
      </c>
      <c r="C771" s="567" t="s">
        <v>1443</v>
      </c>
      <c r="D771" s="958">
        <v>1.3</v>
      </c>
      <c r="E771" s="959" t="s">
        <v>367</v>
      </c>
      <c r="F771" s="558" t="s">
        <v>1488</v>
      </c>
      <c r="G771" s="558">
        <v>1185</v>
      </c>
      <c r="H771" s="558">
        <v>20.100000000000001</v>
      </c>
      <c r="I771" s="559" t="s">
        <v>385</v>
      </c>
      <c r="J771" s="567" t="s">
        <v>1445</v>
      </c>
      <c r="K771" s="961" t="s">
        <v>1373</v>
      </c>
      <c r="L771" s="555" t="str">
        <f t="shared" ca="1" si="126"/>
        <v/>
      </c>
      <c r="M771" s="494" t="s">
        <v>1446</v>
      </c>
      <c r="N771" s="555" t="str">
        <f t="shared" ca="1" si="127"/>
        <v/>
      </c>
      <c r="O771" s="494" t="s">
        <v>1447</v>
      </c>
      <c r="P771" s="555" t="str">
        <f t="shared" ca="1" si="128"/>
        <v/>
      </c>
      <c r="Q771" s="494" t="s">
        <v>1448</v>
      </c>
      <c r="R771" s="494" t="str">
        <f t="shared" si="119"/>
        <v>H771</v>
      </c>
      <c r="S771" s="494" t="s">
        <v>1449</v>
      </c>
      <c r="T771" s="494">
        <v>10</v>
      </c>
      <c r="U771" s="556" t="str">
        <f t="shared" ca="1" si="124"/>
        <v/>
      </c>
      <c r="V771" s="494">
        <v>11</v>
      </c>
      <c r="W771" s="556" t="str">
        <f t="shared" ca="1" si="125"/>
        <v/>
      </c>
      <c r="X771" s="494" t="s">
        <v>1450</v>
      </c>
      <c r="Y771" s="547" t="str">
        <f t="shared" ca="1" si="129"/>
        <v/>
      </c>
      <c r="Z771" s="494" t="s">
        <v>1451</v>
      </c>
      <c r="AA771" s="547" t="str">
        <f t="shared" ca="1" si="130"/>
        <v/>
      </c>
      <c r="AB771" s="494" t="s">
        <v>1452</v>
      </c>
      <c r="AC771" s="547" t="str">
        <f t="shared" ca="1" si="131"/>
        <v/>
      </c>
      <c r="AD771" s="557"/>
      <c r="AE771" s="958"/>
    </row>
    <row r="772" spans="1:31" ht="15" customHeight="1">
      <c r="A772" s="957">
        <v>104</v>
      </c>
      <c r="B772" s="566" t="s">
        <v>493</v>
      </c>
      <c r="C772" s="567" t="s">
        <v>1443</v>
      </c>
      <c r="D772" s="958">
        <v>1.3</v>
      </c>
      <c r="E772" s="959" t="s">
        <v>367</v>
      </c>
      <c r="F772" s="558" t="s">
        <v>1488</v>
      </c>
      <c r="G772" s="558">
        <v>1189</v>
      </c>
      <c r="H772" s="558">
        <v>20.2</v>
      </c>
      <c r="I772" s="559" t="s">
        <v>511</v>
      </c>
      <c r="J772" s="567" t="s">
        <v>1445</v>
      </c>
      <c r="K772" s="961" t="s">
        <v>1373</v>
      </c>
      <c r="L772" s="555" t="str">
        <f t="shared" ca="1" si="126"/>
        <v/>
      </c>
      <c r="M772" s="494" t="s">
        <v>1446</v>
      </c>
      <c r="N772" s="555" t="str">
        <f t="shared" ca="1" si="127"/>
        <v/>
      </c>
      <c r="O772" s="494" t="s">
        <v>1447</v>
      </c>
      <c r="P772" s="555" t="str">
        <f t="shared" ca="1" si="128"/>
        <v/>
      </c>
      <c r="Q772" s="494" t="s">
        <v>1448</v>
      </c>
      <c r="R772" s="494" t="str">
        <f t="shared" si="119"/>
        <v>H772</v>
      </c>
      <c r="S772" s="494" t="s">
        <v>1449</v>
      </c>
      <c r="T772" s="494">
        <v>10</v>
      </c>
      <c r="U772" s="556" t="str">
        <f t="shared" ca="1" si="124"/>
        <v/>
      </c>
      <c r="V772" s="494">
        <v>11</v>
      </c>
      <c r="W772" s="556" t="str">
        <f t="shared" ca="1" si="125"/>
        <v/>
      </c>
      <c r="X772" s="494" t="s">
        <v>1450</v>
      </c>
      <c r="Y772" s="547" t="str">
        <f t="shared" ca="1" si="129"/>
        <v/>
      </c>
      <c r="Z772" s="494" t="s">
        <v>1451</v>
      </c>
      <c r="AA772" s="547" t="str">
        <f t="shared" ca="1" si="130"/>
        <v/>
      </c>
      <c r="AB772" s="494" t="s">
        <v>1452</v>
      </c>
      <c r="AC772" s="547" t="str">
        <f t="shared" ca="1" si="131"/>
        <v/>
      </c>
      <c r="AD772" s="557"/>
      <c r="AE772" s="958"/>
    </row>
    <row r="773" spans="1:31" ht="15" customHeight="1">
      <c r="A773" s="957">
        <v>104</v>
      </c>
      <c r="B773" s="566" t="s">
        <v>493</v>
      </c>
      <c r="C773" s="567" t="s">
        <v>1443</v>
      </c>
      <c r="D773" s="958">
        <v>1.3</v>
      </c>
      <c r="E773" s="959" t="s">
        <v>367</v>
      </c>
      <c r="F773" s="558" t="s">
        <v>1488</v>
      </c>
      <c r="G773" s="558">
        <v>1192</v>
      </c>
      <c r="H773" s="558">
        <v>20.3</v>
      </c>
      <c r="I773" s="559" t="s">
        <v>387</v>
      </c>
      <c r="J773" s="567" t="s">
        <v>1445</v>
      </c>
      <c r="K773" s="961" t="s">
        <v>1373</v>
      </c>
      <c r="L773" s="555" t="str">
        <f t="shared" ca="1" si="126"/>
        <v/>
      </c>
      <c r="M773" s="494" t="s">
        <v>1446</v>
      </c>
      <c r="N773" s="555" t="str">
        <f t="shared" ca="1" si="127"/>
        <v/>
      </c>
      <c r="O773" s="494" t="s">
        <v>1447</v>
      </c>
      <c r="P773" s="555" t="str">
        <f t="shared" ca="1" si="128"/>
        <v/>
      </c>
      <c r="Q773" s="494" t="s">
        <v>1448</v>
      </c>
      <c r="R773" s="494" t="str">
        <f t="shared" si="119"/>
        <v>H773</v>
      </c>
      <c r="S773" s="494" t="s">
        <v>1449</v>
      </c>
      <c r="T773" s="494">
        <v>10</v>
      </c>
      <c r="U773" s="556" t="str">
        <f t="shared" ca="1" si="124"/>
        <v/>
      </c>
      <c r="V773" s="494">
        <v>11</v>
      </c>
      <c r="W773" s="556" t="str">
        <f t="shared" ca="1" si="125"/>
        <v/>
      </c>
      <c r="X773" s="494" t="s">
        <v>1450</v>
      </c>
      <c r="Y773" s="547" t="str">
        <f t="shared" ca="1" si="129"/>
        <v/>
      </c>
      <c r="Z773" s="494" t="s">
        <v>1451</v>
      </c>
      <c r="AA773" s="547" t="str">
        <f t="shared" ca="1" si="130"/>
        <v/>
      </c>
      <c r="AB773" s="494" t="s">
        <v>1452</v>
      </c>
      <c r="AC773" s="547" t="str">
        <f t="shared" ca="1" si="131"/>
        <v/>
      </c>
      <c r="AD773" s="557"/>
      <c r="AE773" s="958"/>
    </row>
    <row r="774" spans="1:31" ht="15" customHeight="1">
      <c r="A774" s="957">
        <v>104</v>
      </c>
      <c r="B774" s="566" t="s">
        <v>493</v>
      </c>
      <c r="C774" s="567" t="s">
        <v>1443</v>
      </c>
      <c r="D774" s="958">
        <v>1.3</v>
      </c>
      <c r="E774" s="959" t="s">
        <v>367</v>
      </c>
      <c r="F774" s="558" t="s">
        <v>1488</v>
      </c>
      <c r="G774" s="558">
        <v>1196</v>
      </c>
      <c r="H774" s="558">
        <v>21.1</v>
      </c>
      <c r="I774" s="559" t="s">
        <v>390</v>
      </c>
      <c r="J774" s="567" t="s">
        <v>1445</v>
      </c>
      <c r="K774" s="961" t="s">
        <v>1373</v>
      </c>
      <c r="L774" s="555" t="str">
        <f t="shared" ca="1" si="126"/>
        <v/>
      </c>
      <c r="M774" s="494" t="s">
        <v>1446</v>
      </c>
      <c r="N774" s="555" t="str">
        <f t="shared" ca="1" si="127"/>
        <v/>
      </c>
      <c r="O774" s="494" t="s">
        <v>1447</v>
      </c>
      <c r="P774" s="555" t="str">
        <f t="shared" ca="1" si="128"/>
        <v/>
      </c>
      <c r="Q774" s="494" t="s">
        <v>1448</v>
      </c>
      <c r="R774" s="494" t="str">
        <f t="shared" si="119"/>
        <v>H774</v>
      </c>
      <c r="S774" s="494" t="s">
        <v>1449</v>
      </c>
      <c r="T774" s="494">
        <v>10</v>
      </c>
      <c r="U774" s="556" t="str">
        <f t="shared" ca="1" si="124"/>
        <v/>
      </c>
      <c r="V774" s="494">
        <v>11</v>
      </c>
      <c r="W774" s="556" t="str">
        <f t="shared" ca="1" si="125"/>
        <v/>
      </c>
      <c r="X774" s="494" t="s">
        <v>1450</v>
      </c>
      <c r="Y774" s="547" t="str">
        <f t="shared" ca="1" si="129"/>
        <v/>
      </c>
      <c r="Z774" s="494" t="s">
        <v>1451</v>
      </c>
      <c r="AA774" s="547" t="str">
        <f t="shared" ca="1" si="130"/>
        <v/>
      </c>
      <c r="AB774" s="494" t="s">
        <v>1452</v>
      </c>
      <c r="AC774" s="547" t="str">
        <f t="shared" ca="1" si="131"/>
        <v/>
      </c>
      <c r="AD774" s="557"/>
      <c r="AE774" s="958"/>
    </row>
    <row r="775" spans="1:31" ht="15" customHeight="1">
      <c r="A775" s="957">
        <v>104</v>
      </c>
      <c r="B775" s="566" t="s">
        <v>493</v>
      </c>
      <c r="C775" s="567" t="s">
        <v>1443</v>
      </c>
      <c r="D775" s="958">
        <v>1.3</v>
      </c>
      <c r="E775" s="959" t="s">
        <v>367</v>
      </c>
      <c r="F775" s="558" t="s">
        <v>1488</v>
      </c>
      <c r="G775" s="558">
        <v>1206</v>
      </c>
      <c r="H775" s="558" t="s">
        <v>393</v>
      </c>
      <c r="I775" s="559" t="s">
        <v>394</v>
      </c>
      <c r="J775" s="567" t="s">
        <v>1445</v>
      </c>
      <c r="K775" s="961" t="s">
        <v>1373</v>
      </c>
      <c r="L775" s="555" t="str">
        <f t="shared" ca="1" si="126"/>
        <v/>
      </c>
      <c r="M775" s="494" t="s">
        <v>1446</v>
      </c>
      <c r="N775" s="555" t="str">
        <f t="shared" ca="1" si="127"/>
        <v/>
      </c>
      <c r="O775" s="494" t="s">
        <v>1447</v>
      </c>
      <c r="P775" s="555" t="str">
        <f t="shared" ca="1" si="128"/>
        <v/>
      </c>
      <c r="Q775" s="494" t="s">
        <v>1448</v>
      </c>
      <c r="R775" s="494" t="str">
        <f t="shared" si="119"/>
        <v>H775</v>
      </c>
      <c r="S775" s="494" t="s">
        <v>1449</v>
      </c>
      <c r="T775" s="494">
        <v>10</v>
      </c>
      <c r="U775" s="556" t="str">
        <f t="shared" ca="1" si="124"/>
        <v/>
      </c>
      <c r="V775" s="494">
        <v>11</v>
      </c>
      <c r="W775" s="556" t="str">
        <f t="shared" ca="1" si="125"/>
        <v/>
      </c>
      <c r="X775" s="494" t="s">
        <v>1450</v>
      </c>
      <c r="Y775" s="547" t="str">
        <f t="shared" ca="1" si="129"/>
        <v/>
      </c>
      <c r="Z775" s="494" t="s">
        <v>1451</v>
      </c>
      <c r="AA775" s="547" t="str">
        <f t="shared" ca="1" si="130"/>
        <v/>
      </c>
      <c r="AB775" s="494" t="s">
        <v>1452</v>
      </c>
      <c r="AC775" s="547" t="str">
        <f t="shared" ca="1" si="131"/>
        <v/>
      </c>
      <c r="AD775" s="557"/>
      <c r="AE775" s="958"/>
    </row>
    <row r="776" spans="1:31" ht="15" customHeight="1">
      <c r="A776" s="957">
        <v>104</v>
      </c>
      <c r="B776" s="566" t="s">
        <v>493</v>
      </c>
      <c r="C776" s="567" t="s">
        <v>1443</v>
      </c>
      <c r="D776" s="958">
        <v>1.3</v>
      </c>
      <c r="E776" s="959" t="s">
        <v>367</v>
      </c>
      <c r="F776" s="558" t="s">
        <v>1488</v>
      </c>
      <c r="G776" s="558">
        <v>1207</v>
      </c>
      <c r="H776" s="558" t="s">
        <v>395</v>
      </c>
      <c r="I776" s="559" t="s">
        <v>392</v>
      </c>
      <c r="J776" s="567" t="s">
        <v>1445</v>
      </c>
      <c r="K776" s="961" t="s">
        <v>1373</v>
      </c>
      <c r="L776" s="555" t="str">
        <f t="shared" ca="1" si="126"/>
        <v/>
      </c>
      <c r="M776" s="494" t="s">
        <v>1446</v>
      </c>
      <c r="N776" s="555" t="str">
        <f t="shared" ca="1" si="127"/>
        <v/>
      </c>
      <c r="O776" s="494" t="s">
        <v>1447</v>
      </c>
      <c r="P776" s="555" t="str">
        <f t="shared" ca="1" si="128"/>
        <v/>
      </c>
      <c r="Q776" s="494" t="s">
        <v>1448</v>
      </c>
      <c r="R776" s="494" t="str">
        <f t="shared" si="119"/>
        <v>H776</v>
      </c>
      <c r="S776" s="494" t="s">
        <v>1449</v>
      </c>
      <c r="T776" s="494">
        <v>10</v>
      </c>
      <c r="U776" s="556" t="str">
        <f t="shared" ca="1" si="124"/>
        <v/>
      </c>
      <c r="V776" s="494">
        <v>11</v>
      </c>
      <c r="W776" s="556" t="str">
        <f t="shared" ca="1" si="125"/>
        <v/>
      </c>
      <c r="X776" s="494" t="s">
        <v>1450</v>
      </c>
      <c r="Y776" s="547" t="str">
        <f t="shared" ca="1" si="129"/>
        <v/>
      </c>
      <c r="Z776" s="494" t="s">
        <v>1451</v>
      </c>
      <c r="AA776" s="547" t="str">
        <f t="shared" ca="1" si="130"/>
        <v/>
      </c>
      <c r="AB776" s="494" t="s">
        <v>1452</v>
      </c>
      <c r="AC776" s="547" t="str">
        <f t="shared" ca="1" si="131"/>
        <v/>
      </c>
      <c r="AD776" s="557"/>
      <c r="AE776" s="958"/>
    </row>
    <row r="777" spans="1:31" ht="15" customHeight="1">
      <c r="A777" s="957">
        <v>104</v>
      </c>
      <c r="B777" s="566" t="s">
        <v>493</v>
      </c>
      <c r="C777" s="567" t="s">
        <v>1443</v>
      </c>
      <c r="D777" s="958">
        <v>1.3</v>
      </c>
      <c r="E777" s="959" t="s">
        <v>404</v>
      </c>
      <c r="F777" s="558" t="s">
        <v>1499</v>
      </c>
      <c r="G777" s="558">
        <v>1209</v>
      </c>
      <c r="H777" s="558">
        <v>23</v>
      </c>
      <c r="I777" s="559" t="s">
        <v>513</v>
      </c>
      <c r="J777" s="567" t="s">
        <v>1445</v>
      </c>
      <c r="K777" s="961" t="s">
        <v>1373</v>
      </c>
      <c r="L777" s="555" t="str">
        <f t="shared" ca="1" si="126"/>
        <v/>
      </c>
      <c r="M777" s="494" t="s">
        <v>1446</v>
      </c>
      <c r="N777" s="555" t="str">
        <f t="shared" ca="1" si="127"/>
        <v/>
      </c>
      <c r="O777" s="494" t="s">
        <v>1447</v>
      </c>
      <c r="P777" s="555" t="str">
        <f t="shared" ca="1" si="128"/>
        <v/>
      </c>
      <c r="Q777" s="494" t="s">
        <v>1448</v>
      </c>
      <c r="R777" s="494" t="str">
        <f t="shared" si="119"/>
        <v>H777</v>
      </c>
      <c r="S777" s="494" t="s">
        <v>1449</v>
      </c>
      <c r="T777" s="494">
        <v>10</v>
      </c>
      <c r="U777" s="556" t="str">
        <f t="shared" ca="1" si="124"/>
        <v/>
      </c>
      <c r="V777" s="494">
        <v>11</v>
      </c>
      <c r="W777" s="556" t="str">
        <f t="shared" ca="1" si="125"/>
        <v/>
      </c>
      <c r="X777" s="494" t="s">
        <v>1450</v>
      </c>
      <c r="Y777" s="547" t="str">
        <f t="shared" ca="1" si="129"/>
        <v/>
      </c>
      <c r="Z777" s="494" t="s">
        <v>1451</v>
      </c>
      <c r="AA777" s="547" t="str">
        <f t="shared" ca="1" si="130"/>
        <v/>
      </c>
      <c r="AB777" s="494" t="s">
        <v>1452</v>
      </c>
      <c r="AC777" s="547" t="str">
        <f t="shared" ca="1" si="131"/>
        <v/>
      </c>
      <c r="AD777" s="557"/>
      <c r="AE777" s="958"/>
    </row>
    <row r="778" spans="1:31" ht="15" customHeight="1">
      <c r="A778" s="957">
        <v>104</v>
      </c>
      <c r="B778" s="566" t="s">
        <v>493</v>
      </c>
      <c r="C778" s="567" t="s">
        <v>1443</v>
      </c>
      <c r="D778" s="958">
        <v>1.3</v>
      </c>
      <c r="E778" s="959" t="s">
        <v>404</v>
      </c>
      <c r="F778" s="558" t="s">
        <v>1499</v>
      </c>
      <c r="G778" s="558">
        <v>1213</v>
      </c>
      <c r="H778" s="558">
        <v>23.1</v>
      </c>
      <c r="I778" s="559" t="s">
        <v>397</v>
      </c>
      <c r="J778" s="567" t="s">
        <v>1445</v>
      </c>
      <c r="K778" s="961" t="s">
        <v>1373</v>
      </c>
      <c r="L778" s="555" t="str">
        <f t="shared" ca="1" si="126"/>
        <v/>
      </c>
      <c r="M778" s="494" t="s">
        <v>1446</v>
      </c>
      <c r="N778" s="555" t="str">
        <f t="shared" ca="1" si="127"/>
        <v/>
      </c>
      <c r="O778" s="494" t="s">
        <v>1447</v>
      </c>
      <c r="P778" s="555" t="str">
        <f t="shared" ca="1" si="128"/>
        <v/>
      </c>
      <c r="Q778" s="494" t="s">
        <v>1448</v>
      </c>
      <c r="R778" s="494" t="str">
        <f t="shared" si="119"/>
        <v>H778</v>
      </c>
      <c r="S778" s="494" t="s">
        <v>1449</v>
      </c>
      <c r="T778" s="494">
        <v>10</v>
      </c>
      <c r="U778" s="556" t="str">
        <f t="shared" ca="1" si="124"/>
        <v/>
      </c>
      <c r="V778" s="494">
        <v>11</v>
      </c>
      <c r="W778" s="556" t="str">
        <f t="shared" ca="1" si="125"/>
        <v/>
      </c>
      <c r="X778" s="494" t="s">
        <v>1450</v>
      </c>
      <c r="Y778" s="547" t="str">
        <f t="shared" ca="1" si="129"/>
        <v/>
      </c>
      <c r="Z778" s="494" t="s">
        <v>1451</v>
      </c>
      <c r="AA778" s="547" t="str">
        <f t="shared" ca="1" si="130"/>
        <v/>
      </c>
      <c r="AB778" s="494" t="s">
        <v>1452</v>
      </c>
      <c r="AC778" s="547" t="str">
        <f t="shared" ca="1" si="131"/>
        <v/>
      </c>
      <c r="AD778" s="557"/>
      <c r="AE778" s="958"/>
    </row>
    <row r="779" spans="1:31" ht="15" customHeight="1">
      <c r="A779" s="957">
        <v>104</v>
      </c>
      <c r="B779" s="566" t="s">
        <v>493</v>
      </c>
      <c r="C779" s="567" t="s">
        <v>1443</v>
      </c>
      <c r="D779" s="958">
        <v>1.3</v>
      </c>
      <c r="E779" s="959" t="s">
        <v>404</v>
      </c>
      <c r="F779" s="558" t="s">
        <v>1499</v>
      </c>
      <c r="G779" s="558">
        <v>1215</v>
      </c>
      <c r="H779" s="558">
        <v>24</v>
      </c>
      <c r="I779" s="559" t="s">
        <v>338</v>
      </c>
      <c r="J779" s="567" t="s">
        <v>1445</v>
      </c>
      <c r="K779" s="961" t="s">
        <v>1373</v>
      </c>
      <c r="L779" s="555" t="str">
        <f t="shared" ca="1" si="126"/>
        <v/>
      </c>
      <c r="M779" s="494" t="s">
        <v>1446</v>
      </c>
      <c r="N779" s="555" t="str">
        <f t="shared" ca="1" si="127"/>
        <v/>
      </c>
      <c r="O779" s="494" t="s">
        <v>1447</v>
      </c>
      <c r="P779" s="555" t="str">
        <f t="shared" ca="1" si="128"/>
        <v/>
      </c>
      <c r="Q779" s="494" t="s">
        <v>1448</v>
      </c>
      <c r="R779" s="494" t="str">
        <f t="shared" ref="R779:R793" si="132">CONCATENATE("H",ROW(J779))</f>
        <v>H779</v>
      </c>
      <c r="S779" s="494" t="s">
        <v>1449</v>
      </c>
      <c r="T779" s="494">
        <v>10</v>
      </c>
      <c r="U779" s="556" t="str">
        <f t="shared" ca="1" si="124"/>
        <v/>
      </c>
      <c r="V779" s="494">
        <v>11</v>
      </c>
      <c r="W779" s="556" t="str">
        <f t="shared" ca="1" si="125"/>
        <v/>
      </c>
      <c r="X779" s="494" t="s">
        <v>1450</v>
      </c>
      <c r="Y779" s="547" t="str">
        <f t="shared" ca="1" si="129"/>
        <v/>
      </c>
      <c r="Z779" s="494" t="s">
        <v>1451</v>
      </c>
      <c r="AA779" s="547" t="str">
        <f t="shared" ca="1" si="130"/>
        <v/>
      </c>
      <c r="AB779" s="494" t="s">
        <v>1452</v>
      </c>
      <c r="AC779" s="547" t="str">
        <f t="shared" ca="1" si="131"/>
        <v/>
      </c>
      <c r="AD779" s="557"/>
      <c r="AE779" s="958"/>
    </row>
    <row r="780" spans="1:31" ht="15" customHeight="1">
      <c r="A780" s="957">
        <v>104</v>
      </c>
      <c r="B780" s="566" t="s">
        <v>493</v>
      </c>
      <c r="C780" s="567" t="s">
        <v>1443</v>
      </c>
      <c r="D780" s="958">
        <v>1.3</v>
      </c>
      <c r="E780" s="959" t="s">
        <v>404</v>
      </c>
      <c r="F780" s="558" t="s">
        <v>1499</v>
      </c>
      <c r="G780" s="558">
        <v>1220</v>
      </c>
      <c r="H780" s="558">
        <v>24.1</v>
      </c>
      <c r="I780" s="559" t="s">
        <v>402</v>
      </c>
      <c r="J780" s="567" t="s">
        <v>1445</v>
      </c>
      <c r="K780" s="961" t="s">
        <v>1373</v>
      </c>
      <c r="L780" s="555" t="str">
        <f t="shared" ca="1" si="126"/>
        <v/>
      </c>
      <c r="M780" s="494" t="s">
        <v>1446</v>
      </c>
      <c r="N780" s="555" t="str">
        <f t="shared" ca="1" si="127"/>
        <v/>
      </c>
      <c r="O780" s="494" t="s">
        <v>1447</v>
      </c>
      <c r="P780" s="555" t="str">
        <f t="shared" ca="1" si="128"/>
        <v/>
      </c>
      <c r="Q780" s="494" t="s">
        <v>1448</v>
      </c>
      <c r="R780" s="494" t="str">
        <f t="shared" si="132"/>
        <v>H780</v>
      </c>
      <c r="S780" s="494" t="s">
        <v>1449</v>
      </c>
      <c r="T780" s="494">
        <v>10</v>
      </c>
      <c r="U780" s="556" t="str">
        <f t="shared" ca="1" si="124"/>
        <v/>
      </c>
      <c r="V780" s="494">
        <v>11</v>
      </c>
      <c r="W780" s="556" t="str">
        <f t="shared" ca="1" si="125"/>
        <v/>
      </c>
      <c r="X780" s="494" t="s">
        <v>1450</v>
      </c>
      <c r="Y780" s="547" t="str">
        <f t="shared" ca="1" si="129"/>
        <v/>
      </c>
      <c r="Z780" s="494" t="s">
        <v>1451</v>
      </c>
      <c r="AA780" s="547" t="str">
        <f t="shared" ca="1" si="130"/>
        <v/>
      </c>
      <c r="AB780" s="494" t="s">
        <v>1452</v>
      </c>
      <c r="AC780" s="547" t="str">
        <f t="shared" ca="1" si="131"/>
        <v/>
      </c>
      <c r="AD780" s="557"/>
      <c r="AE780" s="958"/>
    </row>
    <row r="781" spans="1:31" ht="15" customHeight="1">
      <c r="A781" s="957">
        <v>104</v>
      </c>
      <c r="B781" s="566" t="s">
        <v>493</v>
      </c>
      <c r="C781" s="567" t="s">
        <v>1443</v>
      </c>
      <c r="D781" s="958">
        <v>1.3</v>
      </c>
      <c r="E781" s="959" t="s">
        <v>404</v>
      </c>
      <c r="F781" s="558" t="s">
        <v>1499</v>
      </c>
      <c r="G781" s="558">
        <v>1223</v>
      </c>
      <c r="H781" s="558">
        <v>24.2</v>
      </c>
      <c r="I781" s="559" t="s">
        <v>403</v>
      </c>
      <c r="J781" s="567" t="s">
        <v>1445</v>
      </c>
      <c r="K781" s="961" t="s">
        <v>1373</v>
      </c>
      <c r="L781" s="555" t="str">
        <f t="shared" ca="1" si="126"/>
        <v/>
      </c>
      <c r="M781" s="494" t="s">
        <v>1446</v>
      </c>
      <c r="N781" s="555" t="str">
        <f t="shared" ca="1" si="127"/>
        <v/>
      </c>
      <c r="O781" s="494" t="s">
        <v>1447</v>
      </c>
      <c r="P781" s="555" t="str">
        <f t="shared" ca="1" si="128"/>
        <v/>
      </c>
      <c r="Q781" s="494" t="s">
        <v>1448</v>
      </c>
      <c r="R781" s="494" t="str">
        <f t="shared" si="132"/>
        <v>H781</v>
      </c>
      <c r="S781" s="494" t="s">
        <v>1449</v>
      </c>
      <c r="T781" s="494">
        <v>10</v>
      </c>
      <c r="U781" s="556" t="str">
        <f t="shared" ca="1" si="124"/>
        <v/>
      </c>
      <c r="V781" s="494">
        <v>11</v>
      </c>
      <c r="W781" s="556" t="str">
        <f t="shared" ca="1" si="125"/>
        <v/>
      </c>
      <c r="X781" s="494" t="s">
        <v>1450</v>
      </c>
      <c r="Y781" s="547" t="str">
        <f t="shared" ca="1" si="129"/>
        <v/>
      </c>
      <c r="Z781" s="494" t="s">
        <v>1451</v>
      </c>
      <c r="AA781" s="547" t="str">
        <f t="shared" ca="1" si="130"/>
        <v/>
      </c>
      <c r="AB781" s="494" t="s">
        <v>1452</v>
      </c>
      <c r="AC781" s="547" t="str">
        <f t="shared" ca="1" si="131"/>
        <v/>
      </c>
      <c r="AD781" s="557"/>
      <c r="AE781" s="958"/>
    </row>
    <row r="782" spans="1:31" ht="15" customHeight="1">
      <c r="A782" s="957">
        <v>104</v>
      </c>
      <c r="B782" s="566" t="s">
        <v>493</v>
      </c>
      <c r="C782" s="567" t="s">
        <v>1443</v>
      </c>
      <c r="D782" s="958">
        <v>1.3</v>
      </c>
      <c r="E782" s="959" t="s">
        <v>404</v>
      </c>
      <c r="F782" s="558" t="s">
        <v>1499</v>
      </c>
      <c r="G782" s="558">
        <v>1227</v>
      </c>
      <c r="H782" s="558">
        <v>25.1</v>
      </c>
      <c r="I782" s="559" t="s">
        <v>517</v>
      </c>
      <c r="J782" s="567" t="s">
        <v>1445</v>
      </c>
      <c r="K782" s="961" t="s">
        <v>1373</v>
      </c>
      <c r="L782" s="555" t="str">
        <f t="shared" ca="1" si="126"/>
        <v/>
      </c>
      <c r="M782" s="494" t="s">
        <v>1446</v>
      </c>
      <c r="N782" s="555" t="str">
        <f t="shared" ca="1" si="127"/>
        <v/>
      </c>
      <c r="O782" s="494" t="s">
        <v>1447</v>
      </c>
      <c r="P782" s="555" t="str">
        <f t="shared" ca="1" si="128"/>
        <v/>
      </c>
      <c r="Q782" s="494" t="s">
        <v>1448</v>
      </c>
      <c r="R782" s="494" t="str">
        <f t="shared" si="132"/>
        <v>H782</v>
      </c>
      <c r="S782" s="494" t="s">
        <v>1449</v>
      </c>
      <c r="T782" s="494">
        <v>10</v>
      </c>
      <c r="U782" s="556" t="str">
        <f t="shared" ca="1" si="124"/>
        <v/>
      </c>
      <c r="V782" s="494">
        <v>11</v>
      </c>
      <c r="W782" s="556" t="str">
        <f t="shared" ca="1" si="125"/>
        <v/>
      </c>
      <c r="X782" s="494" t="s">
        <v>1450</v>
      </c>
      <c r="Y782" s="547" t="str">
        <f t="shared" ca="1" si="129"/>
        <v/>
      </c>
      <c r="Z782" s="494" t="s">
        <v>1451</v>
      </c>
      <c r="AA782" s="547" t="str">
        <f t="shared" ca="1" si="130"/>
        <v/>
      </c>
      <c r="AB782" s="494" t="s">
        <v>1452</v>
      </c>
      <c r="AC782" s="547" t="str">
        <f t="shared" ca="1" si="131"/>
        <v/>
      </c>
      <c r="AD782" s="557"/>
      <c r="AE782" s="958"/>
    </row>
    <row r="783" spans="1:31" ht="15" customHeight="1">
      <c r="A783" s="957">
        <v>104</v>
      </c>
      <c r="B783" s="566" t="s">
        <v>493</v>
      </c>
      <c r="C783" s="567" t="s">
        <v>1443</v>
      </c>
      <c r="D783" s="958">
        <v>1.3</v>
      </c>
      <c r="E783" s="959" t="s">
        <v>404</v>
      </c>
      <c r="F783" s="558" t="s">
        <v>1499</v>
      </c>
      <c r="G783" s="558">
        <v>1229</v>
      </c>
      <c r="H783" s="558">
        <v>26.1</v>
      </c>
      <c r="I783" s="559" t="s">
        <v>407</v>
      </c>
      <c r="J783" s="567" t="s">
        <v>1445</v>
      </c>
      <c r="K783" s="961" t="s">
        <v>1373</v>
      </c>
      <c r="L783" s="555" t="str">
        <f t="shared" ca="1" si="126"/>
        <v/>
      </c>
      <c r="M783" s="494" t="s">
        <v>1446</v>
      </c>
      <c r="N783" s="555" t="str">
        <f t="shared" ca="1" si="127"/>
        <v/>
      </c>
      <c r="O783" s="494" t="s">
        <v>1447</v>
      </c>
      <c r="P783" s="555" t="str">
        <f t="shared" ca="1" si="128"/>
        <v/>
      </c>
      <c r="Q783" s="494" t="s">
        <v>1448</v>
      </c>
      <c r="R783" s="494" t="str">
        <f t="shared" si="132"/>
        <v>H783</v>
      </c>
      <c r="S783" s="494" t="s">
        <v>1449</v>
      </c>
      <c r="T783" s="494">
        <v>10</v>
      </c>
      <c r="U783" s="556" t="str">
        <f t="shared" ca="1" si="124"/>
        <v/>
      </c>
      <c r="V783" s="494">
        <v>11</v>
      </c>
      <c r="W783" s="556" t="str">
        <f t="shared" ca="1" si="125"/>
        <v/>
      </c>
      <c r="X783" s="494" t="s">
        <v>1450</v>
      </c>
      <c r="Y783" s="547" t="str">
        <f t="shared" ca="1" si="129"/>
        <v/>
      </c>
      <c r="Z783" s="494" t="s">
        <v>1451</v>
      </c>
      <c r="AA783" s="547" t="str">
        <f t="shared" ca="1" si="130"/>
        <v/>
      </c>
      <c r="AB783" s="494" t="s">
        <v>1452</v>
      </c>
      <c r="AC783" s="547" t="str">
        <f t="shared" ca="1" si="131"/>
        <v/>
      </c>
      <c r="AD783" s="557"/>
      <c r="AE783" s="958"/>
    </row>
    <row r="784" spans="1:31" ht="15" customHeight="1">
      <c r="A784" s="957">
        <v>104</v>
      </c>
      <c r="B784" s="566" t="s">
        <v>493</v>
      </c>
      <c r="C784" s="567" t="s">
        <v>1443</v>
      </c>
      <c r="D784" s="958">
        <v>1.3</v>
      </c>
      <c r="E784" s="959" t="s">
        <v>404</v>
      </c>
      <c r="F784" s="558" t="s">
        <v>1499</v>
      </c>
      <c r="G784" s="558">
        <v>1233</v>
      </c>
      <c r="H784" s="558">
        <v>26.2</v>
      </c>
      <c r="I784" s="559" t="s">
        <v>408</v>
      </c>
      <c r="J784" s="567" t="s">
        <v>1445</v>
      </c>
      <c r="K784" s="961" t="s">
        <v>1373</v>
      </c>
      <c r="L784" s="555" t="str">
        <f t="shared" ca="1" si="126"/>
        <v/>
      </c>
      <c r="M784" s="494" t="s">
        <v>1446</v>
      </c>
      <c r="N784" s="555" t="str">
        <f t="shared" ca="1" si="127"/>
        <v/>
      </c>
      <c r="O784" s="494" t="s">
        <v>1447</v>
      </c>
      <c r="P784" s="555" t="str">
        <f t="shared" ca="1" si="128"/>
        <v/>
      </c>
      <c r="Q784" s="494" t="s">
        <v>1448</v>
      </c>
      <c r="R784" s="494" t="str">
        <f t="shared" si="132"/>
        <v>H784</v>
      </c>
      <c r="S784" s="494" t="s">
        <v>1449</v>
      </c>
      <c r="T784" s="494">
        <v>10</v>
      </c>
      <c r="U784" s="556" t="str">
        <f t="shared" ca="1" si="124"/>
        <v/>
      </c>
      <c r="V784" s="494">
        <v>11</v>
      </c>
      <c r="W784" s="556" t="str">
        <f t="shared" ca="1" si="125"/>
        <v/>
      </c>
      <c r="X784" s="494" t="s">
        <v>1450</v>
      </c>
      <c r="Y784" s="547" t="str">
        <f t="shared" ca="1" si="129"/>
        <v/>
      </c>
      <c r="Z784" s="494" t="s">
        <v>1451</v>
      </c>
      <c r="AA784" s="547" t="str">
        <f t="shared" ca="1" si="130"/>
        <v/>
      </c>
      <c r="AB784" s="494" t="s">
        <v>1452</v>
      </c>
      <c r="AC784" s="547" t="str">
        <f t="shared" ca="1" si="131"/>
        <v/>
      </c>
      <c r="AD784" s="557"/>
      <c r="AE784" s="958"/>
    </row>
    <row r="785" spans="1:31" ht="15" customHeight="1">
      <c r="A785" s="957">
        <v>104</v>
      </c>
      <c r="B785" s="566" t="s">
        <v>493</v>
      </c>
      <c r="C785" s="567" t="s">
        <v>1443</v>
      </c>
      <c r="D785" s="958">
        <v>1.3</v>
      </c>
      <c r="E785" s="959" t="s">
        <v>404</v>
      </c>
      <c r="F785" s="558" t="s">
        <v>1499</v>
      </c>
      <c r="G785" s="558">
        <v>1239</v>
      </c>
      <c r="H785" s="558">
        <v>27</v>
      </c>
      <c r="I785" s="559" t="s">
        <v>411</v>
      </c>
      <c r="J785" s="567" t="s">
        <v>1445</v>
      </c>
      <c r="K785" s="961" t="s">
        <v>1373</v>
      </c>
      <c r="L785" s="555" t="str">
        <f t="shared" ca="1" si="126"/>
        <v/>
      </c>
      <c r="M785" s="494" t="s">
        <v>1446</v>
      </c>
      <c r="N785" s="555" t="str">
        <f t="shared" ca="1" si="127"/>
        <v/>
      </c>
      <c r="O785" s="494" t="s">
        <v>1447</v>
      </c>
      <c r="P785" s="555" t="str">
        <f t="shared" ca="1" si="128"/>
        <v/>
      </c>
      <c r="Q785" s="494" t="s">
        <v>1448</v>
      </c>
      <c r="R785" s="494" t="str">
        <f t="shared" si="132"/>
        <v>H785</v>
      </c>
      <c r="S785" s="494" t="s">
        <v>1449</v>
      </c>
      <c r="T785" s="494">
        <v>10</v>
      </c>
      <c r="U785" s="556" t="str">
        <f t="shared" ca="1" si="124"/>
        <v/>
      </c>
      <c r="V785" s="494">
        <v>11</v>
      </c>
      <c r="W785" s="556" t="str">
        <f t="shared" ca="1" si="125"/>
        <v/>
      </c>
      <c r="X785" s="494" t="s">
        <v>1450</v>
      </c>
      <c r="Y785" s="547" t="str">
        <f t="shared" ca="1" si="129"/>
        <v/>
      </c>
      <c r="Z785" s="494" t="s">
        <v>1451</v>
      </c>
      <c r="AA785" s="547" t="str">
        <f t="shared" ca="1" si="130"/>
        <v/>
      </c>
      <c r="AB785" s="494" t="s">
        <v>1452</v>
      </c>
      <c r="AC785" s="547" t="str">
        <f t="shared" ca="1" si="131"/>
        <v/>
      </c>
      <c r="AD785" s="557"/>
      <c r="AE785" s="958"/>
    </row>
    <row r="786" spans="1:31" ht="15" customHeight="1">
      <c r="A786" s="957">
        <v>104</v>
      </c>
      <c r="B786" s="566" t="s">
        <v>493</v>
      </c>
      <c r="C786" s="567" t="s">
        <v>1443</v>
      </c>
      <c r="D786" s="958">
        <v>1.3</v>
      </c>
      <c r="E786" s="959" t="s">
        <v>404</v>
      </c>
      <c r="F786" s="558" t="s">
        <v>1499</v>
      </c>
      <c r="G786" s="558">
        <v>1240</v>
      </c>
      <c r="H786" s="558">
        <v>27.1</v>
      </c>
      <c r="I786" s="559" t="s">
        <v>412</v>
      </c>
      <c r="J786" s="567" t="s">
        <v>1445</v>
      </c>
      <c r="K786" s="961" t="s">
        <v>1373</v>
      </c>
      <c r="L786" s="555" t="str">
        <f t="shared" ca="1" si="126"/>
        <v/>
      </c>
      <c r="M786" s="494" t="s">
        <v>1446</v>
      </c>
      <c r="N786" s="555" t="str">
        <f t="shared" ca="1" si="127"/>
        <v/>
      </c>
      <c r="O786" s="494" t="s">
        <v>1447</v>
      </c>
      <c r="P786" s="555" t="str">
        <f t="shared" ca="1" si="128"/>
        <v/>
      </c>
      <c r="Q786" s="494" t="s">
        <v>1448</v>
      </c>
      <c r="R786" s="494" t="str">
        <f t="shared" si="132"/>
        <v>H786</v>
      </c>
      <c r="S786" s="494" t="s">
        <v>1449</v>
      </c>
      <c r="T786" s="494">
        <v>10</v>
      </c>
      <c r="U786" s="556" t="str">
        <f t="shared" ca="1" si="124"/>
        <v/>
      </c>
      <c r="V786" s="494">
        <v>11</v>
      </c>
      <c r="W786" s="556" t="str">
        <f t="shared" ca="1" si="125"/>
        <v/>
      </c>
      <c r="X786" s="494" t="s">
        <v>1450</v>
      </c>
      <c r="Y786" s="547" t="str">
        <f t="shared" ca="1" si="129"/>
        <v/>
      </c>
      <c r="Z786" s="494" t="s">
        <v>1451</v>
      </c>
      <c r="AA786" s="547" t="str">
        <f t="shared" ca="1" si="130"/>
        <v/>
      </c>
      <c r="AB786" s="494" t="s">
        <v>1452</v>
      </c>
      <c r="AC786" s="547" t="str">
        <f t="shared" ca="1" si="131"/>
        <v/>
      </c>
      <c r="AD786" s="557"/>
      <c r="AE786" s="958"/>
    </row>
    <row r="787" spans="1:31" ht="15" customHeight="1">
      <c r="A787" s="957">
        <v>104</v>
      </c>
      <c r="B787" s="566" t="s">
        <v>493</v>
      </c>
      <c r="C787" s="567" t="s">
        <v>1443</v>
      </c>
      <c r="D787" s="958">
        <v>1.3</v>
      </c>
      <c r="E787" s="959" t="s">
        <v>404</v>
      </c>
      <c r="F787" s="558" t="s">
        <v>1499</v>
      </c>
      <c r="G787" s="558">
        <v>1243</v>
      </c>
      <c r="H787" s="558">
        <v>28</v>
      </c>
      <c r="I787" s="559" t="s">
        <v>415</v>
      </c>
      <c r="J787" s="567" t="s">
        <v>1445</v>
      </c>
      <c r="K787" s="961" t="s">
        <v>1373</v>
      </c>
      <c r="L787" s="555" t="str">
        <f t="shared" ca="1" si="126"/>
        <v/>
      </c>
      <c r="M787" s="494" t="s">
        <v>1446</v>
      </c>
      <c r="N787" s="555" t="str">
        <f t="shared" ca="1" si="127"/>
        <v/>
      </c>
      <c r="O787" s="494" t="s">
        <v>1447</v>
      </c>
      <c r="P787" s="555" t="str">
        <f t="shared" ca="1" si="128"/>
        <v/>
      </c>
      <c r="Q787" s="494" t="s">
        <v>1448</v>
      </c>
      <c r="R787" s="494" t="str">
        <f t="shared" si="132"/>
        <v>H787</v>
      </c>
      <c r="S787" s="494" t="s">
        <v>1449</v>
      </c>
      <c r="T787" s="494">
        <v>10</v>
      </c>
      <c r="U787" s="556" t="str">
        <f t="shared" ca="1" si="124"/>
        <v/>
      </c>
      <c r="V787" s="494">
        <v>11</v>
      </c>
      <c r="W787" s="556" t="str">
        <f t="shared" ca="1" si="125"/>
        <v/>
      </c>
      <c r="X787" s="494" t="s">
        <v>1450</v>
      </c>
      <c r="Y787" s="547" t="str">
        <f t="shared" ca="1" si="129"/>
        <v/>
      </c>
      <c r="Z787" s="494" t="s">
        <v>1451</v>
      </c>
      <c r="AA787" s="547" t="str">
        <f t="shared" ca="1" si="130"/>
        <v/>
      </c>
      <c r="AB787" s="494" t="s">
        <v>1452</v>
      </c>
      <c r="AC787" s="547" t="str">
        <f t="shared" ca="1" si="131"/>
        <v/>
      </c>
      <c r="AD787" s="557"/>
      <c r="AE787" s="958"/>
    </row>
    <row r="788" spans="1:31" ht="15" customHeight="1">
      <c r="A788" s="957">
        <v>104</v>
      </c>
      <c r="B788" s="566" t="s">
        <v>493</v>
      </c>
      <c r="C788" s="567" t="s">
        <v>1443</v>
      </c>
      <c r="D788" s="958">
        <v>1.3</v>
      </c>
      <c r="E788" s="959" t="s">
        <v>404</v>
      </c>
      <c r="F788" s="558" t="s">
        <v>1499</v>
      </c>
      <c r="G788" s="558">
        <v>1251</v>
      </c>
      <c r="H788" s="558">
        <v>29.1</v>
      </c>
      <c r="I788" s="559" t="s">
        <v>418</v>
      </c>
      <c r="J788" s="567" t="s">
        <v>1445</v>
      </c>
      <c r="K788" s="961" t="s">
        <v>1373</v>
      </c>
      <c r="L788" s="555" t="str">
        <f t="shared" ca="1" si="126"/>
        <v/>
      </c>
      <c r="M788" s="494" t="s">
        <v>1446</v>
      </c>
      <c r="N788" s="555" t="str">
        <f t="shared" ca="1" si="127"/>
        <v/>
      </c>
      <c r="O788" s="494" t="s">
        <v>1447</v>
      </c>
      <c r="P788" s="555" t="str">
        <f t="shared" ca="1" si="128"/>
        <v/>
      </c>
      <c r="Q788" s="494" t="s">
        <v>1448</v>
      </c>
      <c r="R788" s="494" t="str">
        <f t="shared" si="132"/>
        <v>H788</v>
      </c>
      <c r="S788" s="494" t="s">
        <v>1449</v>
      </c>
      <c r="T788" s="494">
        <v>10</v>
      </c>
      <c r="U788" s="556" t="str">
        <f t="shared" ca="1" si="124"/>
        <v/>
      </c>
      <c r="V788" s="494">
        <v>11</v>
      </c>
      <c r="W788" s="556" t="str">
        <f t="shared" ca="1" si="125"/>
        <v/>
      </c>
      <c r="X788" s="494" t="s">
        <v>1450</v>
      </c>
      <c r="Y788" s="547" t="str">
        <f t="shared" ca="1" si="129"/>
        <v/>
      </c>
      <c r="Z788" s="494" t="s">
        <v>1451</v>
      </c>
      <c r="AA788" s="547" t="str">
        <f t="shared" ca="1" si="130"/>
        <v/>
      </c>
      <c r="AB788" s="494" t="s">
        <v>1452</v>
      </c>
      <c r="AC788" s="547" t="str">
        <f t="shared" ca="1" si="131"/>
        <v/>
      </c>
      <c r="AD788" s="557"/>
      <c r="AE788" s="958"/>
    </row>
    <row r="789" spans="1:31" ht="15" customHeight="1">
      <c r="A789" s="957">
        <v>104</v>
      </c>
      <c r="B789" s="566" t="s">
        <v>493</v>
      </c>
      <c r="C789" s="567" t="s">
        <v>1443</v>
      </c>
      <c r="D789" s="958">
        <v>1.3</v>
      </c>
      <c r="E789" s="959" t="s">
        <v>419</v>
      </c>
      <c r="F789" s="558" t="s">
        <v>1501</v>
      </c>
      <c r="G789" s="558">
        <v>1257</v>
      </c>
      <c r="H789" s="558" t="s">
        <v>522</v>
      </c>
      <c r="I789" s="559" t="s">
        <v>420</v>
      </c>
      <c r="J789" s="567" t="s">
        <v>1445</v>
      </c>
      <c r="K789" s="961" t="s">
        <v>1373</v>
      </c>
      <c r="L789" s="555" t="str">
        <f t="shared" ca="1" si="126"/>
        <v/>
      </c>
      <c r="M789" s="494" t="s">
        <v>1446</v>
      </c>
      <c r="N789" s="555" t="str">
        <f t="shared" ca="1" si="127"/>
        <v/>
      </c>
      <c r="O789" s="494" t="s">
        <v>1447</v>
      </c>
      <c r="P789" s="555" t="str">
        <f t="shared" ca="1" si="128"/>
        <v/>
      </c>
      <c r="Q789" s="494" t="s">
        <v>1448</v>
      </c>
      <c r="R789" s="494" t="str">
        <f t="shared" si="132"/>
        <v>H789</v>
      </c>
      <c r="S789" s="494" t="s">
        <v>1449</v>
      </c>
      <c r="T789" s="494">
        <v>10</v>
      </c>
      <c r="U789" s="556" t="str">
        <f t="shared" ca="1" si="124"/>
        <v/>
      </c>
      <c r="V789" s="494">
        <v>11</v>
      </c>
      <c r="W789" s="556" t="str">
        <f t="shared" ca="1" si="125"/>
        <v/>
      </c>
      <c r="X789" s="494" t="s">
        <v>1450</v>
      </c>
      <c r="Y789" s="547" t="str">
        <f t="shared" ca="1" si="129"/>
        <v/>
      </c>
      <c r="Z789" s="494" t="s">
        <v>1451</v>
      </c>
      <c r="AA789" s="547" t="str">
        <f t="shared" ca="1" si="130"/>
        <v/>
      </c>
      <c r="AB789" s="494" t="s">
        <v>1452</v>
      </c>
      <c r="AC789" s="547" t="str">
        <f t="shared" ca="1" si="131"/>
        <v/>
      </c>
      <c r="AD789" s="557"/>
      <c r="AE789" s="958"/>
    </row>
    <row r="790" spans="1:31" ht="15" customHeight="1">
      <c r="A790" s="957">
        <v>104</v>
      </c>
      <c r="B790" s="566" t="s">
        <v>493</v>
      </c>
      <c r="C790" s="567" t="s">
        <v>1443</v>
      </c>
      <c r="D790" s="958">
        <v>1.3</v>
      </c>
      <c r="E790" s="959" t="s">
        <v>419</v>
      </c>
      <c r="F790" s="558" t="s">
        <v>1501</v>
      </c>
      <c r="G790" s="558">
        <v>1265</v>
      </c>
      <c r="H790" s="558" t="s">
        <v>524</v>
      </c>
      <c r="I790" s="559" t="s">
        <v>422</v>
      </c>
      <c r="J790" s="567" t="s">
        <v>1445</v>
      </c>
      <c r="K790" s="961" t="s">
        <v>1373</v>
      </c>
      <c r="L790" s="555" t="str">
        <f t="shared" ca="1" si="126"/>
        <v/>
      </c>
      <c r="M790" s="494" t="s">
        <v>1446</v>
      </c>
      <c r="N790" s="555" t="str">
        <f t="shared" ca="1" si="127"/>
        <v/>
      </c>
      <c r="O790" s="494" t="s">
        <v>1447</v>
      </c>
      <c r="P790" s="555" t="str">
        <f t="shared" ca="1" si="128"/>
        <v/>
      </c>
      <c r="Q790" s="494" t="s">
        <v>1448</v>
      </c>
      <c r="R790" s="494" t="str">
        <f t="shared" si="132"/>
        <v>H790</v>
      </c>
      <c r="S790" s="494" t="s">
        <v>1449</v>
      </c>
      <c r="T790" s="494">
        <v>10</v>
      </c>
      <c r="U790" s="556" t="str">
        <f t="shared" ca="1" si="124"/>
        <v/>
      </c>
      <c r="V790" s="494">
        <v>11</v>
      </c>
      <c r="W790" s="556" t="str">
        <f t="shared" ca="1" si="125"/>
        <v/>
      </c>
      <c r="X790" s="494" t="s">
        <v>1450</v>
      </c>
      <c r="Y790" s="547" t="str">
        <f t="shared" ca="1" si="129"/>
        <v/>
      </c>
      <c r="Z790" s="494" t="s">
        <v>1451</v>
      </c>
      <c r="AA790" s="547" t="str">
        <f t="shared" ca="1" si="130"/>
        <v/>
      </c>
      <c r="AB790" s="494" t="s">
        <v>1452</v>
      </c>
      <c r="AC790" s="547" t="str">
        <f t="shared" ca="1" si="131"/>
        <v/>
      </c>
      <c r="AD790" s="557"/>
      <c r="AE790" s="958"/>
    </row>
    <row r="791" spans="1:31" ht="15" customHeight="1">
      <c r="A791" s="957">
        <v>104</v>
      </c>
      <c r="B791" s="566" t="s">
        <v>493</v>
      </c>
      <c r="C791" s="567" t="s">
        <v>1443</v>
      </c>
      <c r="D791" s="958">
        <v>1.3</v>
      </c>
      <c r="E791" s="959" t="s">
        <v>419</v>
      </c>
      <c r="F791" s="558" t="s">
        <v>1501</v>
      </c>
      <c r="G791" s="558">
        <v>1269</v>
      </c>
      <c r="H791" s="558" t="s">
        <v>526</v>
      </c>
      <c r="I791" s="559" t="s">
        <v>424</v>
      </c>
      <c r="J791" s="567" t="s">
        <v>1445</v>
      </c>
      <c r="K791" s="961" t="s">
        <v>1373</v>
      </c>
      <c r="L791" s="555" t="str">
        <f t="shared" ca="1" si="126"/>
        <v/>
      </c>
      <c r="M791" s="494" t="s">
        <v>1446</v>
      </c>
      <c r="N791" s="555" t="str">
        <f t="shared" ca="1" si="127"/>
        <v/>
      </c>
      <c r="O791" s="494" t="s">
        <v>1447</v>
      </c>
      <c r="P791" s="555" t="str">
        <f t="shared" ca="1" si="128"/>
        <v/>
      </c>
      <c r="Q791" s="494" t="s">
        <v>1448</v>
      </c>
      <c r="R791" s="494" t="str">
        <f t="shared" si="132"/>
        <v>H791</v>
      </c>
      <c r="S791" s="494" t="s">
        <v>1449</v>
      </c>
      <c r="T791" s="494">
        <v>10</v>
      </c>
      <c r="U791" s="556" t="str">
        <f t="shared" ca="1" si="124"/>
        <v/>
      </c>
      <c r="V791" s="494">
        <v>11</v>
      </c>
      <c r="W791" s="556" t="str">
        <f t="shared" ca="1" si="125"/>
        <v/>
      </c>
      <c r="X791" s="494" t="s">
        <v>1450</v>
      </c>
      <c r="Y791" s="547" t="str">
        <f t="shared" ca="1" si="129"/>
        <v/>
      </c>
      <c r="Z791" s="494" t="s">
        <v>1451</v>
      </c>
      <c r="AA791" s="547" t="str">
        <f t="shared" ca="1" si="130"/>
        <v/>
      </c>
      <c r="AB791" s="494" t="s">
        <v>1452</v>
      </c>
      <c r="AC791" s="547" t="str">
        <f t="shared" ca="1" si="131"/>
        <v/>
      </c>
      <c r="AD791" s="557"/>
      <c r="AE791" s="958"/>
    </row>
    <row r="792" spans="1:31" ht="15" customHeight="1">
      <c r="A792" s="957">
        <v>104</v>
      </c>
      <c r="B792" s="566" t="s">
        <v>493</v>
      </c>
      <c r="C792" s="567" t="s">
        <v>1443</v>
      </c>
      <c r="D792" s="958">
        <v>1.3</v>
      </c>
      <c r="E792" s="959" t="s">
        <v>419</v>
      </c>
      <c r="F792" s="558" t="s">
        <v>1501</v>
      </c>
      <c r="G792" s="558">
        <v>1282</v>
      </c>
      <c r="H792" s="558" t="s">
        <v>528</v>
      </c>
      <c r="I792" s="559" t="s">
        <v>426</v>
      </c>
      <c r="J792" s="567" t="s">
        <v>1445</v>
      </c>
      <c r="K792" s="961" t="s">
        <v>1373</v>
      </c>
      <c r="L792" s="555" t="str">
        <f t="shared" ca="1" si="126"/>
        <v/>
      </c>
      <c r="M792" s="494" t="s">
        <v>1446</v>
      </c>
      <c r="N792" s="555" t="str">
        <f t="shared" ca="1" si="127"/>
        <v/>
      </c>
      <c r="O792" s="494" t="s">
        <v>1447</v>
      </c>
      <c r="P792" s="555" t="str">
        <f t="shared" ca="1" si="128"/>
        <v/>
      </c>
      <c r="Q792" s="494" t="s">
        <v>1448</v>
      </c>
      <c r="R792" s="494" t="str">
        <f t="shared" si="132"/>
        <v>H792</v>
      </c>
      <c r="S792" s="494" t="s">
        <v>1449</v>
      </c>
      <c r="T792" s="494">
        <v>10</v>
      </c>
      <c r="U792" s="556" t="str">
        <f t="shared" ca="1" si="124"/>
        <v/>
      </c>
      <c r="V792" s="494">
        <v>11</v>
      </c>
      <c r="W792" s="556" t="str">
        <f t="shared" ca="1" si="125"/>
        <v/>
      </c>
      <c r="X792" s="494" t="s">
        <v>1450</v>
      </c>
      <c r="Y792" s="547" t="str">
        <f t="shared" ca="1" si="129"/>
        <v/>
      </c>
      <c r="Z792" s="494" t="s">
        <v>1451</v>
      </c>
      <c r="AA792" s="547" t="str">
        <f t="shared" ca="1" si="130"/>
        <v/>
      </c>
      <c r="AB792" s="494" t="s">
        <v>1452</v>
      </c>
      <c r="AC792" s="547" t="str">
        <f t="shared" ca="1" si="131"/>
        <v/>
      </c>
      <c r="AD792" s="557"/>
      <c r="AE792" s="958"/>
    </row>
    <row r="793" spans="1:31" ht="15" customHeight="1">
      <c r="A793" s="957">
        <v>104</v>
      </c>
      <c r="B793" s="566" t="s">
        <v>493</v>
      </c>
      <c r="C793" s="567" t="s">
        <v>1443</v>
      </c>
      <c r="D793" s="958">
        <v>1.3</v>
      </c>
      <c r="E793" s="959" t="s">
        <v>419</v>
      </c>
      <c r="F793" s="558" t="s">
        <v>1501</v>
      </c>
      <c r="G793" s="558">
        <v>1319</v>
      </c>
      <c r="H793" s="558" t="s">
        <v>530</v>
      </c>
      <c r="I793" s="559" t="s">
        <v>428</v>
      </c>
      <c r="J793" s="567" t="s">
        <v>1445</v>
      </c>
      <c r="K793" s="961" t="s">
        <v>1373</v>
      </c>
      <c r="L793" s="555" t="str">
        <f t="shared" ca="1" si="126"/>
        <v/>
      </c>
      <c r="M793" s="494" t="s">
        <v>1446</v>
      </c>
      <c r="N793" s="555" t="str">
        <f t="shared" ca="1" si="127"/>
        <v/>
      </c>
      <c r="O793" s="494" t="s">
        <v>1447</v>
      </c>
      <c r="P793" s="555" t="str">
        <f t="shared" ca="1" si="128"/>
        <v/>
      </c>
      <c r="Q793" s="494" t="s">
        <v>1448</v>
      </c>
      <c r="R793" s="494" t="str">
        <f t="shared" si="132"/>
        <v>H793</v>
      </c>
      <c r="S793" s="494" t="s">
        <v>1449</v>
      </c>
      <c r="T793" s="494">
        <v>10</v>
      </c>
      <c r="U793" s="556" t="str">
        <f t="shared" ca="1" si="124"/>
        <v/>
      </c>
      <c r="V793" s="494">
        <v>11</v>
      </c>
      <c r="W793" s="556" t="str">
        <f t="shared" ca="1" si="125"/>
        <v/>
      </c>
      <c r="X793" s="494" t="s">
        <v>1450</v>
      </c>
      <c r="Y793" s="547" t="str">
        <f t="shared" ca="1" si="129"/>
        <v/>
      </c>
      <c r="Z793" s="494" t="s">
        <v>1451</v>
      </c>
      <c r="AA793" s="547" t="str">
        <f t="shared" ca="1" si="130"/>
        <v/>
      </c>
      <c r="AB793" s="494" t="s">
        <v>1452</v>
      </c>
      <c r="AC793" s="547" t="str">
        <f t="shared" ca="1" si="131"/>
        <v/>
      </c>
      <c r="AD793" s="557"/>
      <c r="AE793" s="958"/>
    </row>
    <row r="794" spans="1:31" ht="15" customHeight="1">
      <c r="A794" s="957" t="str">
        <f ca="1">IF(N794="Design Review",22,IF(N794="As Built",23,"22/23"))</f>
        <v>22/23</v>
      </c>
      <c r="B794" s="566" t="s">
        <v>162</v>
      </c>
      <c r="C794" s="567" t="str">
        <f ca="1">IF(L794="Design Review","Green Star - Education Design",IF(L794="As Built","Green Star - Education As Built","Green Star - Education"))</f>
        <v>Green Star - Education</v>
      </c>
      <c r="D794" s="958">
        <v>1</v>
      </c>
      <c r="E794" s="959" t="s">
        <v>254</v>
      </c>
      <c r="F794" s="558" t="s">
        <v>1444</v>
      </c>
      <c r="G794" s="558">
        <v>16</v>
      </c>
      <c r="H794" s="558" t="s">
        <v>1091</v>
      </c>
      <c r="I794" s="559" t="s">
        <v>257</v>
      </c>
      <c r="J794" s="567" t="s">
        <v>1567</v>
      </c>
      <c r="K794" s="961" t="s">
        <v>1568</v>
      </c>
      <c r="L794" s="555" t="str">
        <f t="shared" ca="1" si="126"/>
        <v/>
      </c>
      <c r="M794" s="494" t="s">
        <v>1569</v>
      </c>
      <c r="N794" s="555" t="str">
        <f t="shared" ca="1" si="127"/>
        <v/>
      </c>
      <c r="O794" s="494" t="s">
        <v>1570</v>
      </c>
      <c r="P794" s="555" t="str">
        <f t="shared" ca="1" si="128"/>
        <v/>
      </c>
      <c r="Q794" s="494" t="s">
        <v>1571</v>
      </c>
      <c r="R794" s="494" t="str">
        <f>CONCATENATE("I",ROW(J794))</f>
        <v>I794</v>
      </c>
      <c r="S794" s="494" t="s">
        <v>1572</v>
      </c>
      <c r="T794" s="494">
        <v>6</v>
      </c>
      <c r="U794" s="556" t="str">
        <f t="shared" ca="1" si="124"/>
        <v/>
      </c>
      <c r="V794" s="494">
        <v>7</v>
      </c>
      <c r="W794" s="556" t="str">
        <f t="shared" ca="1" si="125"/>
        <v/>
      </c>
      <c r="X794" s="494" t="s">
        <v>170</v>
      </c>
      <c r="Y794" s="547" t="str">
        <f t="shared" ca="1" si="129"/>
        <v/>
      </c>
      <c r="Z794" s="494" t="s">
        <v>1573</v>
      </c>
      <c r="AA794" s="547" t="str">
        <f t="shared" ca="1" si="130"/>
        <v/>
      </c>
      <c r="AB794" s="494" t="s">
        <v>1574</v>
      </c>
      <c r="AC794" s="547" t="str">
        <f t="shared" ca="1" si="131"/>
        <v/>
      </c>
      <c r="AD794" s="557"/>
      <c r="AE794" s="958"/>
    </row>
    <row r="795" spans="1:31" ht="15" customHeight="1">
      <c r="A795" s="957" t="str">
        <f t="shared" ref="A795:A858" ca="1" si="133">IF(N795="Design Review",22,IF(N795="As Built",23,"22/23"))</f>
        <v>22/23</v>
      </c>
      <c r="B795" s="566" t="s">
        <v>162</v>
      </c>
      <c r="C795" s="567" t="str">
        <f t="shared" ref="C795:C858" ca="1" si="134">IF(L795="Design Review","Green Star - Education Design",IF(L795="As Built","Green Star - Education As Built","Green Star - Education"))</f>
        <v>Green Star - Education</v>
      </c>
      <c r="D795" s="958">
        <v>1</v>
      </c>
      <c r="E795" s="959" t="s">
        <v>254</v>
      </c>
      <c r="F795" s="558" t="s">
        <v>1444</v>
      </c>
      <c r="G795" s="558">
        <v>210</v>
      </c>
      <c r="H795" s="558" t="s">
        <v>1093</v>
      </c>
      <c r="I795" s="559" t="s">
        <v>1095</v>
      </c>
      <c r="J795" s="567" t="s">
        <v>1567</v>
      </c>
      <c r="K795" s="961" t="s">
        <v>1568</v>
      </c>
      <c r="L795" s="555" t="str">
        <f t="shared" ca="1" si="126"/>
        <v/>
      </c>
      <c r="M795" s="494" t="s">
        <v>1569</v>
      </c>
      <c r="N795" s="555" t="str">
        <f t="shared" ca="1" si="127"/>
        <v/>
      </c>
      <c r="O795" s="494" t="s">
        <v>1570</v>
      </c>
      <c r="P795" s="555" t="str">
        <f t="shared" ca="1" si="128"/>
        <v/>
      </c>
      <c r="Q795" s="494" t="s">
        <v>1571</v>
      </c>
      <c r="R795" s="494" t="str">
        <f t="shared" ref="R795:R855" si="135">CONCATENATE("I",ROW(J795))</f>
        <v>I795</v>
      </c>
      <c r="S795" s="494" t="s">
        <v>1575</v>
      </c>
      <c r="T795" s="494">
        <v>6</v>
      </c>
      <c r="U795" s="556" t="str">
        <f t="shared" ca="1" si="124"/>
        <v/>
      </c>
      <c r="V795" s="494">
        <v>7</v>
      </c>
      <c r="W795" s="556" t="str">
        <f t="shared" ca="1" si="125"/>
        <v/>
      </c>
      <c r="X795" s="494" t="s">
        <v>170</v>
      </c>
      <c r="Y795" s="547" t="str">
        <f t="shared" ca="1" si="129"/>
        <v/>
      </c>
      <c r="Z795" s="494" t="s">
        <v>1573</v>
      </c>
      <c r="AA795" s="547" t="str">
        <f t="shared" ca="1" si="130"/>
        <v/>
      </c>
      <c r="AB795" s="494" t="s">
        <v>1574</v>
      </c>
      <c r="AC795" s="547" t="str">
        <f t="shared" ca="1" si="131"/>
        <v/>
      </c>
      <c r="AD795" s="557"/>
      <c r="AE795" s="958"/>
    </row>
    <row r="796" spans="1:31" ht="15" customHeight="1">
      <c r="A796" s="957" t="str">
        <f t="shared" ca="1" si="133"/>
        <v>22/23</v>
      </c>
      <c r="B796" s="566" t="s">
        <v>162</v>
      </c>
      <c r="C796" s="567" t="str">
        <f t="shared" ca="1" si="134"/>
        <v>Green Star - Education</v>
      </c>
      <c r="D796" s="958">
        <v>1</v>
      </c>
      <c r="E796" s="959" t="s">
        <v>254</v>
      </c>
      <c r="F796" s="558" t="s">
        <v>1444</v>
      </c>
      <c r="G796" s="558">
        <v>210</v>
      </c>
      <c r="H796" s="558" t="s">
        <v>1093</v>
      </c>
      <c r="I796" s="559" t="s">
        <v>1097</v>
      </c>
      <c r="J796" s="567" t="s">
        <v>1567</v>
      </c>
      <c r="K796" s="961" t="s">
        <v>1568</v>
      </c>
      <c r="L796" s="555" t="str">
        <f t="shared" ca="1" si="126"/>
        <v/>
      </c>
      <c r="M796" s="494" t="s">
        <v>1569</v>
      </c>
      <c r="N796" s="555" t="str">
        <f t="shared" ca="1" si="127"/>
        <v/>
      </c>
      <c r="O796" s="494" t="s">
        <v>1570</v>
      </c>
      <c r="P796" s="555" t="str">
        <f t="shared" ca="1" si="128"/>
        <v/>
      </c>
      <c r="Q796" s="494" t="s">
        <v>1571</v>
      </c>
      <c r="R796" s="494" t="str">
        <f t="shared" si="135"/>
        <v>I796</v>
      </c>
      <c r="S796" s="494" t="s">
        <v>1575</v>
      </c>
      <c r="T796" s="494">
        <v>6</v>
      </c>
      <c r="U796" s="556" t="str">
        <f t="shared" ca="1" si="124"/>
        <v/>
      </c>
      <c r="V796" s="494">
        <v>7</v>
      </c>
      <c r="W796" s="556" t="str">
        <f t="shared" ca="1" si="125"/>
        <v/>
      </c>
      <c r="X796" s="494" t="s">
        <v>170</v>
      </c>
      <c r="Y796" s="547" t="str">
        <f t="shared" ca="1" si="129"/>
        <v/>
      </c>
      <c r="Z796" s="494" t="s">
        <v>1573</v>
      </c>
      <c r="AA796" s="547" t="str">
        <f t="shared" ca="1" si="130"/>
        <v/>
      </c>
      <c r="AB796" s="494" t="s">
        <v>1574</v>
      </c>
      <c r="AC796" s="547" t="str">
        <f t="shared" ca="1" si="131"/>
        <v/>
      </c>
      <c r="AD796" s="557"/>
      <c r="AE796" s="958"/>
    </row>
    <row r="797" spans="1:31" ht="15" customHeight="1">
      <c r="A797" s="957" t="str">
        <f t="shared" ca="1" si="133"/>
        <v>22/23</v>
      </c>
      <c r="B797" s="566" t="s">
        <v>162</v>
      </c>
      <c r="C797" s="567" t="str">
        <f t="shared" ca="1" si="134"/>
        <v>Green Star - Education</v>
      </c>
      <c r="D797" s="958">
        <v>1</v>
      </c>
      <c r="E797" s="959" t="s">
        <v>254</v>
      </c>
      <c r="F797" s="558" t="s">
        <v>1444</v>
      </c>
      <c r="G797" s="558">
        <v>132</v>
      </c>
      <c r="H797" s="558" t="s">
        <v>1098</v>
      </c>
      <c r="I797" s="559" t="s">
        <v>1099</v>
      </c>
      <c r="J797" s="567" t="s">
        <v>1567</v>
      </c>
      <c r="K797" s="961" t="s">
        <v>1568</v>
      </c>
      <c r="L797" s="555" t="str">
        <f t="shared" ca="1" si="126"/>
        <v/>
      </c>
      <c r="M797" s="494" t="s">
        <v>1569</v>
      </c>
      <c r="N797" s="555" t="str">
        <f t="shared" ca="1" si="127"/>
        <v/>
      </c>
      <c r="O797" s="494" t="s">
        <v>1570</v>
      </c>
      <c r="P797" s="555" t="str">
        <f t="shared" ca="1" si="128"/>
        <v/>
      </c>
      <c r="Q797" s="494" t="s">
        <v>1571</v>
      </c>
      <c r="R797" s="494" t="str">
        <f t="shared" si="135"/>
        <v>I797</v>
      </c>
      <c r="S797" s="494" t="s">
        <v>1572</v>
      </c>
      <c r="T797" s="494">
        <v>6</v>
      </c>
      <c r="U797" s="556" t="str">
        <f t="shared" ca="1" si="124"/>
        <v/>
      </c>
      <c r="V797" s="494">
        <v>7</v>
      </c>
      <c r="W797" s="556" t="str">
        <f t="shared" ca="1" si="125"/>
        <v/>
      </c>
      <c r="X797" s="494" t="s">
        <v>170</v>
      </c>
      <c r="Y797" s="547" t="str">
        <f t="shared" ca="1" si="129"/>
        <v/>
      </c>
      <c r="Z797" s="494" t="s">
        <v>1573</v>
      </c>
      <c r="AA797" s="547" t="str">
        <f t="shared" ca="1" si="130"/>
        <v/>
      </c>
      <c r="AB797" s="494" t="s">
        <v>1574</v>
      </c>
      <c r="AC797" s="547" t="str">
        <f t="shared" ca="1" si="131"/>
        <v/>
      </c>
      <c r="AD797" s="557"/>
      <c r="AE797" s="958"/>
    </row>
    <row r="798" spans="1:31" ht="15" customHeight="1">
      <c r="A798" s="957" t="str">
        <f t="shared" ca="1" si="133"/>
        <v>22/23</v>
      </c>
      <c r="B798" s="566" t="s">
        <v>162</v>
      </c>
      <c r="C798" s="567" t="str">
        <f t="shared" ca="1" si="134"/>
        <v>Green Star - Education</v>
      </c>
      <c r="D798" s="958">
        <v>1</v>
      </c>
      <c r="E798" s="959" t="s">
        <v>254</v>
      </c>
      <c r="F798" s="558" t="s">
        <v>1444</v>
      </c>
      <c r="G798" s="558">
        <v>133</v>
      </c>
      <c r="H798" s="558" t="s">
        <v>1100</v>
      </c>
      <c r="I798" s="559" t="s">
        <v>281</v>
      </c>
      <c r="J798" s="567" t="s">
        <v>1567</v>
      </c>
      <c r="K798" s="961" t="s">
        <v>1568</v>
      </c>
      <c r="L798" s="555" t="str">
        <f t="shared" ca="1" si="126"/>
        <v/>
      </c>
      <c r="M798" s="494" t="s">
        <v>1569</v>
      </c>
      <c r="N798" s="555" t="str">
        <f t="shared" ca="1" si="127"/>
        <v/>
      </c>
      <c r="O798" s="494" t="s">
        <v>1570</v>
      </c>
      <c r="P798" s="555" t="str">
        <f t="shared" ca="1" si="128"/>
        <v/>
      </c>
      <c r="Q798" s="494" t="s">
        <v>1571</v>
      </c>
      <c r="R798" s="494" t="str">
        <f t="shared" si="135"/>
        <v>I798</v>
      </c>
      <c r="S798" s="494" t="s">
        <v>1572</v>
      </c>
      <c r="T798" s="494">
        <v>6</v>
      </c>
      <c r="U798" s="556" t="str">
        <f t="shared" ca="1" si="124"/>
        <v/>
      </c>
      <c r="V798" s="494">
        <v>7</v>
      </c>
      <c r="W798" s="556" t="str">
        <f t="shared" ca="1" si="125"/>
        <v/>
      </c>
      <c r="X798" s="494" t="s">
        <v>170</v>
      </c>
      <c r="Y798" s="547" t="str">
        <f t="shared" ca="1" si="129"/>
        <v/>
      </c>
      <c r="Z798" s="494" t="s">
        <v>1573</v>
      </c>
      <c r="AA798" s="547" t="str">
        <f t="shared" ca="1" si="130"/>
        <v/>
      </c>
      <c r="AB798" s="494" t="s">
        <v>1574</v>
      </c>
      <c r="AC798" s="547" t="str">
        <f t="shared" ca="1" si="131"/>
        <v/>
      </c>
      <c r="AD798" s="557"/>
      <c r="AE798" s="958"/>
    </row>
    <row r="799" spans="1:31" ht="15" customHeight="1">
      <c r="A799" s="957" t="str">
        <f t="shared" ca="1" si="133"/>
        <v>22/23</v>
      </c>
      <c r="B799" s="566" t="s">
        <v>162</v>
      </c>
      <c r="C799" s="567" t="str">
        <f t="shared" ca="1" si="134"/>
        <v>Green Star - Education</v>
      </c>
      <c r="D799" s="958">
        <v>1</v>
      </c>
      <c r="E799" s="959" t="s">
        <v>254</v>
      </c>
      <c r="F799" s="558" t="s">
        <v>1444</v>
      </c>
      <c r="G799" s="558">
        <v>874</v>
      </c>
      <c r="H799" s="558" t="s">
        <v>1101</v>
      </c>
      <c r="I799" s="559" t="s">
        <v>1252</v>
      </c>
      <c r="J799" s="567" t="s">
        <v>1567</v>
      </c>
      <c r="K799" s="961" t="s">
        <v>1568</v>
      </c>
      <c r="L799" s="555" t="str">
        <f t="shared" ca="1" si="126"/>
        <v/>
      </c>
      <c r="M799" s="494" t="s">
        <v>1569</v>
      </c>
      <c r="N799" s="555" t="str">
        <f t="shared" ca="1" si="127"/>
        <v/>
      </c>
      <c r="O799" s="494" t="s">
        <v>1570</v>
      </c>
      <c r="P799" s="555" t="str">
        <f t="shared" ca="1" si="128"/>
        <v/>
      </c>
      <c r="Q799" s="494" t="s">
        <v>1571</v>
      </c>
      <c r="R799" s="494" t="str">
        <f t="shared" si="135"/>
        <v>I799</v>
      </c>
      <c r="S799" s="494" t="s">
        <v>1575</v>
      </c>
      <c r="T799" s="494">
        <v>6</v>
      </c>
      <c r="U799" s="556" t="str">
        <f t="shared" ca="1" si="124"/>
        <v/>
      </c>
      <c r="V799" s="494">
        <v>7</v>
      </c>
      <c r="W799" s="556" t="str">
        <f t="shared" ca="1" si="125"/>
        <v/>
      </c>
      <c r="X799" s="494" t="s">
        <v>170</v>
      </c>
      <c r="Y799" s="547" t="str">
        <f t="shared" ca="1" si="129"/>
        <v/>
      </c>
      <c r="Z799" s="494" t="s">
        <v>1573</v>
      </c>
      <c r="AA799" s="547" t="str">
        <f t="shared" ca="1" si="130"/>
        <v/>
      </c>
      <c r="AB799" s="494" t="s">
        <v>1574</v>
      </c>
      <c r="AC799" s="547" t="str">
        <f t="shared" ca="1" si="131"/>
        <v/>
      </c>
      <c r="AD799" s="557"/>
      <c r="AE799" s="958"/>
    </row>
    <row r="800" spans="1:31" ht="15" customHeight="1">
      <c r="A800" s="957" t="str">
        <f t="shared" ca="1" si="133"/>
        <v>22/23</v>
      </c>
      <c r="B800" s="566" t="s">
        <v>162</v>
      </c>
      <c r="C800" s="567" t="str">
        <f t="shared" ca="1" si="134"/>
        <v>Green Star - Education</v>
      </c>
      <c r="D800" s="958">
        <v>1</v>
      </c>
      <c r="E800" s="959" t="s">
        <v>254</v>
      </c>
      <c r="F800" s="558" t="s">
        <v>1444</v>
      </c>
      <c r="G800" s="558">
        <v>874</v>
      </c>
      <c r="H800" s="558" t="s">
        <v>1101</v>
      </c>
      <c r="I800" s="559" t="s">
        <v>1253</v>
      </c>
      <c r="J800" s="567" t="s">
        <v>1567</v>
      </c>
      <c r="K800" s="961" t="s">
        <v>1568</v>
      </c>
      <c r="L800" s="555" t="str">
        <f t="shared" ca="1" si="126"/>
        <v/>
      </c>
      <c r="M800" s="494" t="s">
        <v>1569</v>
      </c>
      <c r="N800" s="555" t="str">
        <f t="shared" ca="1" si="127"/>
        <v/>
      </c>
      <c r="O800" s="494" t="s">
        <v>1570</v>
      </c>
      <c r="P800" s="555" t="str">
        <f t="shared" ca="1" si="128"/>
        <v/>
      </c>
      <c r="Q800" s="494" t="s">
        <v>1571</v>
      </c>
      <c r="R800" s="494" t="str">
        <f t="shared" si="135"/>
        <v>I800</v>
      </c>
      <c r="S800" s="494" t="s">
        <v>1575</v>
      </c>
      <c r="T800" s="494">
        <v>6</v>
      </c>
      <c r="U800" s="556" t="str">
        <f t="shared" ca="1" si="124"/>
        <v/>
      </c>
      <c r="V800" s="494">
        <v>7</v>
      </c>
      <c r="W800" s="556" t="str">
        <f t="shared" ca="1" si="125"/>
        <v/>
      </c>
      <c r="X800" s="494" t="s">
        <v>170</v>
      </c>
      <c r="Y800" s="547" t="str">
        <f t="shared" ca="1" si="129"/>
        <v/>
      </c>
      <c r="Z800" s="494" t="s">
        <v>1573</v>
      </c>
      <c r="AA800" s="547" t="str">
        <f t="shared" ca="1" si="130"/>
        <v/>
      </c>
      <c r="AB800" s="494" t="s">
        <v>1574</v>
      </c>
      <c r="AC800" s="547" t="str">
        <f t="shared" ca="1" si="131"/>
        <v/>
      </c>
      <c r="AD800" s="557"/>
      <c r="AE800" s="958"/>
    </row>
    <row r="801" spans="1:31" ht="15" customHeight="1">
      <c r="A801" s="957" t="str">
        <f t="shared" ca="1" si="133"/>
        <v>22/23</v>
      </c>
      <c r="B801" s="566" t="s">
        <v>162</v>
      </c>
      <c r="C801" s="567" t="str">
        <f t="shared" ca="1" si="134"/>
        <v>Green Star - Education</v>
      </c>
      <c r="D801" s="958">
        <v>1</v>
      </c>
      <c r="E801" s="959" t="s">
        <v>254</v>
      </c>
      <c r="F801" s="558" t="s">
        <v>1444</v>
      </c>
      <c r="G801" s="558">
        <v>94</v>
      </c>
      <c r="H801" s="558" t="s">
        <v>1103</v>
      </c>
      <c r="I801" s="559" t="s">
        <v>298</v>
      </c>
      <c r="J801" s="567" t="s">
        <v>1567</v>
      </c>
      <c r="K801" s="961" t="s">
        <v>1568</v>
      </c>
      <c r="L801" s="555" t="str">
        <f t="shared" ca="1" si="126"/>
        <v/>
      </c>
      <c r="M801" s="494" t="s">
        <v>1569</v>
      </c>
      <c r="N801" s="555" t="str">
        <f t="shared" ca="1" si="127"/>
        <v/>
      </c>
      <c r="O801" s="494" t="s">
        <v>1570</v>
      </c>
      <c r="P801" s="555" t="str">
        <f t="shared" ca="1" si="128"/>
        <v/>
      </c>
      <c r="Q801" s="494" t="s">
        <v>1571</v>
      </c>
      <c r="R801" s="494" t="str">
        <f t="shared" si="135"/>
        <v>I801</v>
      </c>
      <c r="S801" s="494" t="s">
        <v>1575</v>
      </c>
      <c r="T801" s="494">
        <v>6</v>
      </c>
      <c r="U801" s="556" t="str">
        <f t="shared" ca="1" si="124"/>
        <v/>
      </c>
      <c r="V801" s="494">
        <v>7</v>
      </c>
      <c r="W801" s="556" t="str">
        <f t="shared" ca="1" si="125"/>
        <v/>
      </c>
      <c r="X801" s="494" t="s">
        <v>170</v>
      </c>
      <c r="Y801" s="547" t="str">
        <f t="shared" ca="1" si="129"/>
        <v/>
      </c>
      <c r="Z801" s="494" t="s">
        <v>1573</v>
      </c>
      <c r="AA801" s="547" t="str">
        <f t="shared" ca="1" si="130"/>
        <v/>
      </c>
      <c r="AB801" s="494" t="s">
        <v>1574</v>
      </c>
      <c r="AC801" s="547" t="str">
        <f t="shared" ca="1" si="131"/>
        <v/>
      </c>
      <c r="AD801" s="557"/>
      <c r="AE801" s="958"/>
    </row>
    <row r="802" spans="1:31" ht="15" customHeight="1">
      <c r="A802" s="957" t="str">
        <f t="shared" ca="1" si="133"/>
        <v>22/23</v>
      </c>
      <c r="B802" s="566" t="s">
        <v>162</v>
      </c>
      <c r="C802" s="567" t="str">
        <f t="shared" ca="1" si="134"/>
        <v>Green Star - Education</v>
      </c>
      <c r="D802" s="958">
        <v>1</v>
      </c>
      <c r="E802" s="959" t="s">
        <v>254</v>
      </c>
      <c r="F802" s="558" t="s">
        <v>1444</v>
      </c>
      <c r="G802" s="558">
        <v>94</v>
      </c>
      <c r="H802" s="558" t="s">
        <v>1103</v>
      </c>
      <c r="I802" s="559" t="s">
        <v>682</v>
      </c>
      <c r="J802" s="567" t="s">
        <v>1567</v>
      </c>
      <c r="K802" s="961" t="s">
        <v>1568</v>
      </c>
      <c r="L802" s="555" t="str">
        <f t="shared" ca="1" si="126"/>
        <v/>
      </c>
      <c r="M802" s="494" t="s">
        <v>1569</v>
      </c>
      <c r="N802" s="555" t="str">
        <f t="shared" ca="1" si="127"/>
        <v/>
      </c>
      <c r="O802" s="494" t="s">
        <v>1570</v>
      </c>
      <c r="P802" s="555" t="str">
        <f t="shared" ca="1" si="128"/>
        <v/>
      </c>
      <c r="Q802" s="494" t="s">
        <v>1571</v>
      </c>
      <c r="R802" s="494" t="str">
        <f t="shared" si="135"/>
        <v>I802</v>
      </c>
      <c r="S802" s="494" t="s">
        <v>1575</v>
      </c>
      <c r="T802" s="494">
        <v>6</v>
      </c>
      <c r="U802" s="556" t="str">
        <f t="shared" ca="1" si="124"/>
        <v/>
      </c>
      <c r="V802" s="494">
        <v>7</v>
      </c>
      <c r="W802" s="556" t="str">
        <f t="shared" ca="1" si="125"/>
        <v/>
      </c>
      <c r="X802" s="494" t="s">
        <v>170</v>
      </c>
      <c r="Y802" s="547" t="str">
        <f t="shared" ca="1" si="129"/>
        <v/>
      </c>
      <c r="Z802" s="494" t="s">
        <v>1573</v>
      </c>
      <c r="AA802" s="547" t="str">
        <f t="shared" ca="1" si="130"/>
        <v/>
      </c>
      <c r="AB802" s="494" t="s">
        <v>1574</v>
      </c>
      <c r="AC802" s="547" t="str">
        <f t="shared" ca="1" si="131"/>
        <v/>
      </c>
      <c r="AD802" s="557"/>
      <c r="AE802" s="958"/>
    </row>
    <row r="803" spans="1:31" ht="15" customHeight="1">
      <c r="A803" s="957" t="str">
        <f t="shared" ca="1" si="133"/>
        <v>22/23</v>
      </c>
      <c r="B803" s="566" t="s">
        <v>162</v>
      </c>
      <c r="C803" s="567" t="str">
        <f t="shared" ca="1" si="134"/>
        <v>Green Star - Education</v>
      </c>
      <c r="D803" s="958">
        <v>1</v>
      </c>
      <c r="E803" s="959" t="s">
        <v>254</v>
      </c>
      <c r="F803" s="558" t="s">
        <v>1444</v>
      </c>
      <c r="G803" s="558">
        <v>97</v>
      </c>
      <c r="H803" s="558" t="s">
        <v>1104</v>
      </c>
      <c r="I803" s="559" t="s">
        <v>785</v>
      </c>
      <c r="J803" s="567" t="s">
        <v>1567</v>
      </c>
      <c r="K803" s="961" t="s">
        <v>1568</v>
      </c>
      <c r="L803" s="555" t="str">
        <f t="shared" ca="1" si="126"/>
        <v/>
      </c>
      <c r="M803" s="494" t="s">
        <v>1569</v>
      </c>
      <c r="N803" s="555" t="str">
        <f t="shared" ca="1" si="127"/>
        <v/>
      </c>
      <c r="O803" s="494" t="s">
        <v>1570</v>
      </c>
      <c r="P803" s="555" t="str">
        <f t="shared" ca="1" si="128"/>
        <v/>
      </c>
      <c r="Q803" s="494" t="s">
        <v>1571</v>
      </c>
      <c r="R803" s="494" t="str">
        <f t="shared" si="135"/>
        <v>I803</v>
      </c>
      <c r="S803" s="494" t="s">
        <v>1572</v>
      </c>
      <c r="T803" s="494">
        <v>6</v>
      </c>
      <c r="U803" s="556" t="str">
        <f t="shared" ca="1" si="124"/>
        <v/>
      </c>
      <c r="V803" s="494">
        <v>7</v>
      </c>
      <c r="W803" s="556" t="str">
        <f t="shared" ca="1" si="125"/>
        <v/>
      </c>
      <c r="X803" s="494" t="s">
        <v>170</v>
      </c>
      <c r="Y803" s="547" t="str">
        <f t="shared" ca="1" si="129"/>
        <v/>
      </c>
      <c r="Z803" s="494" t="s">
        <v>1573</v>
      </c>
      <c r="AA803" s="547" t="str">
        <f t="shared" ca="1" si="130"/>
        <v/>
      </c>
      <c r="AB803" s="494" t="s">
        <v>1574</v>
      </c>
      <c r="AC803" s="547" t="str">
        <f t="shared" ca="1" si="131"/>
        <v/>
      </c>
      <c r="AD803" s="557"/>
      <c r="AE803" s="958"/>
    </row>
    <row r="804" spans="1:31" ht="15" customHeight="1">
      <c r="A804" s="957" t="str">
        <f t="shared" ca="1" si="133"/>
        <v>22/23</v>
      </c>
      <c r="B804" s="566" t="s">
        <v>162</v>
      </c>
      <c r="C804" s="567" t="str">
        <f t="shared" ca="1" si="134"/>
        <v>Green Star - Education</v>
      </c>
      <c r="D804" s="958">
        <v>1</v>
      </c>
      <c r="E804" s="959" t="s">
        <v>254</v>
      </c>
      <c r="F804" s="558" t="s">
        <v>1444</v>
      </c>
      <c r="G804" s="558">
        <v>169</v>
      </c>
      <c r="H804" s="558" t="s">
        <v>1254</v>
      </c>
      <c r="I804" s="559" t="s">
        <v>1255</v>
      </c>
      <c r="J804" s="567" t="s">
        <v>1567</v>
      </c>
      <c r="K804" s="961" t="s">
        <v>1568</v>
      </c>
      <c r="L804" s="555" t="str">
        <f t="shared" ca="1" si="126"/>
        <v/>
      </c>
      <c r="M804" s="494" t="s">
        <v>1569</v>
      </c>
      <c r="N804" s="555" t="str">
        <f t="shared" ca="1" si="127"/>
        <v/>
      </c>
      <c r="O804" s="494" t="s">
        <v>1570</v>
      </c>
      <c r="P804" s="555" t="str">
        <f t="shared" ca="1" si="128"/>
        <v/>
      </c>
      <c r="Q804" s="494" t="s">
        <v>1571</v>
      </c>
      <c r="R804" s="494" t="str">
        <f>CONCATENATE("I",ROW(J804))</f>
        <v>I804</v>
      </c>
      <c r="S804" s="494" t="s">
        <v>1572</v>
      </c>
      <c r="T804" s="494">
        <v>6</v>
      </c>
      <c r="U804" s="556" t="str">
        <f t="shared" ca="1" si="124"/>
        <v/>
      </c>
      <c r="V804" s="494">
        <v>7</v>
      </c>
      <c r="W804" s="556" t="str">
        <f t="shared" ca="1" si="125"/>
        <v/>
      </c>
      <c r="X804" s="494" t="s">
        <v>170</v>
      </c>
      <c r="Y804" s="547" t="str">
        <f t="shared" ca="1" si="129"/>
        <v/>
      </c>
      <c r="Z804" s="494" t="s">
        <v>1573</v>
      </c>
      <c r="AA804" s="547" t="str">
        <f t="shared" ca="1" si="130"/>
        <v/>
      </c>
      <c r="AB804" s="494" t="s">
        <v>1574</v>
      </c>
      <c r="AC804" s="547" t="str">
        <f t="shared" ca="1" si="131"/>
        <v/>
      </c>
      <c r="AD804" s="557"/>
      <c r="AE804" s="958"/>
    </row>
    <row r="805" spans="1:31" ht="15" customHeight="1">
      <c r="A805" s="957" t="str">
        <f t="shared" ca="1" si="133"/>
        <v>22/23</v>
      </c>
      <c r="B805" s="566" t="s">
        <v>162</v>
      </c>
      <c r="C805" s="567" t="str">
        <f t="shared" ca="1" si="134"/>
        <v>Green Star - Education</v>
      </c>
      <c r="D805" s="958">
        <v>1</v>
      </c>
      <c r="E805" s="959" t="s">
        <v>254</v>
      </c>
      <c r="F805" s="558" t="s">
        <v>1444</v>
      </c>
      <c r="G805" s="558">
        <v>170</v>
      </c>
      <c r="H805" s="558" t="s">
        <v>1107</v>
      </c>
      <c r="I805" s="559" t="s">
        <v>1108</v>
      </c>
      <c r="J805" s="567" t="s">
        <v>1567</v>
      </c>
      <c r="K805" s="961" t="s">
        <v>1568</v>
      </c>
      <c r="L805" s="555" t="str">
        <f t="shared" ca="1" si="126"/>
        <v/>
      </c>
      <c r="M805" s="494" t="s">
        <v>1569</v>
      </c>
      <c r="N805" s="555" t="str">
        <f t="shared" ca="1" si="127"/>
        <v/>
      </c>
      <c r="O805" s="494" t="s">
        <v>1570</v>
      </c>
      <c r="P805" s="555" t="str">
        <f t="shared" ca="1" si="128"/>
        <v/>
      </c>
      <c r="Q805" s="494" t="s">
        <v>1571</v>
      </c>
      <c r="R805" s="494" t="str">
        <f>CONCATENATE("I",ROW(J805))</f>
        <v>I805</v>
      </c>
      <c r="S805" s="494" t="s">
        <v>1572</v>
      </c>
      <c r="T805" s="494">
        <v>6</v>
      </c>
      <c r="U805" s="556" t="str">
        <f t="shared" ca="1" si="124"/>
        <v/>
      </c>
      <c r="V805" s="494">
        <v>7</v>
      </c>
      <c r="W805" s="556" t="str">
        <f t="shared" ca="1" si="125"/>
        <v/>
      </c>
      <c r="X805" s="494" t="s">
        <v>170</v>
      </c>
      <c r="Y805" s="547" t="str">
        <f t="shared" ca="1" si="129"/>
        <v/>
      </c>
      <c r="Z805" s="494" t="s">
        <v>1573</v>
      </c>
      <c r="AA805" s="547" t="str">
        <f t="shared" ca="1" si="130"/>
        <v/>
      </c>
      <c r="AB805" s="494" t="s">
        <v>1574</v>
      </c>
      <c r="AC805" s="547" t="str">
        <f t="shared" ca="1" si="131"/>
        <v/>
      </c>
      <c r="AD805" s="557"/>
      <c r="AE805" s="958"/>
    </row>
    <row r="806" spans="1:31" ht="15" customHeight="1">
      <c r="A806" s="957" t="str">
        <f t="shared" ca="1" si="133"/>
        <v>22/23</v>
      </c>
      <c r="B806" s="566" t="s">
        <v>162</v>
      </c>
      <c r="C806" s="567" t="str">
        <f t="shared" ca="1" si="134"/>
        <v>Green Star - Education</v>
      </c>
      <c r="D806" s="958">
        <v>1</v>
      </c>
      <c r="E806" s="959" t="s">
        <v>306</v>
      </c>
      <c r="F806" s="558" t="s">
        <v>1454</v>
      </c>
      <c r="G806" s="558">
        <v>34</v>
      </c>
      <c r="H806" s="558" t="s">
        <v>1116</v>
      </c>
      <c r="I806" s="559" t="s">
        <v>1117</v>
      </c>
      <c r="J806" s="567" t="s">
        <v>1567</v>
      </c>
      <c r="K806" s="961" t="s">
        <v>1568</v>
      </c>
      <c r="L806" s="555" t="str">
        <f t="shared" ca="1" si="126"/>
        <v/>
      </c>
      <c r="M806" s="494" t="s">
        <v>1569</v>
      </c>
      <c r="N806" s="555" t="str">
        <f t="shared" ca="1" si="127"/>
        <v/>
      </c>
      <c r="O806" s="494" t="s">
        <v>1570</v>
      </c>
      <c r="P806" s="555" t="str">
        <f t="shared" ca="1" si="128"/>
        <v/>
      </c>
      <c r="Q806" s="494" t="s">
        <v>1571</v>
      </c>
      <c r="R806" s="494" t="str">
        <f t="shared" si="135"/>
        <v>I806</v>
      </c>
      <c r="S806" s="494" t="s">
        <v>1572</v>
      </c>
      <c r="T806" s="494">
        <v>6</v>
      </c>
      <c r="U806" s="556" t="str">
        <f t="shared" ca="1" si="124"/>
        <v/>
      </c>
      <c r="V806" s="494">
        <v>7</v>
      </c>
      <c r="W806" s="556" t="str">
        <f t="shared" ca="1" si="125"/>
        <v/>
      </c>
      <c r="X806" s="494" t="s">
        <v>170</v>
      </c>
      <c r="Y806" s="547" t="str">
        <f t="shared" ca="1" si="129"/>
        <v/>
      </c>
      <c r="Z806" s="494" t="s">
        <v>1573</v>
      </c>
      <c r="AA806" s="547" t="str">
        <f t="shared" ca="1" si="130"/>
        <v/>
      </c>
      <c r="AB806" s="494" t="s">
        <v>1574</v>
      </c>
      <c r="AC806" s="547" t="str">
        <f t="shared" ca="1" si="131"/>
        <v/>
      </c>
      <c r="AD806" s="557"/>
      <c r="AE806" s="958"/>
    </row>
    <row r="807" spans="1:31" ht="15" customHeight="1">
      <c r="A807" s="957" t="str">
        <f t="shared" ca="1" si="133"/>
        <v>22/23</v>
      </c>
      <c r="B807" s="566" t="s">
        <v>162</v>
      </c>
      <c r="C807" s="567" t="str">
        <f t="shared" ca="1" si="134"/>
        <v>Green Star - Education</v>
      </c>
      <c r="D807" s="958">
        <v>1</v>
      </c>
      <c r="E807" s="959" t="s">
        <v>306</v>
      </c>
      <c r="F807" s="558" t="s">
        <v>1454</v>
      </c>
      <c r="G807" s="558">
        <v>65</v>
      </c>
      <c r="H807" s="558" t="s">
        <v>1118</v>
      </c>
      <c r="I807" s="559" t="s">
        <v>1119</v>
      </c>
      <c r="J807" s="567" t="s">
        <v>1567</v>
      </c>
      <c r="K807" s="961" t="s">
        <v>1568</v>
      </c>
      <c r="L807" s="555" t="str">
        <f t="shared" ca="1" si="126"/>
        <v/>
      </c>
      <c r="M807" s="494" t="s">
        <v>1569</v>
      </c>
      <c r="N807" s="555" t="str">
        <f t="shared" ca="1" si="127"/>
        <v/>
      </c>
      <c r="O807" s="494" t="s">
        <v>1570</v>
      </c>
      <c r="P807" s="555" t="str">
        <f t="shared" ca="1" si="128"/>
        <v/>
      </c>
      <c r="Q807" s="494" t="s">
        <v>1571</v>
      </c>
      <c r="R807" s="494" t="str">
        <f t="shared" si="135"/>
        <v>I807</v>
      </c>
      <c r="S807" s="494" t="s">
        <v>1572</v>
      </c>
      <c r="T807" s="494">
        <v>6</v>
      </c>
      <c r="U807" s="556" t="str">
        <f t="shared" ca="1" si="124"/>
        <v/>
      </c>
      <c r="V807" s="494">
        <v>7</v>
      </c>
      <c r="W807" s="556" t="str">
        <f t="shared" ca="1" si="125"/>
        <v/>
      </c>
      <c r="X807" s="494" t="s">
        <v>170</v>
      </c>
      <c r="Y807" s="547" t="str">
        <f t="shared" ca="1" si="129"/>
        <v/>
      </c>
      <c r="Z807" s="494" t="s">
        <v>1573</v>
      </c>
      <c r="AA807" s="547" t="str">
        <f t="shared" ca="1" si="130"/>
        <v/>
      </c>
      <c r="AB807" s="494" t="s">
        <v>1574</v>
      </c>
      <c r="AC807" s="547" t="str">
        <f t="shared" ca="1" si="131"/>
        <v/>
      </c>
      <c r="AD807" s="557"/>
      <c r="AE807" s="958"/>
    </row>
    <row r="808" spans="1:31" ht="15" customHeight="1">
      <c r="A808" s="957" t="str">
        <f t="shared" ca="1" si="133"/>
        <v>22/23</v>
      </c>
      <c r="B808" s="566" t="s">
        <v>162</v>
      </c>
      <c r="C808" s="567" t="str">
        <f t="shared" ca="1" si="134"/>
        <v>Green Star - Education</v>
      </c>
      <c r="D808" s="958">
        <v>1</v>
      </c>
      <c r="E808" s="959" t="s">
        <v>306</v>
      </c>
      <c r="F808" s="558" t="s">
        <v>1454</v>
      </c>
      <c r="G808" s="558">
        <v>233</v>
      </c>
      <c r="H808" s="558" t="s">
        <v>1120</v>
      </c>
      <c r="I808" s="559" t="s">
        <v>1121</v>
      </c>
      <c r="J808" s="567" t="s">
        <v>1567</v>
      </c>
      <c r="K808" s="961" t="s">
        <v>1568</v>
      </c>
      <c r="L808" s="555" t="str">
        <f t="shared" ca="1" si="126"/>
        <v/>
      </c>
      <c r="M808" s="494" t="s">
        <v>1569</v>
      </c>
      <c r="N808" s="555" t="str">
        <f t="shared" ca="1" si="127"/>
        <v/>
      </c>
      <c r="O808" s="494" t="s">
        <v>1570</v>
      </c>
      <c r="P808" s="555" t="str">
        <f t="shared" ca="1" si="128"/>
        <v/>
      </c>
      <c r="Q808" s="494" t="s">
        <v>1571</v>
      </c>
      <c r="R808" s="494" t="str">
        <f t="shared" si="135"/>
        <v>I808</v>
      </c>
      <c r="S808" s="494" t="s">
        <v>1572</v>
      </c>
      <c r="T808" s="494">
        <v>6</v>
      </c>
      <c r="U808" s="556" t="str">
        <f t="shared" ca="1" si="124"/>
        <v/>
      </c>
      <c r="V808" s="494">
        <v>7</v>
      </c>
      <c r="W808" s="556" t="str">
        <f t="shared" ca="1" si="125"/>
        <v/>
      </c>
      <c r="X808" s="494" t="s">
        <v>170</v>
      </c>
      <c r="Y808" s="547" t="str">
        <f t="shared" ca="1" si="129"/>
        <v/>
      </c>
      <c r="Z808" s="494" t="s">
        <v>1573</v>
      </c>
      <c r="AA808" s="547" t="str">
        <f t="shared" ca="1" si="130"/>
        <v/>
      </c>
      <c r="AB808" s="494" t="s">
        <v>1574</v>
      </c>
      <c r="AC808" s="547" t="str">
        <f t="shared" ca="1" si="131"/>
        <v/>
      </c>
      <c r="AD808" s="557"/>
      <c r="AE808" s="958"/>
    </row>
    <row r="809" spans="1:31" ht="15" customHeight="1">
      <c r="A809" s="957" t="str">
        <f t="shared" ca="1" si="133"/>
        <v>22/23</v>
      </c>
      <c r="B809" s="566" t="s">
        <v>162</v>
      </c>
      <c r="C809" s="567" t="str">
        <f t="shared" ca="1" si="134"/>
        <v>Green Star - Education</v>
      </c>
      <c r="D809" s="958">
        <v>1</v>
      </c>
      <c r="E809" s="959" t="s">
        <v>306</v>
      </c>
      <c r="F809" s="558" t="s">
        <v>1454</v>
      </c>
      <c r="G809" s="558">
        <v>44</v>
      </c>
      <c r="H809" s="558" t="s">
        <v>1122</v>
      </c>
      <c r="I809" s="559" t="s">
        <v>1256</v>
      </c>
      <c r="J809" s="567" t="s">
        <v>1567</v>
      </c>
      <c r="K809" s="961" t="s">
        <v>1568</v>
      </c>
      <c r="L809" s="555" t="str">
        <f t="shared" ca="1" si="126"/>
        <v/>
      </c>
      <c r="M809" s="494" t="s">
        <v>1569</v>
      </c>
      <c r="N809" s="555" t="str">
        <f t="shared" ca="1" si="127"/>
        <v/>
      </c>
      <c r="O809" s="494" t="s">
        <v>1570</v>
      </c>
      <c r="P809" s="555" t="str">
        <f t="shared" ca="1" si="128"/>
        <v/>
      </c>
      <c r="Q809" s="494" t="s">
        <v>1571</v>
      </c>
      <c r="R809" s="494" t="str">
        <f t="shared" si="135"/>
        <v>I809</v>
      </c>
      <c r="S809" s="494" t="s">
        <v>1575</v>
      </c>
      <c r="T809" s="494">
        <v>6</v>
      </c>
      <c r="U809" s="556" t="str">
        <f t="shared" ca="1" si="124"/>
        <v/>
      </c>
      <c r="V809" s="494">
        <v>7</v>
      </c>
      <c r="W809" s="556" t="str">
        <f t="shared" ca="1" si="125"/>
        <v/>
      </c>
      <c r="X809" s="494" t="s">
        <v>170</v>
      </c>
      <c r="Y809" s="547" t="str">
        <f t="shared" ca="1" si="129"/>
        <v/>
      </c>
      <c r="Z809" s="494" t="s">
        <v>1573</v>
      </c>
      <c r="AA809" s="547" t="str">
        <f t="shared" ca="1" si="130"/>
        <v/>
      </c>
      <c r="AB809" s="494" t="s">
        <v>1574</v>
      </c>
      <c r="AC809" s="547" t="str">
        <f t="shared" ca="1" si="131"/>
        <v/>
      </c>
      <c r="AD809" s="557"/>
      <c r="AE809" s="958"/>
    </row>
    <row r="810" spans="1:31" ht="15" customHeight="1">
      <c r="A810" s="957" t="str">
        <f t="shared" ca="1" si="133"/>
        <v>22/23</v>
      </c>
      <c r="B810" s="566" t="s">
        <v>162</v>
      </c>
      <c r="C810" s="567" t="str">
        <f t="shared" ca="1" si="134"/>
        <v>Green Star - Education</v>
      </c>
      <c r="D810" s="958">
        <v>1</v>
      </c>
      <c r="E810" s="959" t="s">
        <v>306</v>
      </c>
      <c r="F810" s="558" t="s">
        <v>1454</v>
      </c>
      <c r="G810" s="558">
        <v>44</v>
      </c>
      <c r="H810" s="558" t="s">
        <v>1122</v>
      </c>
      <c r="I810" s="559" t="s">
        <v>1257</v>
      </c>
      <c r="J810" s="567" t="s">
        <v>1567</v>
      </c>
      <c r="K810" s="961" t="s">
        <v>1568</v>
      </c>
      <c r="L810" s="555" t="str">
        <f t="shared" ca="1" si="126"/>
        <v/>
      </c>
      <c r="M810" s="494" t="s">
        <v>1569</v>
      </c>
      <c r="N810" s="555" t="str">
        <f t="shared" ca="1" si="127"/>
        <v/>
      </c>
      <c r="O810" s="494" t="s">
        <v>1570</v>
      </c>
      <c r="P810" s="555" t="str">
        <f t="shared" ca="1" si="128"/>
        <v/>
      </c>
      <c r="Q810" s="494" t="s">
        <v>1571</v>
      </c>
      <c r="R810" s="494" t="str">
        <f t="shared" si="135"/>
        <v>I810</v>
      </c>
      <c r="S810" s="494" t="s">
        <v>1575</v>
      </c>
      <c r="T810" s="494">
        <v>6</v>
      </c>
      <c r="U810" s="556" t="str">
        <f t="shared" ca="1" si="124"/>
        <v/>
      </c>
      <c r="V810" s="494">
        <v>7</v>
      </c>
      <c r="W810" s="556" t="str">
        <f t="shared" ca="1" si="125"/>
        <v/>
      </c>
      <c r="X810" s="494" t="s">
        <v>170</v>
      </c>
      <c r="Y810" s="547" t="str">
        <f t="shared" ca="1" si="129"/>
        <v/>
      </c>
      <c r="Z810" s="494" t="s">
        <v>1573</v>
      </c>
      <c r="AA810" s="547" t="str">
        <f t="shared" ca="1" si="130"/>
        <v/>
      </c>
      <c r="AB810" s="494" t="s">
        <v>1574</v>
      </c>
      <c r="AC810" s="547" t="str">
        <f t="shared" ca="1" si="131"/>
        <v/>
      </c>
      <c r="AD810" s="557"/>
      <c r="AE810" s="958"/>
    </row>
    <row r="811" spans="1:31" ht="15" customHeight="1">
      <c r="A811" s="957" t="str">
        <f t="shared" ca="1" si="133"/>
        <v>22/23</v>
      </c>
      <c r="B811" s="566" t="s">
        <v>162</v>
      </c>
      <c r="C811" s="567" t="str">
        <f t="shared" ca="1" si="134"/>
        <v>Green Star - Education</v>
      </c>
      <c r="D811" s="958">
        <v>1</v>
      </c>
      <c r="E811" s="959" t="s">
        <v>306</v>
      </c>
      <c r="F811" s="558" t="s">
        <v>1454</v>
      </c>
      <c r="G811" s="558">
        <v>73</v>
      </c>
      <c r="H811" s="558" t="s">
        <v>1123</v>
      </c>
      <c r="I811" s="559" t="s">
        <v>332</v>
      </c>
      <c r="J811" s="567" t="s">
        <v>1567</v>
      </c>
      <c r="K811" s="961" t="s">
        <v>1568</v>
      </c>
      <c r="L811" s="555" t="str">
        <f t="shared" ca="1" si="126"/>
        <v/>
      </c>
      <c r="M811" s="494" t="s">
        <v>1569</v>
      </c>
      <c r="N811" s="555" t="str">
        <f t="shared" ca="1" si="127"/>
        <v/>
      </c>
      <c r="O811" s="494" t="s">
        <v>1570</v>
      </c>
      <c r="P811" s="555" t="str">
        <f t="shared" ca="1" si="128"/>
        <v/>
      </c>
      <c r="Q811" s="494" t="s">
        <v>1571</v>
      </c>
      <c r="R811" s="494" t="str">
        <f t="shared" si="135"/>
        <v>I811</v>
      </c>
      <c r="S811" s="494" t="s">
        <v>1572</v>
      </c>
      <c r="T811" s="494">
        <v>6</v>
      </c>
      <c r="U811" s="556" t="str">
        <f t="shared" ca="1" si="124"/>
        <v/>
      </c>
      <c r="V811" s="494">
        <v>7</v>
      </c>
      <c r="W811" s="556" t="str">
        <f t="shared" ca="1" si="125"/>
        <v/>
      </c>
      <c r="X811" s="494" t="s">
        <v>170</v>
      </c>
      <c r="Y811" s="547" t="str">
        <f t="shared" ca="1" si="129"/>
        <v/>
      </c>
      <c r="Z811" s="494" t="s">
        <v>1573</v>
      </c>
      <c r="AA811" s="547" t="str">
        <f t="shared" ca="1" si="130"/>
        <v/>
      </c>
      <c r="AB811" s="494" t="s">
        <v>1574</v>
      </c>
      <c r="AC811" s="547" t="str">
        <f t="shared" ca="1" si="131"/>
        <v/>
      </c>
      <c r="AD811" s="557"/>
      <c r="AE811" s="958"/>
    </row>
    <row r="812" spans="1:31" ht="15" customHeight="1">
      <c r="A812" s="957" t="str">
        <f t="shared" ca="1" si="133"/>
        <v>22/23</v>
      </c>
      <c r="B812" s="566" t="s">
        <v>162</v>
      </c>
      <c r="C812" s="567" t="str">
        <f t="shared" ca="1" si="134"/>
        <v>Green Star - Education</v>
      </c>
      <c r="D812" s="958">
        <v>1</v>
      </c>
      <c r="E812" s="959" t="s">
        <v>306</v>
      </c>
      <c r="F812" s="558" t="s">
        <v>1454</v>
      </c>
      <c r="G812" s="558">
        <v>134</v>
      </c>
      <c r="H812" s="558" t="s">
        <v>1124</v>
      </c>
      <c r="I812" s="559" t="s">
        <v>597</v>
      </c>
      <c r="J812" s="567" t="s">
        <v>1567</v>
      </c>
      <c r="K812" s="961" t="s">
        <v>1568</v>
      </c>
      <c r="L812" s="555" t="str">
        <f t="shared" ca="1" si="126"/>
        <v/>
      </c>
      <c r="M812" s="494" t="s">
        <v>1569</v>
      </c>
      <c r="N812" s="555" t="str">
        <f t="shared" ca="1" si="127"/>
        <v/>
      </c>
      <c r="O812" s="494" t="s">
        <v>1570</v>
      </c>
      <c r="P812" s="555" t="str">
        <f t="shared" ca="1" si="128"/>
        <v/>
      </c>
      <c r="Q812" s="494" t="s">
        <v>1571</v>
      </c>
      <c r="R812" s="494" t="str">
        <f t="shared" si="135"/>
        <v>I812</v>
      </c>
      <c r="S812" s="494" t="s">
        <v>1572</v>
      </c>
      <c r="T812" s="494">
        <v>6</v>
      </c>
      <c r="U812" s="556" t="str">
        <f t="shared" ca="1" si="124"/>
        <v/>
      </c>
      <c r="V812" s="494">
        <v>7</v>
      </c>
      <c r="W812" s="556" t="str">
        <f t="shared" ca="1" si="125"/>
        <v/>
      </c>
      <c r="X812" s="494" t="s">
        <v>170</v>
      </c>
      <c r="Y812" s="547" t="str">
        <f t="shared" ca="1" si="129"/>
        <v/>
      </c>
      <c r="Z812" s="494" t="s">
        <v>1573</v>
      </c>
      <c r="AA812" s="547" t="str">
        <f t="shared" ca="1" si="130"/>
        <v/>
      </c>
      <c r="AB812" s="494" t="s">
        <v>1574</v>
      </c>
      <c r="AC812" s="547" t="str">
        <f t="shared" ca="1" si="131"/>
        <v/>
      </c>
      <c r="AD812" s="557"/>
      <c r="AE812" s="958"/>
    </row>
    <row r="813" spans="1:31" ht="15" customHeight="1">
      <c r="A813" s="957" t="str">
        <f t="shared" ca="1" si="133"/>
        <v>22/23</v>
      </c>
      <c r="B813" s="566" t="s">
        <v>162</v>
      </c>
      <c r="C813" s="567" t="str">
        <f t="shared" ca="1" si="134"/>
        <v>Green Star - Education</v>
      </c>
      <c r="D813" s="958">
        <v>1</v>
      </c>
      <c r="E813" s="959" t="s">
        <v>306</v>
      </c>
      <c r="F813" s="558" t="s">
        <v>1454</v>
      </c>
      <c r="G813" s="558">
        <v>109</v>
      </c>
      <c r="H813" s="558" t="s">
        <v>1125</v>
      </c>
      <c r="I813" s="559" t="s">
        <v>1258</v>
      </c>
      <c r="J813" s="567" t="s">
        <v>1567</v>
      </c>
      <c r="K813" s="961" t="s">
        <v>1568</v>
      </c>
      <c r="L813" s="555" t="str">
        <f t="shared" ca="1" si="126"/>
        <v/>
      </c>
      <c r="M813" s="494" t="s">
        <v>1569</v>
      </c>
      <c r="N813" s="555" t="str">
        <f t="shared" ca="1" si="127"/>
        <v/>
      </c>
      <c r="O813" s="494" t="s">
        <v>1570</v>
      </c>
      <c r="P813" s="555" t="str">
        <f t="shared" ca="1" si="128"/>
        <v/>
      </c>
      <c r="Q813" s="494" t="s">
        <v>1571</v>
      </c>
      <c r="R813" s="494" t="str">
        <f t="shared" si="135"/>
        <v>I813</v>
      </c>
      <c r="S813" s="494" t="s">
        <v>1575</v>
      </c>
      <c r="T813" s="494">
        <v>6</v>
      </c>
      <c r="U813" s="556" t="str">
        <f t="shared" ca="1" si="124"/>
        <v/>
      </c>
      <c r="V813" s="494">
        <v>7</v>
      </c>
      <c r="W813" s="556" t="str">
        <f t="shared" ca="1" si="125"/>
        <v/>
      </c>
      <c r="X813" s="494" t="s">
        <v>170</v>
      </c>
      <c r="Y813" s="547" t="str">
        <f t="shared" ca="1" si="129"/>
        <v/>
      </c>
      <c r="Z813" s="494" t="s">
        <v>1573</v>
      </c>
      <c r="AA813" s="547" t="str">
        <f t="shared" ca="1" si="130"/>
        <v/>
      </c>
      <c r="AB813" s="494" t="s">
        <v>1574</v>
      </c>
      <c r="AC813" s="547" t="str">
        <f t="shared" ca="1" si="131"/>
        <v/>
      </c>
      <c r="AD813" s="557"/>
      <c r="AE813" s="958"/>
    </row>
    <row r="814" spans="1:31" ht="15" customHeight="1">
      <c r="A814" s="957" t="str">
        <f t="shared" ca="1" si="133"/>
        <v>22/23</v>
      </c>
      <c r="B814" s="566" t="s">
        <v>162</v>
      </c>
      <c r="C814" s="567" t="str">
        <f t="shared" ca="1" si="134"/>
        <v>Green Star - Education</v>
      </c>
      <c r="D814" s="958">
        <v>1</v>
      </c>
      <c r="E814" s="959" t="s">
        <v>306</v>
      </c>
      <c r="F814" s="558" t="s">
        <v>1454</v>
      </c>
      <c r="G814" s="558">
        <v>109</v>
      </c>
      <c r="H814" s="558" t="s">
        <v>1125</v>
      </c>
      <c r="I814" s="559" t="s">
        <v>1259</v>
      </c>
      <c r="J814" s="567" t="s">
        <v>1567</v>
      </c>
      <c r="K814" s="961" t="s">
        <v>1568</v>
      </c>
      <c r="L814" s="555" t="str">
        <f t="shared" ca="1" si="126"/>
        <v/>
      </c>
      <c r="M814" s="494" t="s">
        <v>1569</v>
      </c>
      <c r="N814" s="555" t="str">
        <f t="shared" ca="1" si="127"/>
        <v/>
      </c>
      <c r="O814" s="494" t="s">
        <v>1570</v>
      </c>
      <c r="P814" s="555" t="str">
        <f t="shared" ca="1" si="128"/>
        <v/>
      </c>
      <c r="Q814" s="494" t="s">
        <v>1571</v>
      </c>
      <c r="R814" s="494" t="str">
        <f t="shared" si="135"/>
        <v>I814</v>
      </c>
      <c r="S814" s="494" t="s">
        <v>1575</v>
      </c>
      <c r="T814" s="494">
        <v>6</v>
      </c>
      <c r="U814" s="556" t="str">
        <f t="shared" ca="1" si="124"/>
        <v/>
      </c>
      <c r="V814" s="494">
        <v>7</v>
      </c>
      <c r="W814" s="556" t="str">
        <f t="shared" ca="1" si="125"/>
        <v/>
      </c>
      <c r="X814" s="494" t="s">
        <v>170</v>
      </c>
      <c r="Y814" s="547" t="str">
        <f t="shared" ca="1" si="129"/>
        <v/>
      </c>
      <c r="Z814" s="494" t="s">
        <v>1573</v>
      </c>
      <c r="AA814" s="547" t="str">
        <f t="shared" ca="1" si="130"/>
        <v/>
      </c>
      <c r="AB814" s="494" t="s">
        <v>1574</v>
      </c>
      <c r="AC814" s="547" t="str">
        <f t="shared" ca="1" si="131"/>
        <v/>
      </c>
      <c r="AD814" s="557"/>
      <c r="AE814" s="958"/>
    </row>
    <row r="815" spans="1:31" ht="15" customHeight="1">
      <c r="A815" s="957" t="str">
        <f t="shared" ca="1" si="133"/>
        <v>22/23</v>
      </c>
      <c r="B815" s="566" t="s">
        <v>162</v>
      </c>
      <c r="C815" s="567" t="str">
        <f t="shared" ca="1" si="134"/>
        <v>Green Star - Education</v>
      </c>
      <c r="D815" s="958">
        <v>1</v>
      </c>
      <c r="E815" s="959" t="s">
        <v>306</v>
      </c>
      <c r="F815" s="558" t="s">
        <v>1454</v>
      </c>
      <c r="G815" s="558">
        <v>110</v>
      </c>
      <c r="H815" s="558" t="s">
        <v>1126</v>
      </c>
      <c r="I815" s="559" t="s">
        <v>1128</v>
      </c>
      <c r="J815" s="567" t="s">
        <v>1567</v>
      </c>
      <c r="K815" s="961" t="s">
        <v>1568</v>
      </c>
      <c r="L815" s="555" t="str">
        <f t="shared" ca="1" si="126"/>
        <v/>
      </c>
      <c r="M815" s="494" t="s">
        <v>1569</v>
      </c>
      <c r="N815" s="555" t="str">
        <f t="shared" ca="1" si="127"/>
        <v/>
      </c>
      <c r="O815" s="494" t="s">
        <v>1570</v>
      </c>
      <c r="P815" s="555" t="str">
        <f t="shared" ca="1" si="128"/>
        <v/>
      </c>
      <c r="Q815" s="494" t="s">
        <v>1571</v>
      </c>
      <c r="R815" s="494" t="str">
        <f t="shared" si="135"/>
        <v>I815</v>
      </c>
      <c r="S815" s="494" t="s">
        <v>1575</v>
      </c>
      <c r="T815" s="494">
        <v>6</v>
      </c>
      <c r="U815" s="556" t="str">
        <f t="shared" ca="1" si="124"/>
        <v/>
      </c>
      <c r="V815" s="494">
        <v>7</v>
      </c>
      <c r="W815" s="556" t="str">
        <f t="shared" ca="1" si="125"/>
        <v/>
      </c>
      <c r="X815" s="494" t="s">
        <v>170</v>
      </c>
      <c r="Y815" s="547" t="str">
        <f t="shared" ca="1" si="129"/>
        <v/>
      </c>
      <c r="Z815" s="494" t="s">
        <v>1573</v>
      </c>
      <c r="AA815" s="547" t="str">
        <f t="shared" ca="1" si="130"/>
        <v/>
      </c>
      <c r="AB815" s="494" t="s">
        <v>1574</v>
      </c>
      <c r="AC815" s="547" t="str">
        <f t="shared" ca="1" si="131"/>
        <v/>
      </c>
      <c r="AD815" s="557"/>
      <c r="AE815" s="958"/>
    </row>
    <row r="816" spans="1:31" ht="15" customHeight="1">
      <c r="A816" s="957" t="str">
        <f t="shared" ca="1" si="133"/>
        <v>22/23</v>
      </c>
      <c r="B816" s="566" t="s">
        <v>162</v>
      </c>
      <c r="C816" s="567" t="str">
        <f t="shared" ca="1" si="134"/>
        <v>Green Star - Education</v>
      </c>
      <c r="D816" s="958">
        <v>1</v>
      </c>
      <c r="E816" s="959" t="s">
        <v>306</v>
      </c>
      <c r="F816" s="558" t="s">
        <v>1454</v>
      </c>
      <c r="G816" s="558">
        <v>110</v>
      </c>
      <c r="H816" s="558" t="s">
        <v>1126</v>
      </c>
      <c r="I816" s="559" t="s">
        <v>1129</v>
      </c>
      <c r="J816" s="567" t="s">
        <v>1567</v>
      </c>
      <c r="K816" s="961" t="s">
        <v>1568</v>
      </c>
      <c r="L816" s="555" t="str">
        <f t="shared" ca="1" si="126"/>
        <v/>
      </c>
      <c r="M816" s="494" t="s">
        <v>1569</v>
      </c>
      <c r="N816" s="555" t="str">
        <f t="shared" ca="1" si="127"/>
        <v/>
      </c>
      <c r="O816" s="494" t="s">
        <v>1570</v>
      </c>
      <c r="P816" s="555" t="str">
        <f t="shared" ca="1" si="128"/>
        <v/>
      </c>
      <c r="Q816" s="494" t="s">
        <v>1571</v>
      </c>
      <c r="R816" s="494" t="str">
        <f t="shared" si="135"/>
        <v>I816</v>
      </c>
      <c r="S816" s="494" t="s">
        <v>1575</v>
      </c>
      <c r="T816" s="494">
        <v>6</v>
      </c>
      <c r="U816" s="556" t="str">
        <f t="shared" ca="1" si="124"/>
        <v/>
      </c>
      <c r="V816" s="494">
        <v>7</v>
      </c>
      <c r="W816" s="556" t="str">
        <f t="shared" ca="1" si="125"/>
        <v/>
      </c>
      <c r="X816" s="494" t="s">
        <v>170</v>
      </c>
      <c r="Y816" s="547" t="str">
        <f t="shared" ca="1" si="129"/>
        <v/>
      </c>
      <c r="Z816" s="494" t="s">
        <v>1573</v>
      </c>
      <c r="AA816" s="547" t="str">
        <f t="shared" ca="1" si="130"/>
        <v/>
      </c>
      <c r="AB816" s="494" t="s">
        <v>1574</v>
      </c>
      <c r="AC816" s="547" t="str">
        <f t="shared" ca="1" si="131"/>
        <v/>
      </c>
      <c r="AD816" s="557"/>
      <c r="AE816" s="958"/>
    </row>
    <row r="817" spans="1:31" ht="15" customHeight="1">
      <c r="A817" s="957" t="str">
        <f t="shared" ca="1" si="133"/>
        <v>22/23</v>
      </c>
      <c r="B817" s="566" t="s">
        <v>162</v>
      </c>
      <c r="C817" s="567" t="str">
        <f t="shared" ca="1" si="134"/>
        <v>Green Star - Education</v>
      </c>
      <c r="D817" s="958">
        <v>1</v>
      </c>
      <c r="E817" s="959" t="s">
        <v>306</v>
      </c>
      <c r="F817" s="558" t="s">
        <v>1454</v>
      </c>
      <c r="G817" s="558">
        <v>110</v>
      </c>
      <c r="H817" s="558" t="s">
        <v>1126</v>
      </c>
      <c r="I817" s="559" t="s">
        <v>1260</v>
      </c>
      <c r="J817" s="567" t="s">
        <v>1567</v>
      </c>
      <c r="K817" s="961" t="s">
        <v>1568</v>
      </c>
      <c r="L817" s="555" t="str">
        <f t="shared" ca="1" si="126"/>
        <v/>
      </c>
      <c r="M817" s="494" t="s">
        <v>1569</v>
      </c>
      <c r="N817" s="555" t="str">
        <f t="shared" ca="1" si="127"/>
        <v/>
      </c>
      <c r="O817" s="494" t="s">
        <v>1570</v>
      </c>
      <c r="P817" s="555" t="str">
        <f t="shared" ca="1" si="128"/>
        <v/>
      </c>
      <c r="Q817" s="494" t="s">
        <v>1571</v>
      </c>
      <c r="R817" s="494" t="str">
        <f t="shared" si="135"/>
        <v>I817</v>
      </c>
      <c r="S817" s="494" t="s">
        <v>1575</v>
      </c>
      <c r="T817" s="494">
        <v>6</v>
      </c>
      <c r="U817" s="556" t="str">
        <f t="shared" ca="1" si="124"/>
        <v/>
      </c>
      <c r="V817" s="494">
        <v>7</v>
      </c>
      <c r="W817" s="556" t="str">
        <f t="shared" ca="1" si="125"/>
        <v/>
      </c>
      <c r="X817" s="494" t="s">
        <v>170</v>
      </c>
      <c r="Y817" s="547" t="str">
        <f t="shared" ca="1" si="129"/>
        <v/>
      </c>
      <c r="Z817" s="494" t="s">
        <v>1573</v>
      </c>
      <c r="AA817" s="547" t="str">
        <f t="shared" ca="1" si="130"/>
        <v/>
      </c>
      <c r="AB817" s="494" t="s">
        <v>1574</v>
      </c>
      <c r="AC817" s="547" t="str">
        <f t="shared" ca="1" si="131"/>
        <v/>
      </c>
      <c r="AD817" s="557"/>
      <c r="AE817" s="958"/>
    </row>
    <row r="818" spans="1:31" ht="15" customHeight="1">
      <c r="A818" s="957" t="str">
        <f t="shared" ca="1" si="133"/>
        <v>22/23</v>
      </c>
      <c r="B818" s="566" t="s">
        <v>162</v>
      </c>
      <c r="C818" s="567" t="str">
        <f t="shared" ca="1" si="134"/>
        <v>Green Star - Education</v>
      </c>
      <c r="D818" s="958">
        <v>1</v>
      </c>
      <c r="E818" s="959" t="s">
        <v>306</v>
      </c>
      <c r="F818" s="558" t="s">
        <v>1454</v>
      </c>
      <c r="G818" s="558">
        <v>110</v>
      </c>
      <c r="H818" s="558" t="s">
        <v>1126</v>
      </c>
      <c r="I818" s="559" t="s">
        <v>1261</v>
      </c>
      <c r="J818" s="567" t="s">
        <v>1567</v>
      </c>
      <c r="K818" s="961" t="s">
        <v>1568</v>
      </c>
      <c r="L818" s="555" t="str">
        <f t="shared" ca="1" si="126"/>
        <v/>
      </c>
      <c r="M818" s="494" t="s">
        <v>1569</v>
      </c>
      <c r="N818" s="555" t="str">
        <f t="shared" ca="1" si="127"/>
        <v/>
      </c>
      <c r="O818" s="494" t="s">
        <v>1570</v>
      </c>
      <c r="P818" s="555" t="str">
        <f t="shared" ca="1" si="128"/>
        <v/>
      </c>
      <c r="Q818" s="494" t="s">
        <v>1571</v>
      </c>
      <c r="R818" s="494" t="str">
        <f t="shared" si="135"/>
        <v>I818</v>
      </c>
      <c r="S818" s="494" t="s">
        <v>1575</v>
      </c>
      <c r="T818" s="494">
        <v>6</v>
      </c>
      <c r="U818" s="556" t="str">
        <f t="shared" ca="1" si="124"/>
        <v/>
      </c>
      <c r="V818" s="494">
        <v>7</v>
      </c>
      <c r="W818" s="556" t="str">
        <f t="shared" ca="1" si="125"/>
        <v/>
      </c>
      <c r="X818" s="494" t="s">
        <v>170</v>
      </c>
      <c r="Y818" s="547" t="str">
        <f t="shared" ca="1" si="129"/>
        <v/>
      </c>
      <c r="Z818" s="494" t="s">
        <v>1573</v>
      </c>
      <c r="AA818" s="547" t="str">
        <f t="shared" ca="1" si="130"/>
        <v/>
      </c>
      <c r="AB818" s="494" t="s">
        <v>1574</v>
      </c>
      <c r="AC818" s="547" t="str">
        <f t="shared" ca="1" si="131"/>
        <v/>
      </c>
      <c r="AD818" s="557"/>
      <c r="AE818" s="958"/>
    </row>
    <row r="819" spans="1:31" ht="15" customHeight="1">
      <c r="A819" s="957" t="str">
        <f t="shared" ca="1" si="133"/>
        <v>22/23</v>
      </c>
      <c r="B819" s="566" t="s">
        <v>162</v>
      </c>
      <c r="C819" s="567" t="str">
        <f t="shared" ca="1" si="134"/>
        <v>Green Star - Education</v>
      </c>
      <c r="D819" s="958">
        <v>1</v>
      </c>
      <c r="E819" s="959" t="s">
        <v>306</v>
      </c>
      <c r="F819" s="558" t="s">
        <v>1454</v>
      </c>
      <c r="G819" s="558">
        <v>111</v>
      </c>
      <c r="H819" s="558" t="s">
        <v>1132</v>
      </c>
      <c r="I819" s="559" t="s">
        <v>1133</v>
      </c>
      <c r="J819" s="567" t="s">
        <v>1567</v>
      </c>
      <c r="K819" s="961" t="s">
        <v>1568</v>
      </c>
      <c r="L819" s="555" t="str">
        <f t="shared" ca="1" si="126"/>
        <v/>
      </c>
      <c r="M819" s="494" t="s">
        <v>1569</v>
      </c>
      <c r="N819" s="555" t="str">
        <f t="shared" ca="1" si="127"/>
        <v/>
      </c>
      <c r="O819" s="494" t="s">
        <v>1570</v>
      </c>
      <c r="P819" s="555" t="str">
        <f t="shared" ca="1" si="128"/>
        <v/>
      </c>
      <c r="Q819" s="494" t="s">
        <v>1571</v>
      </c>
      <c r="R819" s="494" t="str">
        <f t="shared" si="135"/>
        <v>I819</v>
      </c>
      <c r="S819" s="494" t="s">
        <v>1572</v>
      </c>
      <c r="T819" s="494">
        <v>6</v>
      </c>
      <c r="U819" s="556" t="str">
        <f t="shared" ca="1" si="124"/>
        <v/>
      </c>
      <c r="V819" s="494">
        <v>7</v>
      </c>
      <c r="W819" s="556" t="str">
        <f t="shared" ca="1" si="125"/>
        <v/>
      </c>
      <c r="X819" s="494" t="s">
        <v>170</v>
      </c>
      <c r="Y819" s="547" t="str">
        <f t="shared" ca="1" si="129"/>
        <v/>
      </c>
      <c r="Z819" s="494" t="s">
        <v>1573</v>
      </c>
      <c r="AA819" s="547" t="str">
        <f t="shared" ca="1" si="130"/>
        <v/>
      </c>
      <c r="AB819" s="494" t="s">
        <v>1574</v>
      </c>
      <c r="AC819" s="547" t="str">
        <f t="shared" ca="1" si="131"/>
        <v/>
      </c>
      <c r="AD819" s="557"/>
      <c r="AE819" s="958"/>
    </row>
    <row r="820" spans="1:31" ht="15" customHeight="1">
      <c r="A820" s="957" t="str">
        <f t="shared" ca="1" si="133"/>
        <v>22/23</v>
      </c>
      <c r="B820" s="566" t="s">
        <v>162</v>
      </c>
      <c r="C820" s="567" t="str">
        <f t="shared" ca="1" si="134"/>
        <v>Green Star - Education</v>
      </c>
      <c r="D820" s="958">
        <v>1</v>
      </c>
      <c r="E820" s="959" t="s">
        <v>306</v>
      </c>
      <c r="F820" s="558" t="s">
        <v>1454</v>
      </c>
      <c r="G820" s="558">
        <v>76</v>
      </c>
      <c r="H820" s="558" t="s">
        <v>1134</v>
      </c>
      <c r="I820" s="559" t="s">
        <v>1262</v>
      </c>
      <c r="J820" s="567" t="s">
        <v>1567</v>
      </c>
      <c r="K820" s="961" t="s">
        <v>1568</v>
      </c>
      <c r="L820" s="555" t="str">
        <f t="shared" ca="1" si="126"/>
        <v/>
      </c>
      <c r="M820" s="494" t="s">
        <v>1569</v>
      </c>
      <c r="N820" s="555" t="str">
        <f t="shared" ca="1" si="127"/>
        <v/>
      </c>
      <c r="O820" s="494" t="s">
        <v>1570</v>
      </c>
      <c r="P820" s="555" t="str">
        <f t="shared" ca="1" si="128"/>
        <v/>
      </c>
      <c r="Q820" s="494" t="s">
        <v>1571</v>
      </c>
      <c r="R820" s="494" t="str">
        <f>CONCATENATE("I",ROW(J820))</f>
        <v>I820</v>
      </c>
      <c r="S820" s="494" t="s">
        <v>1572</v>
      </c>
      <c r="T820" s="494">
        <v>6</v>
      </c>
      <c r="U820" s="556" t="str">
        <f t="shared" ca="1" si="124"/>
        <v/>
      </c>
      <c r="V820" s="494">
        <v>7</v>
      </c>
      <c r="W820" s="556" t="str">
        <f t="shared" ca="1" si="125"/>
        <v/>
      </c>
      <c r="X820" s="494" t="s">
        <v>170</v>
      </c>
      <c r="Y820" s="547" t="str">
        <f t="shared" ca="1" si="129"/>
        <v/>
      </c>
      <c r="Z820" s="494" t="s">
        <v>1573</v>
      </c>
      <c r="AA820" s="547" t="str">
        <f t="shared" ca="1" si="130"/>
        <v/>
      </c>
      <c r="AB820" s="494" t="s">
        <v>1574</v>
      </c>
      <c r="AC820" s="547" t="str">
        <f t="shared" ca="1" si="131"/>
        <v/>
      </c>
      <c r="AD820" s="557"/>
      <c r="AE820" s="958"/>
    </row>
    <row r="821" spans="1:31" ht="15" customHeight="1">
      <c r="A821" s="957" t="str">
        <f t="shared" ca="1" si="133"/>
        <v>22/23</v>
      </c>
      <c r="B821" s="566" t="s">
        <v>162</v>
      </c>
      <c r="C821" s="567" t="str">
        <f t="shared" ca="1" si="134"/>
        <v>Green Star - Education</v>
      </c>
      <c r="D821" s="958">
        <v>1</v>
      </c>
      <c r="E821" s="959" t="s">
        <v>306</v>
      </c>
      <c r="F821" s="558" t="s">
        <v>1454</v>
      </c>
      <c r="G821" s="558">
        <v>103</v>
      </c>
      <c r="H821" s="558" t="s">
        <v>1136</v>
      </c>
      <c r="I821" s="559" t="s">
        <v>1137</v>
      </c>
      <c r="J821" s="567" t="s">
        <v>1567</v>
      </c>
      <c r="K821" s="961" t="s">
        <v>1568</v>
      </c>
      <c r="L821" s="555" t="str">
        <f t="shared" ca="1" si="126"/>
        <v/>
      </c>
      <c r="M821" s="494" t="s">
        <v>1569</v>
      </c>
      <c r="N821" s="555" t="str">
        <f t="shared" ca="1" si="127"/>
        <v/>
      </c>
      <c r="O821" s="494" t="s">
        <v>1570</v>
      </c>
      <c r="P821" s="555" t="str">
        <f t="shared" ca="1" si="128"/>
        <v/>
      </c>
      <c r="Q821" s="494" t="s">
        <v>1571</v>
      </c>
      <c r="R821" s="494" t="str">
        <f>CONCATENATE("I",ROW(J821))</f>
        <v>I821</v>
      </c>
      <c r="S821" s="494" t="s">
        <v>1572</v>
      </c>
      <c r="T821" s="494">
        <v>6</v>
      </c>
      <c r="U821" s="556" t="str">
        <f t="shared" ca="1" si="124"/>
        <v/>
      </c>
      <c r="V821" s="494">
        <v>7</v>
      </c>
      <c r="W821" s="556" t="str">
        <f t="shared" ca="1" si="125"/>
        <v/>
      </c>
      <c r="X821" s="494" t="s">
        <v>170</v>
      </c>
      <c r="Y821" s="547" t="str">
        <f t="shared" ca="1" si="129"/>
        <v/>
      </c>
      <c r="Z821" s="494" t="s">
        <v>1573</v>
      </c>
      <c r="AA821" s="547" t="str">
        <f t="shared" ca="1" si="130"/>
        <v/>
      </c>
      <c r="AB821" s="494" t="s">
        <v>1574</v>
      </c>
      <c r="AC821" s="547" t="str">
        <f t="shared" ca="1" si="131"/>
        <v/>
      </c>
      <c r="AD821" s="557"/>
      <c r="AE821" s="958"/>
    </row>
    <row r="822" spans="1:31" ht="15" customHeight="1">
      <c r="A822" s="957" t="str">
        <f t="shared" ca="1" si="133"/>
        <v>22/23</v>
      </c>
      <c r="B822" s="566" t="s">
        <v>162</v>
      </c>
      <c r="C822" s="567" t="str">
        <f t="shared" ca="1" si="134"/>
        <v>Green Star - Education</v>
      </c>
      <c r="D822" s="958">
        <v>1</v>
      </c>
      <c r="E822" s="959" t="s">
        <v>306</v>
      </c>
      <c r="F822" s="558" t="s">
        <v>1454</v>
      </c>
      <c r="G822" s="558">
        <v>51</v>
      </c>
      <c r="H822" s="558" t="s">
        <v>1138</v>
      </c>
      <c r="I822" s="559" t="s">
        <v>1139</v>
      </c>
      <c r="J822" s="567" t="s">
        <v>1567</v>
      </c>
      <c r="K822" s="961" t="s">
        <v>1568</v>
      </c>
      <c r="L822" s="555" t="str">
        <f t="shared" ca="1" si="126"/>
        <v/>
      </c>
      <c r="M822" s="494" t="s">
        <v>1569</v>
      </c>
      <c r="N822" s="555" t="str">
        <f t="shared" ca="1" si="127"/>
        <v/>
      </c>
      <c r="O822" s="494" t="s">
        <v>1570</v>
      </c>
      <c r="P822" s="555" t="str">
        <f t="shared" ca="1" si="128"/>
        <v/>
      </c>
      <c r="Q822" s="494" t="s">
        <v>1571</v>
      </c>
      <c r="R822" s="494" t="str">
        <f>CONCATENATE("I",ROW(J822))</f>
        <v>I822</v>
      </c>
      <c r="S822" s="494" t="s">
        <v>1572</v>
      </c>
      <c r="T822" s="494">
        <v>6</v>
      </c>
      <c r="U822" s="556" t="str">
        <f t="shared" ca="1" si="124"/>
        <v/>
      </c>
      <c r="V822" s="494">
        <v>7</v>
      </c>
      <c r="W822" s="556" t="str">
        <f t="shared" ca="1" si="125"/>
        <v/>
      </c>
      <c r="X822" s="494" t="s">
        <v>170</v>
      </c>
      <c r="Y822" s="547" t="str">
        <f t="shared" ca="1" si="129"/>
        <v/>
      </c>
      <c r="Z822" s="494" t="s">
        <v>1573</v>
      </c>
      <c r="AA822" s="547" t="str">
        <f t="shared" ca="1" si="130"/>
        <v/>
      </c>
      <c r="AB822" s="494" t="s">
        <v>1574</v>
      </c>
      <c r="AC822" s="547" t="str">
        <f t="shared" ca="1" si="131"/>
        <v/>
      </c>
      <c r="AD822" s="557"/>
      <c r="AE822" s="958"/>
    </row>
    <row r="823" spans="1:31" ht="15" customHeight="1">
      <c r="A823" s="957" t="str">
        <f t="shared" ca="1" si="133"/>
        <v>22/23</v>
      </c>
      <c r="B823" s="566" t="s">
        <v>162</v>
      </c>
      <c r="C823" s="567" t="str">
        <f t="shared" ca="1" si="134"/>
        <v>Green Star - Education</v>
      </c>
      <c r="D823" s="958">
        <v>1</v>
      </c>
      <c r="E823" s="959" t="s">
        <v>306</v>
      </c>
      <c r="F823" s="558" t="s">
        <v>1454</v>
      </c>
      <c r="G823" s="558">
        <v>104</v>
      </c>
      <c r="H823" s="558" t="s">
        <v>1140</v>
      </c>
      <c r="I823" s="559" t="s">
        <v>1141</v>
      </c>
      <c r="J823" s="567" t="s">
        <v>1567</v>
      </c>
      <c r="K823" s="961" t="s">
        <v>1568</v>
      </c>
      <c r="L823" s="555" t="str">
        <f t="shared" ca="1" si="126"/>
        <v/>
      </c>
      <c r="M823" s="494" t="s">
        <v>1569</v>
      </c>
      <c r="N823" s="555" t="str">
        <f t="shared" ca="1" si="127"/>
        <v/>
      </c>
      <c r="O823" s="494" t="s">
        <v>1570</v>
      </c>
      <c r="P823" s="555" t="str">
        <f t="shared" ca="1" si="128"/>
        <v/>
      </c>
      <c r="Q823" s="494" t="s">
        <v>1571</v>
      </c>
      <c r="R823" s="494" t="str">
        <f>CONCATENATE("I",ROW(J823))</f>
        <v>I823</v>
      </c>
      <c r="S823" s="494" t="s">
        <v>1572</v>
      </c>
      <c r="T823" s="494">
        <v>6</v>
      </c>
      <c r="U823" s="556" t="str">
        <f t="shared" ca="1" si="124"/>
        <v/>
      </c>
      <c r="V823" s="494">
        <v>7</v>
      </c>
      <c r="W823" s="556" t="str">
        <f t="shared" ca="1" si="125"/>
        <v/>
      </c>
      <c r="X823" s="494" t="s">
        <v>170</v>
      </c>
      <c r="Y823" s="547" t="str">
        <f t="shared" ca="1" si="129"/>
        <v/>
      </c>
      <c r="Z823" s="494" t="s">
        <v>1573</v>
      </c>
      <c r="AA823" s="547" t="str">
        <f t="shared" ca="1" si="130"/>
        <v/>
      </c>
      <c r="AB823" s="494" t="s">
        <v>1574</v>
      </c>
      <c r="AC823" s="547" t="str">
        <f t="shared" ca="1" si="131"/>
        <v/>
      </c>
      <c r="AD823" s="557"/>
      <c r="AE823" s="958"/>
    </row>
    <row r="824" spans="1:31" ht="15" customHeight="1">
      <c r="A824" s="957" t="str">
        <f t="shared" ca="1" si="133"/>
        <v>22/23</v>
      </c>
      <c r="B824" s="566" t="s">
        <v>162</v>
      </c>
      <c r="C824" s="567" t="str">
        <f t="shared" ca="1" si="134"/>
        <v>Green Star - Education</v>
      </c>
      <c r="D824" s="958">
        <v>1</v>
      </c>
      <c r="E824" s="959" t="s">
        <v>306</v>
      </c>
      <c r="F824" s="558" t="s">
        <v>1454</v>
      </c>
      <c r="G824" s="558">
        <v>105</v>
      </c>
      <c r="H824" s="558" t="s">
        <v>1142</v>
      </c>
      <c r="I824" s="559" t="s">
        <v>1143</v>
      </c>
      <c r="J824" s="567" t="s">
        <v>1567</v>
      </c>
      <c r="K824" s="961" t="s">
        <v>1568</v>
      </c>
      <c r="L824" s="555" t="str">
        <f t="shared" ca="1" si="126"/>
        <v/>
      </c>
      <c r="M824" s="494" t="s">
        <v>1569</v>
      </c>
      <c r="N824" s="555" t="str">
        <f t="shared" ca="1" si="127"/>
        <v/>
      </c>
      <c r="O824" s="494" t="s">
        <v>1570</v>
      </c>
      <c r="P824" s="555" t="str">
        <f t="shared" ca="1" si="128"/>
        <v/>
      </c>
      <c r="Q824" s="494" t="s">
        <v>1571</v>
      </c>
      <c r="R824" s="494" t="str">
        <f>CONCATENATE("I",ROW(J824))</f>
        <v>I824</v>
      </c>
      <c r="S824" s="494" t="s">
        <v>1572</v>
      </c>
      <c r="T824" s="494">
        <v>6</v>
      </c>
      <c r="U824" s="556" t="str">
        <f t="shared" ca="1" si="124"/>
        <v/>
      </c>
      <c r="V824" s="494">
        <v>7</v>
      </c>
      <c r="W824" s="556" t="str">
        <f t="shared" ca="1" si="125"/>
        <v/>
      </c>
      <c r="X824" s="494" t="s">
        <v>170</v>
      </c>
      <c r="Y824" s="547" t="str">
        <f t="shared" ca="1" si="129"/>
        <v/>
      </c>
      <c r="Z824" s="494" t="s">
        <v>1573</v>
      </c>
      <c r="AA824" s="547" t="str">
        <f t="shared" ca="1" si="130"/>
        <v/>
      </c>
      <c r="AB824" s="494" t="s">
        <v>1574</v>
      </c>
      <c r="AC824" s="547" t="str">
        <f t="shared" ca="1" si="131"/>
        <v/>
      </c>
      <c r="AD824" s="557"/>
      <c r="AE824" s="958"/>
    </row>
    <row r="825" spans="1:31" ht="15" customHeight="1">
      <c r="A825" s="957" t="str">
        <f t="shared" ca="1" si="133"/>
        <v>22/23</v>
      </c>
      <c r="B825" s="566" t="s">
        <v>162</v>
      </c>
      <c r="C825" s="567" t="str">
        <f t="shared" ca="1" si="134"/>
        <v>Green Star - Education</v>
      </c>
      <c r="D825" s="958">
        <v>1</v>
      </c>
      <c r="E825" s="959" t="s">
        <v>335</v>
      </c>
      <c r="F825" s="558" t="s">
        <v>1455</v>
      </c>
      <c r="G825" s="558">
        <v>154</v>
      </c>
      <c r="H825" s="558" t="s">
        <v>1576</v>
      </c>
      <c r="I825" s="559" t="s">
        <v>338</v>
      </c>
      <c r="J825" s="567" t="s">
        <v>1567</v>
      </c>
      <c r="K825" s="961" t="s">
        <v>1568</v>
      </c>
      <c r="L825" s="555" t="str">
        <f t="shared" ca="1" si="126"/>
        <v/>
      </c>
      <c r="M825" s="494" t="s">
        <v>1569</v>
      </c>
      <c r="N825" s="555" t="str">
        <f t="shared" ca="1" si="127"/>
        <v/>
      </c>
      <c r="O825" s="494" t="s">
        <v>1570</v>
      </c>
      <c r="P825" s="555" t="str">
        <f t="shared" ca="1" si="128"/>
        <v/>
      </c>
      <c r="Q825" s="494" t="s">
        <v>1571</v>
      </c>
      <c r="R825" s="494" t="str">
        <f t="shared" si="135"/>
        <v>I825</v>
      </c>
      <c r="S825" s="494" t="s">
        <v>1572</v>
      </c>
      <c r="T825" s="494">
        <v>6</v>
      </c>
      <c r="U825" s="556" t="str">
        <f t="shared" ca="1" si="124"/>
        <v/>
      </c>
      <c r="V825" s="494">
        <v>7</v>
      </c>
      <c r="W825" s="556" t="str">
        <f t="shared" ca="1" si="125"/>
        <v/>
      </c>
      <c r="X825" s="494" t="s">
        <v>170</v>
      </c>
      <c r="Y825" s="547" t="str">
        <f t="shared" ca="1" si="129"/>
        <v/>
      </c>
      <c r="Z825" s="494" t="s">
        <v>1573</v>
      </c>
      <c r="AA825" s="547" t="str">
        <f t="shared" ca="1" si="130"/>
        <v/>
      </c>
      <c r="AB825" s="494" t="s">
        <v>1574</v>
      </c>
      <c r="AC825" s="547" t="str">
        <f t="shared" ca="1" si="131"/>
        <v/>
      </c>
      <c r="AD825" s="557"/>
      <c r="AE825" s="958"/>
    </row>
    <row r="826" spans="1:31" ht="15" customHeight="1">
      <c r="A826" s="957" t="str">
        <f t="shared" ca="1" si="133"/>
        <v>22/23</v>
      </c>
      <c r="B826" s="566" t="s">
        <v>162</v>
      </c>
      <c r="C826" s="567" t="str">
        <f t="shared" ca="1" si="134"/>
        <v>Green Star - Education</v>
      </c>
      <c r="D826" s="958">
        <v>1</v>
      </c>
      <c r="E826" s="959" t="s">
        <v>335</v>
      </c>
      <c r="F826" s="558" t="s">
        <v>1455</v>
      </c>
      <c r="G826" s="558">
        <v>130</v>
      </c>
      <c r="H826" s="558" t="s">
        <v>1153</v>
      </c>
      <c r="I826" s="559" t="s">
        <v>336</v>
      </c>
      <c r="J826" s="567" t="s">
        <v>1567</v>
      </c>
      <c r="K826" s="961" t="s">
        <v>1568</v>
      </c>
      <c r="L826" s="555" t="str">
        <f t="shared" ca="1" si="126"/>
        <v/>
      </c>
      <c r="M826" s="494" t="s">
        <v>1569</v>
      </c>
      <c r="N826" s="555" t="str">
        <f t="shared" ca="1" si="127"/>
        <v/>
      </c>
      <c r="O826" s="494" t="s">
        <v>1570</v>
      </c>
      <c r="P826" s="555" t="str">
        <f t="shared" ca="1" si="128"/>
        <v/>
      </c>
      <c r="Q826" s="494" t="s">
        <v>1571</v>
      </c>
      <c r="R826" s="494" t="str">
        <f t="shared" si="135"/>
        <v>I826</v>
      </c>
      <c r="S826" s="494" t="s">
        <v>1572</v>
      </c>
      <c r="T826" s="494">
        <v>6</v>
      </c>
      <c r="U826" s="556" t="str">
        <f t="shared" ca="1" si="124"/>
        <v/>
      </c>
      <c r="V826" s="494">
        <v>7</v>
      </c>
      <c r="W826" s="556" t="str">
        <f t="shared" ca="1" si="125"/>
        <v/>
      </c>
      <c r="X826" s="494" t="s">
        <v>170</v>
      </c>
      <c r="Y826" s="547" t="str">
        <f t="shared" ca="1" si="129"/>
        <v/>
      </c>
      <c r="Z826" s="494" t="s">
        <v>1573</v>
      </c>
      <c r="AA826" s="547" t="str">
        <f t="shared" ca="1" si="130"/>
        <v/>
      </c>
      <c r="AB826" s="494" t="s">
        <v>1574</v>
      </c>
      <c r="AC826" s="547" t="str">
        <f t="shared" ca="1" si="131"/>
        <v/>
      </c>
      <c r="AD826" s="557"/>
      <c r="AE826" s="958"/>
    </row>
    <row r="827" spans="1:31" ht="15" customHeight="1">
      <c r="A827" s="957" t="str">
        <f t="shared" ca="1" si="133"/>
        <v>22/23</v>
      </c>
      <c r="B827" s="566" t="s">
        <v>162</v>
      </c>
      <c r="C827" s="567" t="str">
        <f t="shared" ca="1" si="134"/>
        <v>Green Star - Education</v>
      </c>
      <c r="D827" s="958">
        <v>1</v>
      </c>
      <c r="E827" s="959" t="s">
        <v>335</v>
      </c>
      <c r="F827" s="558" t="s">
        <v>1455</v>
      </c>
      <c r="G827" s="558">
        <v>135</v>
      </c>
      <c r="H827" s="558" t="s">
        <v>1154</v>
      </c>
      <c r="I827" s="559" t="s">
        <v>1155</v>
      </c>
      <c r="J827" s="567" t="s">
        <v>1567</v>
      </c>
      <c r="K827" s="961" t="s">
        <v>1568</v>
      </c>
      <c r="L827" s="555" t="str">
        <f t="shared" ca="1" si="126"/>
        <v/>
      </c>
      <c r="M827" s="494" t="s">
        <v>1569</v>
      </c>
      <c r="N827" s="555" t="str">
        <f t="shared" ca="1" si="127"/>
        <v/>
      </c>
      <c r="O827" s="494" t="s">
        <v>1570</v>
      </c>
      <c r="P827" s="555" t="str">
        <f t="shared" ca="1" si="128"/>
        <v/>
      </c>
      <c r="Q827" s="494" t="s">
        <v>1571</v>
      </c>
      <c r="R827" s="494" t="str">
        <f t="shared" si="135"/>
        <v>I827</v>
      </c>
      <c r="S827" s="494" t="s">
        <v>1572</v>
      </c>
      <c r="T827" s="494">
        <v>6</v>
      </c>
      <c r="U827" s="556" t="str">
        <f t="shared" ca="1" si="124"/>
        <v/>
      </c>
      <c r="V827" s="494">
        <v>7</v>
      </c>
      <c r="W827" s="556" t="str">
        <f t="shared" ca="1" si="125"/>
        <v/>
      </c>
      <c r="X827" s="494" t="s">
        <v>170</v>
      </c>
      <c r="Y827" s="547" t="str">
        <f t="shared" ca="1" si="129"/>
        <v/>
      </c>
      <c r="Z827" s="494" t="s">
        <v>1573</v>
      </c>
      <c r="AA827" s="547" t="str">
        <f t="shared" ca="1" si="130"/>
        <v/>
      </c>
      <c r="AB827" s="494" t="s">
        <v>1574</v>
      </c>
      <c r="AC827" s="547" t="str">
        <f t="shared" ca="1" si="131"/>
        <v/>
      </c>
      <c r="AD827" s="557"/>
      <c r="AE827" s="958"/>
    </row>
    <row r="828" spans="1:31" ht="15" customHeight="1">
      <c r="A828" s="957" t="str">
        <f t="shared" ca="1" si="133"/>
        <v>22/23</v>
      </c>
      <c r="B828" s="566" t="s">
        <v>162</v>
      </c>
      <c r="C828" s="567" t="str">
        <f t="shared" ca="1" si="134"/>
        <v>Green Star - Education</v>
      </c>
      <c r="D828" s="958">
        <v>1</v>
      </c>
      <c r="E828" s="959" t="s">
        <v>335</v>
      </c>
      <c r="F828" s="558" t="s">
        <v>1455</v>
      </c>
      <c r="G828" s="558">
        <v>45</v>
      </c>
      <c r="H828" s="558" t="s">
        <v>1156</v>
      </c>
      <c r="I828" s="559" t="s">
        <v>1157</v>
      </c>
      <c r="J828" s="567" t="s">
        <v>1567</v>
      </c>
      <c r="K828" s="961" t="s">
        <v>1568</v>
      </c>
      <c r="L828" s="555" t="str">
        <f t="shared" ca="1" si="126"/>
        <v/>
      </c>
      <c r="M828" s="494" t="s">
        <v>1569</v>
      </c>
      <c r="N828" s="555" t="str">
        <f t="shared" ca="1" si="127"/>
        <v/>
      </c>
      <c r="O828" s="494" t="s">
        <v>1570</v>
      </c>
      <c r="P828" s="555" t="str">
        <f t="shared" ca="1" si="128"/>
        <v/>
      </c>
      <c r="Q828" s="494" t="s">
        <v>1571</v>
      </c>
      <c r="R828" s="494" t="str">
        <f t="shared" si="135"/>
        <v>I828</v>
      </c>
      <c r="S828" s="494" t="s">
        <v>1572</v>
      </c>
      <c r="T828" s="494">
        <v>6</v>
      </c>
      <c r="U828" s="556" t="str">
        <f t="shared" ca="1" si="124"/>
        <v/>
      </c>
      <c r="V828" s="494">
        <v>7</v>
      </c>
      <c r="W828" s="556" t="str">
        <f t="shared" ca="1" si="125"/>
        <v/>
      </c>
      <c r="X828" s="494" t="s">
        <v>170</v>
      </c>
      <c r="Y828" s="547" t="str">
        <f t="shared" ca="1" si="129"/>
        <v/>
      </c>
      <c r="Z828" s="494" t="s">
        <v>1573</v>
      </c>
      <c r="AA828" s="547" t="str">
        <f t="shared" ca="1" si="130"/>
        <v/>
      </c>
      <c r="AB828" s="494" t="s">
        <v>1574</v>
      </c>
      <c r="AC828" s="547" t="str">
        <f t="shared" ca="1" si="131"/>
        <v/>
      </c>
      <c r="AD828" s="557"/>
      <c r="AE828" s="958"/>
    </row>
    <row r="829" spans="1:31" ht="15" customHeight="1">
      <c r="A829" s="957" t="str">
        <f t="shared" ca="1" si="133"/>
        <v>22/23</v>
      </c>
      <c r="B829" s="566" t="s">
        <v>162</v>
      </c>
      <c r="C829" s="567" t="str">
        <f t="shared" ca="1" si="134"/>
        <v>Green Star - Education</v>
      </c>
      <c r="D829" s="958">
        <v>1</v>
      </c>
      <c r="E829" s="959" t="s">
        <v>335</v>
      </c>
      <c r="F829" s="558" t="s">
        <v>1455</v>
      </c>
      <c r="G829" s="558">
        <v>137</v>
      </c>
      <c r="H829" s="558" t="s">
        <v>1158</v>
      </c>
      <c r="I829" s="559" t="s">
        <v>1159</v>
      </c>
      <c r="J829" s="567" t="s">
        <v>1567</v>
      </c>
      <c r="K829" s="961" t="s">
        <v>1568</v>
      </c>
      <c r="L829" s="555" t="str">
        <f t="shared" ca="1" si="126"/>
        <v/>
      </c>
      <c r="M829" s="494" t="s">
        <v>1569</v>
      </c>
      <c r="N829" s="555" t="str">
        <f t="shared" ca="1" si="127"/>
        <v/>
      </c>
      <c r="O829" s="494" t="s">
        <v>1570</v>
      </c>
      <c r="P829" s="555" t="str">
        <f t="shared" ca="1" si="128"/>
        <v/>
      </c>
      <c r="Q829" s="494" t="s">
        <v>1571</v>
      </c>
      <c r="R829" s="494" t="str">
        <f t="shared" si="135"/>
        <v>I829</v>
      </c>
      <c r="S829" s="494" t="s">
        <v>1572</v>
      </c>
      <c r="T829" s="494">
        <v>6</v>
      </c>
      <c r="U829" s="556" t="str">
        <f t="shared" ca="1" si="124"/>
        <v/>
      </c>
      <c r="V829" s="494">
        <v>7</v>
      </c>
      <c r="W829" s="556" t="str">
        <f t="shared" ca="1" si="125"/>
        <v/>
      </c>
      <c r="X829" s="494" t="s">
        <v>170</v>
      </c>
      <c r="Y829" s="547" t="str">
        <f t="shared" ca="1" si="129"/>
        <v/>
      </c>
      <c r="Z829" s="494" t="s">
        <v>1573</v>
      </c>
      <c r="AA829" s="547" t="str">
        <f t="shared" ca="1" si="130"/>
        <v/>
      </c>
      <c r="AB829" s="494" t="s">
        <v>1574</v>
      </c>
      <c r="AC829" s="547" t="str">
        <f t="shared" ca="1" si="131"/>
        <v/>
      </c>
      <c r="AD829" s="557"/>
      <c r="AE829" s="958"/>
    </row>
    <row r="830" spans="1:31" ht="15" customHeight="1">
      <c r="A830" s="957" t="str">
        <f t="shared" ca="1" si="133"/>
        <v>22/23</v>
      </c>
      <c r="B830" s="566" t="s">
        <v>162</v>
      </c>
      <c r="C830" s="567" t="str">
        <f t="shared" ca="1" si="134"/>
        <v>Green Star - Education</v>
      </c>
      <c r="D830" s="958">
        <v>1</v>
      </c>
      <c r="E830" s="959" t="s">
        <v>335</v>
      </c>
      <c r="F830" s="558" t="s">
        <v>1455</v>
      </c>
      <c r="G830" s="558">
        <v>173</v>
      </c>
      <c r="H830" s="558" t="s">
        <v>1263</v>
      </c>
      <c r="I830" s="559" t="s">
        <v>1264</v>
      </c>
      <c r="J830" s="567" t="s">
        <v>1567</v>
      </c>
      <c r="K830" s="961" t="s">
        <v>1568</v>
      </c>
      <c r="L830" s="555" t="str">
        <f t="shared" ca="1" si="126"/>
        <v/>
      </c>
      <c r="M830" s="494" t="s">
        <v>1569</v>
      </c>
      <c r="N830" s="555" t="str">
        <f t="shared" ca="1" si="127"/>
        <v/>
      </c>
      <c r="O830" s="494" t="s">
        <v>1570</v>
      </c>
      <c r="P830" s="555" t="str">
        <f t="shared" ca="1" si="128"/>
        <v/>
      </c>
      <c r="Q830" s="494" t="s">
        <v>1571</v>
      </c>
      <c r="R830" s="494" t="str">
        <f t="shared" si="135"/>
        <v>I830</v>
      </c>
      <c r="S830" s="494" t="s">
        <v>1572</v>
      </c>
      <c r="T830" s="494">
        <v>6</v>
      </c>
      <c r="U830" s="556" t="str">
        <f t="shared" ca="1" si="124"/>
        <v/>
      </c>
      <c r="V830" s="494">
        <v>7</v>
      </c>
      <c r="W830" s="556" t="str">
        <f t="shared" ca="1" si="125"/>
        <v/>
      </c>
      <c r="X830" s="494" t="s">
        <v>170</v>
      </c>
      <c r="Y830" s="547" t="str">
        <f t="shared" ca="1" si="129"/>
        <v/>
      </c>
      <c r="Z830" s="494" t="s">
        <v>1573</v>
      </c>
      <c r="AA830" s="547" t="str">
        <f t="shared" ca="1" si="130"/>
        <v/>
      </c>
      <c r="AB830" s="494" t="s">
        <v>1574</v>
      </c>
      <c r="AC830" s="547" t="str">
        <f t="shared" ca="1" si="131"/>
        <v/>
      </c>
      <c r="AD830" s="557"/>
      <c r="AE830" s="958"/>
    </row>
    <row r="831" spans="1:31" ht="15" customHeight="1">
      <c r="A831" s="957" t="str">
        <f t="shared" ca="1" si="133"/>
        <v>22/23</v>
      </c>
      <c r="B831" s="566" t="s">
        <v>162</v>
      </c>
      <c r="C831" s="567" t="str">
        <f t="shared" ca="1" si="134"/>
        <v>Green Star - Education</v>
      </c>
      <c r="D831" s="958">
        <v>1</v>
      </c>
      <c r="E831" s="959" t="s">
        <v>335</v>
      </c>
      <c r="F831" s="558" t="s">
        <v>1455</v>
      </c>
      <c r="G831" s="558">
        <v>172</v>
      </c>
      <c r="H831" s="558" t="s">
        <v>1265</v>
      </c>
      <c r="I831" s="559" t="s">
        <v>1266</v>
      </c>
      <c r="J831" s="567" t="s">
        <v>1567</v>
      </c>
      <c r="K831" s="961" t="s">
        <v>1568</v>
      </c>
      <c r="L831" s="555" t="str">
        <f t="shared" ca="1" si="126"/>
        <v/>
      </c>
      <c r="M831" s="494" t="s">
        <v>1569</v>
      </c>
      <c r="N831" s="555" t="str">
        <f t="shared" ca="1" si="127"/>
        <v/>
      </c>
      <c r="O831" s="494" t="s">
        <v>1570</v>
      </c>
      <c r="P831" s="555" t="str">
        <f t="shared" ca="1" si="128"/>
        <v/>
      </c>
      <c r="Q831" s="494" t="s">
        <v>1571</v>
      </c>
      <c r="R831" s="494" t="str">
        <f t="shared" si="135"/>
        <v>I831</v>
      </c>
      <c r="S831" s="494" t="s">
        <v>1572</v>
      </c>
      <c r="T831" s="494">
        <v>6</v>
      </c>
      <c r="U831" s="556" t="str">
        <f t="shared" ref="U831:U894" ca="1" si="136">IF(AND($B831=INDIRECT(CONCATENATE($J831,$K831,5)),ISBLANK(INDEX(INDIRECT(CONCATENATE($J831,$Q831)),MATCH(INDIRECT($R831),INDIRECT(CONCATENATE($J831,$S831)),0),T831))=FALSE),INDEX(INDIRECT(CONCATENATE($J831,$Q831)),MATCH(INDIRECT($R831),INDIRECT(CONCATENATE($J831,$S831)),0),T831),"")</f>
        <v/>
      </c>
      <c r="V831" s="494">
        <v>7</v>
      </c>
      <c r="W831" s="556" t="str">
        <f t="shared" ref="W831:W894" ca="1" si="137">IF(AND($B831=INDIRECT(CONCATENATE($J831,$K831,5)),ISBLANK(INDEX(INDIRECT(CONCATENATE($J831,$Q831)),MATCH(INDIRECT($R831),INDIRECT(CONCATENATE($J831,$S831)),0),V831))=FALSE),INDEX(INDIRECT(CONCATENATE($J831,$Q831)),MATCH(INDIRECT($R831),INDIRECT(CONCATENATE($J831,$S831)),0),V831),"")</f>
        <v/>
      </c>
      <c r="X831" s="494" t="s">
        <v>170</v>
      </c>
      <c r="Y831" s="547" t="str">
        <f t="shared" ca="1" si="129"/>
        <v/>
      </c>
      <c r="Z831" s="494" t="s">
        <v>1573</v>
      </c>
      <c r="AA831" s="547" t="str">
        <f t="shared" ca="1" si="130"/>
        <v/>
      </c>
      <c r="AB831" s="494" t="s">
        <v>1574</v>
      </c>
      <c r="AC831" s="547" t="str">
        <f t="shared" ca="1" si="131"/>
        <v/>
      </c>
      <c r="AD831" s="557"/>
      <c r="AE831" s="958"/>
    </row>
    <row r="832" spans="1:31" ht="15" customHeight="1">
      <c r="A832" s="957" t="str">
        <f t="shared" ca="1" si="133"/>
        <v>22/23</v>
      </c>
      <c r="B832" s="566" t="s">
        <v>162</v>
      </c>
      <c r="C832" s="567" t="str">
        <f t="shared" ca="1" si="134"/>
        <v>Green Star - Education</v>
      </c>
      <c r="D832" s="958">
        <v>1</v>
      </c>
      <c r="E832" s="959" t="s">
        <v>335</v>
      </c>
      <c r="F832" s="558" t="s">
        <v>1455</v>
      </c>
      <c r="G832" s="558">
        <v>175</v>
      </c>
      <c r="H832" s="558" t="s">
        <v>1162</v>
      </c>
      <c r="I832" s="559" t="s">
        <v>1163</v>
      </c>
      <c r="J832" s="567" t="s">
        <v>1567</v>
      </c>
      <c r="K832" s="961" t="s">
        <v>1568</v>
      </c>
      <c r="L832" s="555" t="str">
        <f t="shared" ca="1" si="126"/>
        <v/>
      </c>
      <c r="M832" s="494" t="s">
        <v>1569</v>
      </c>
      <c r="N832" s="555" t="str">
        <f t="shared" ca="1" si="127"/>
        <v/>
      </c>
      <c r="O832" s="494" t="s">
        <v>1570</v>
      </c>
      <c r="P832" s="555" t="str">
        <f t="shared" ca="1" si="128"/>
        <v/>
      </c>
      <c r="Q832" s="494" t="s">
        <v>1571</v>
      </c>
      <c r="R832" s="494" t="str">
        <f t="shared" si="135"/>
        <v>I832</v>
      </c>
      <c r="S832" s="494" t="s">
        <v>1572</v>
      </c>
      <c r="T832" s="494">
        <v>6</v>
      </c>
      <c r="U832" s="556" t="str">
        <f t="shared" ca="1" si="136"/>
        <v/>
      </c>
      <c r="V832" s="494">
        <v>7</v>
      </c>
      <c r="W832" s="556" t="str">
        <f t="shared" ca="1" si="137"/>
        <v/>
      </c>
      <c r="X832" s="494" t="s">
        <v>170</v>
      </c>
      <c r="Y832" s="547" t="str">
        <f t="shared" ca="1" si="129"/>
        <v/>
      </c>
      <c r="Z832" s="494" t="s">
        <v>1573</v>
      </c>
      <c r="AA832" s="547" t="str">
        <f t="shared" ca="1" si="130"/>
        <v/>
      </c>
      <c r="AB832" s="494" t="s">
        <v>1574</v>
      </c>
      <c r="AC832" s="547" t="str">
        <f t="shared" ca="1" si="131"/>
        <v/>
      </c>
      <c r="AD832" s="557"/>
      <c r="AE832" s="958"/>
    </row>
    <row r="833" spans="1:31" ht="15" customHeight="1">
      <c r="A833" s="957" t="str">
        <f t="shared" ca="1" si="133"/>
        <v>22/23</v>
      </c>
      <c r="B833" s="566" t="s">
        <v>162</v>
      </c>
      <c r="C833" s="567" t="str">
        <f t="shared" ca="1" si="134"/>
        <v>Green Star - Education</v>
      </c>
      <c r="D833" s="958">
        <v>1</v>
      </c>
      <c r="E833" s="959" t="s">
        <v>335</v>
      </c>
      <c r="F833" s="558" t="s">
        <v>1455</v>
      </c>
      <c r="G833" s="558">
        <v>228</v>
      </c>
      <c r="H833" s="558" t="s">
        <v>1267</v>
      </c>
      <c r="I833" s="559" t="s">
        <v>1268</v>
      </c>
      <c r="J833" s="567" t="s">
        <v>1567</v>
      </c>
      <c r="K833" s="961" t="s">
        <v>1568</v>
      </c>
      <c r="L833" s="555" t="str">
        <f t="shared" ca="1" si="126"/>
        <v/>
      </c>
      <c r="M833" s="494" t="s">
        <v>1569</v>
      </c>
      <c r="N833" s="555" t="str">
        <f t="shared" ca="1" si="127"/>
        <v/>
      </c>
      <c r="O833" s="494" t="s">
        <v>1570</v>
      </c>
      <c r="P833" s="555" t="str">
        <f t="shared" ca="1" si="128"/>
        <v/>
      </c>
      <c r="Q833" s="494" t="s">
        <v>1571</v>
      </c>
      <c r="R833" s="494" t="str">
        <f>CONCATENATE("I",ROW(J833))</f>
        <v>I833</v>
      </c>
      <c r="S833" s="494" t="s">
        <v>1572</v>
      </c>
      <c r="T833" s="494">
        <v>6</v>
      </c>
      <c r="U833" s="556" t="str">
        <f t="shared" ca="1" si="136"/>
        <v/>
      </c>
      <c r="V833" s="494">
        <v>7</v>
      </c>
      <c r="W833" s="556" t="str">
        <f t="shared" ca="1" si="137"/>
        <v/>
      </c>
      <c r="X833" s="494" t="s">
        <v>170</v>
      </c>
      <c r="Y833" s="547" t="str">
        <f t="shared" ca="1" si="129"/>
        <v/>
      </c>
      <c r="Z833" s="494" t="s">
        <v>1573</v>
      </c>
      <c r="AA833" s="547" t="str">
        <f t="shared" ca="1" si="130"/>
        <v/>
      </c>
      <c r="AB833" s="494" t="s">
        <v>1574</v>
      </c>
      <c r="AC833" s="547" t="str">
        <f t="shared" ca="1" si="131"/>
        <v/>
      </c>
      <c r="AD833" s="557"/>
      <c r="AE833" s="958"/>
    </row>
    <row r="834" spans="1:31" ht="15" customHeight="1">
      <c r="A834" s="957" t="str">
        <f t="shared" ca="1" si="133"/>
        <v>22/23</v>
      </c>
      <c r="B834" s="566" t="s">
        <v>162</v>
      </c>
      <c r="C834" s="567" t="str">
        <f t="shared" ca="1" si="134"/>
        <v>Green Star - Education</v>
      </c>
      <c r="D834" s="958">
        <v>1</v>
      </c>
      <c r="E834" s="959" t="s">
        <v>345</v>
      </c>
      <c r="F834" s="558" t="s">
        <v>1484</v>
      </c>
      <c r="G834" s="558">
        <v>50</v>
      </c>
      <c r="H834" s="558" t="s">
        <v>1164</v>
      </c>
      <c r="I834" s="559" t="s">
        <v>1165</v>
      </c>
      <c r="J834" s="567" t="s">
        <v>1567</v>
      </c>
      <c r="K834" s="961" t="s">
        <v>1568</v>
      </c>
      <c r="L834" s="555" t="str">
        <f t="shared" ref="L834:L897" ca="1" si="138">IF(AND(INDIRECT(CONCATENATE($J834,$K834,5))=$B834,ISNUMBER(SEARCH("Please",INDIRECT(CONCATENATE($J834,$K834,2)),1))=FALSE),SUMPRODUCT(MID(0&amp;INDIRECT(CONCATENATE($J834,$K834,2)), LARGE(INDEX(ISNUMBER(--MID(INDIRECT(CONCATENATE($J834,$K834,2)), ROW(INDIRECT("1:"&amp;LEN(INDIRECT(CONCATENATE($J834,$K834,2))))),1))*ROW(INDIRECT("1:"&amp;LEN(INDIRECT(CONCATENATE($J834,$K834,2))))),0), ROW(INDIRECT("1:"&amp;LEN(INDIRECT(CONCATENATE($J834,$K834,2))))))+1,1)*10^ROW(INDIRECT("1:"&amp;LEN(INDIRECT(CONCATENATE($J834,$K834,2)))))/10),"")</f>
        <v/>
      </c>
      <c r="M834" s="494" t="s">
        <v>1569</v>
      </c>
      <c r="N834" s="555" t="str">
        <f t="shared" ref="N834:N897" ca="1" si="139">IF(AND(INDIRECT(CONCATENATE($J834,$K834,5))=$B834,ISNUMBER(SEARCH("Select",INDIRECT(CONCATENATE($J834,$M834,6)),1))=FALSE),INDIRECT(CONCATENATE($J834,$M834,6)),"")</f>
        <v/>
      </c>
      <c r="O834" s="494" t="s">
        <v>1570</v>
      </c>
      <c r="P834" s="555" t="str">
        <f t="shared" ref="P834:P897" ca="1" si="140">IF(AND(INDIRECT(CONCATENATE($J834,$K834,5))=$B834,ISNUMBER(SEARCH("Select",INDIRECT(CONCATENATE($J834,$O834,6)),1))=FALSE),INDIRECT(CONCATENATE($J834,$O834,6)),"")</f>
        <v/>
      </c>
      <c r="Q834" s="494" t="s">
        <v>1571</v>
      </c>
      <c r="R834" s="494" t="str">
        <f t="shared" si="135"/>
        <v>I834</v>
      </c>
      <c r="S834" s="494" t="s">
        <v>1572</v>
      </c>
      <c r="T834" s="494">
        <v>6</v>
      </c>
      <c r="U834" s="556" t="str">
        <f t="shared" ca="1" si="136"/>
        <v/>
      </c>
      <c r="V834" s="494">
        <v>7</v>
      </c>
      <c r="W834" s="556" t="str">
        <f t="shared" ca="1" si="137"/>
        <v/>
      </c>
      <c r="X834" s="494" t="s">
        <v>170</v>
      </c>
      <c r="Y834" s="547" t="str">
        <f t="shared" ref="Y834:Y897" ca="1" si="141">IF(AND(INDIRECT(CONCATENATE($J834,$K834,5))=$B834,ISBLANK(INDIRECT(CONCATENATE($J834,X834)))=FALSE),INDIRECT(CONCATENATE($J834,X834)),"")</f>
        <v/>
      </c>
      <c r="Z834" s="494" t="s">
        <v>1573</v>
      </c>
      <c r="AA834" s="547" t="str">
        <f t="shared" ref="AA834:AA897" ca="1" si="142">IF(AND(INDIRECT(CONCATENATE($J834,$K834,"5"))=$B834,ISBLANK(INDIRECT(CONCATENATE($J834,Z834)))=FALSE),INDIRECT(CONCATENATE($J834,Z834)),"")</f>
        <v/>
      </c>
      <c r="AB834" s="494" t="s">
        <v>1574</v>
      </c>
      <c r="AC834" s="547" t="str">
        <f t="shared" ref="AC834:AC897" ca="1" si="143">IF(AND(INDIRECT(CONCATENATE($J834,$K834,"5"))=$B834,ISBLANK(INDIRECT(CONCATENATE($J834,AB834)))=FALSE),INDIRECT(CONCATENATE($J834,AB834)),"")</f>
        <v/>
      </c>
      <c r="AD834" s="557"/>
      <c r="AE834" s="958"/>
    </row>
    <row r="835" spans="1:31" ht="15" customHeight="1">
      <c r="A835" s="957" t="str">
        <f t="shared" ca="1" si="133"/>
        <v>22/23</v>
      </c>
      <c r="B835" s="566" t="s">
        <v>162</v>
      </c>
      <c r="C835" s="567" t="str">
        <f t="shared" ca="1" si="134"/>
        <v>Green Star - Education</v>
      </c>
      <c r="D835" s="958">
        <v>1</v>
      </c>
      <c r="E835" s="959" t="s">
        <v>345</v>
      </c>
      <c r="F835" s="558" t="s">
        <v>1484</v>
      </c>
      <c r="G835" s="558">
        <v>138</v>
      </c>
      <c r="H835" s="558" t="s">
        <v>1166</v>
      </c>
      <c r="I835" s="559" t="s">
        <v>1167</v>
      </c>
      <c r="J835" s="567" t="s">
        <v>1567</v>
      </c>
      <c r="K835" s="961" t="s">
        <v>1568</v>
      </c>
      <c r="L835" s="555" t="str">
        <f t="shared" ca="1" si="138"/>
        <v/>
      </c>
      <c r="M835" s="494" t="s">
        <v>1569</v>
      </c>
      <c r="N835" s="555" t="str">
        <f t="shared" ca="1" si="139"/>
        <v/>
      </c>
      <c r="O835" s="494" t="s">
        <v>1570</v>
      </c>
      <c r="P835" s="555" t="str">
        <f t="shared" ca="1" si="140"/>
        <v/>
      </c>
      <c r="Q835" s="494" t="s">
        <v>1571</v>
      </c>
      <c r="R835" s="494" t="str">
        <f t="shared" si="135"/>
        <v>I835</v>
      </c>
      <c r="S835" s="494" t="s">
        <v>1572</v>
      </c>
      <c r="T835" s="494">
        <v>6</v>
      </c>
      <c r="U835" s="556" t="str">
        <f t="shared" ca="1" si="136"/>
        <v/>
      </c>
      <c r="V835" s="494">
        <v>7</v>
      </c>
      <c r="W835" s="556" t="str">
        <f t="shared" ca="1" si="137"/>
        <v/>
      </c>
      <c r="X835" s="494" t="s">
        <v>170</v>
      </c>
      <c r="Y835" s="547" t="str">
        <f t="shared" ca="1" si="141"/>
        <v/>
      </c>
      <c r="Z835" s="494" t="s">
        <v>1573</v>
      </c>
      <c r="AA835" s="547" t="str">
        <f t="shared" ca="1" si="142"/>
        <v/>
      </c>
      <c r="AB835" s="494" t="s">
        <v>1574</v>
      </c>
      <c r="AC835" s="547" t="str">
        <f t="shared" ca="1" si="143"/>
        <v/>
      </c>
      <c r="AD835" s="557"/>
      <c r="AE835" s="958"/>
    </row>
    <row r="836" spans="1:31" ht="15" customHeight="1">
      <c r="A836" s="957" t="str">
        <f t="shared" ca="1" si="133"/>
        <v>22/23</v>
      </c>
      <c r="B836" s="566" t="s">
        <v>162</v>
      </c>
      <c r="C836" s="567" t="str">
        <f t="shared" ca="1" si="134"/>
        <v>Green Star - Education</v>
      </c>
      <c r="D836" s="958">
        <v>1</v>
      </c>
      <c r="E836" s="959" t="s">
        <v>345</v>
      </c>
      <c r="F836" s="558" t="s">
        <v>1484</v>
      </c>
      <c r="G836" s="558">
        <v>53</v>
      </c>
      <c r="H836" s="558" t="s">
        <v>1168</v>
      </c>
      <c r="I836" s="559" t="s">
        <v>1269</v>
      </c>
      <c r="J836" s="567" t="s">
        <v>1567</v>
      </c>
      <c r="K836" s="961" t="s">
        <v>1568</v>
      </c>
      <c r="L836" s="555" t="str">
        <f t="shared" ca="1" si="138"/>
        <v/>
      </c>
      <c r="M836" s="494" t="s">
        <v>1569</v>
      </c>
      <c r="N836" s="555" t="str">
        <f t="shared" ca="1" si="139"/>
        <v/>
      </c>
      <c r="O836" s="494" t="s">
        <v>1570</v>
      </c>
      <c r="P836" s="555" t="str">
        <f t="shared" ca="1" si="140"/>
        <v/>
      </c>
      <c r="Q836" s="494" t="s">
        <v>1571</v>
      </c>
      <c r="R836" s="494" t="str">
        <f t="shared" si="135"/>
        <v>I836</v>
      </c>
      <c r="S836" s="494" t="s">
        <v>1575</v>
      </c>
      <c r="T836" s="494">
        <v>6</v>
      </c>
      <c r="U836" s="556" t="str">
        <f t="shared" ca="1" si="136"/>
        <v/>
      </c>
      <c r="V836" s="494">
        <v>7</v>
      </c>
      <c r="W836" s="556" t="str">
        <f t="shared" ca="1" si="137"/>
        <v/>
      </c>
      <c r="X836" s="494" t="s">
        <v>170</v>
      </c>
      <c r="Y836" s="547" t="str">
        <f t="shared" ca="1" si="141"/>
        <v/>
      </c>
      <c r="Z836" s="494" t="s">
        <v>1573</v>
      </c>
      <c r="AA836" s="547" t="str">
        <f t="shared" ca="1" si="142"/>
        <v/>
      </c>
      <c r="AB836" s="494" t="s">
        <v>1574</v>
      </c>
      <c r="AC836" s="547" t="str">
        <f t="shared" ca="1" si="143"/>
        <v/>
      </c>
      <c r="AD836" s="557"/>
      <c r="AE836" s="958"/>
    </row>
    <row r="837" spans="1:31" ht="15" customHeight="1">
      <c r="A837" s="957" t="str">
        <f t="shared" ca="1" si="133"/>
        <v>22/23</v>
      </c>
      <c r="B837" s="566" t="s">
        <v>162</v>
      </c>
      <c r="C837" s="567" t="str">
        <f t="shared" ca="1" si="134"/>
        <v>Green Star - Education</v>
      </c>
      <c r="D837" s="958">
        <v>1</v>
      </c>
      <c r="E837" s="959" t="s">
        <v>345</v>
      </c>
      <c r="F837" s="558" t="s">
        <v>1484</v>
      </c>
      <c r="G837" s="558">
        <v>53</v>
      </c>
      <c r="H837" s="558" t="s">
        <v>1168</v>
      </c>
      <c r="I837" s="559" t="s">
        <v>1270</v>
      </c>
      <c r="J837" s="567" t="s">
        <v>1567</v>
      </c>
      <c r="K837" s="961" t="s">
        <v>1568</v>
      </c>
      <c r="L837" s="555" t="str">
        <f t="shared" ca="1" si="138"/>
        <v/>
      </c>
      <c r="M837" s="494" t="s">
        <v>1569</v>
      </c>
      <c r="N837" s="555" t="str">
        <f t="shared" ca="1" si="139"/>
        <v/>
      </c>
      <c r="O837" s="494" t="s">
        <v>1570</v>
      </c>
      <c r="P837" s="555" t="str">
        <f t="shared" ca="1" si="140"/>
        <v/>
      </c>
      <c r="Q837" s="494" t="s">
        <v>1571</v>
      </c>
      <c r="R837" s="494" t="str">
        <f t="shared" si="135"/>
        <v>I837</v>
      </c>
      <c r="S837" s="494" t="s">
        <v>1575</v>
      </c>
      <c r="T837" s="494">
        <v>6</v>
      </c>
      <c r="U837" s="556" t="str">
        <f t="shared" ca="1" si="136"/>
        <v/>
      </c>
      <c r="V837" s="494">
        <v>7</v>
      </c>
      <c r="W837" s="556" t="str">
        <f t="shared" ca="1" si="137"/>
        <v/>
      </c>
      <c r="X837" s="494" t="s">
        <v>170</v>
      </c>
      <c r="Y837" s="547" t="str">
        <f t="shared" ca="1" si="141"/>
        <v/>
      </c>
      <c r="Z837" s="494" t="s">
        <v>1573</v>
      </c>
      <c r="AA837" s="547" t="str">
        <f t="shared" ca="1" si="142"/>
        <v/>
      </c>
      <c r="AB837" s="494" t="s">
        <v>1574</v>
      </c>
      <c r="AC837" s="547" t="str">
        <f t="shared" ca="1" si="143"/>
        <v/>
      </c>
      <c r="AD837" s="557"/>
      <c r="AE837" s="958"/>
    </row>
    <row r="838" spans="1:31" ht="15" customHeight="1">
      <c r="A838" s="957" t="str">
        <f t="shared" ca="1" si="133"/>
        <v>22/23</v>
      </c>
      <c r="B838" s="566" t="s">
        <v>162</v>
      </c>
      <c r="C838" s="567" t="str">
        <f t="shared" ca="1" si="134"/>
        <v>Green Star - Education</v>
      </c>
      <c r="D838" s="958">
        <v>1</v>
      </c>
      <c r="E838" s="959" t="s">
        <v>345</v>
      </c>
      <c r="F838" s="558" t="s">
        <v>1484</v>
      </c>
      <c r="G838" s="558">
        <v>139</v>
      </c>
      <c r="H838" s="558" t="s">
        <v>1172</v>
      </c>
      <c r="I838" s="559" t="s">
        <v>985</v>
      </c>
      <c r="J838" s="567" t="s">
        <v>1567</v>
      </c>
      <c r="K838" s="961" t="s">
        <v>1568</v>
      </c>
      <c r="L838" s="555" t="str">
        <f t="shared" ca="1" si="138"/>
        <v/>
      </c>
      <c r="M838" s="494" t="s">
        <v>1569</v>
      </c>
      <c r="N838" s="555" t="str">
        <f t="shared" ca="1" si="139"/>
        <v/>
      </c>
      <c r="O838" s="494" t="s">
        <v>1570</v>
      </c>
      <c r="P838" s="555" t="str">
        <f t="shared" ca="1" si="140"/>
        <v/>
      </c>
      <c r="Q838" s="494" t="s">
        <v>1571</v>
      </c>
      <c r="R838" s="494" t="str">
        <f t="shared" si="135"/>
        <v>I838</v>
      </c>
      <c r="S838" s="494" t="s">
        <v>1572</v>
      </c>
      <c r="T838" s="494">
        <v>6</v>
      </c>
      <c r="U838" s="556" t="str">
        <f t="shared" ca="1" si="136"/>
        <v/>
      </c>
      <c r="V838" s="494">
        <v>7</v>
      </c>
      <c r="W838" s="556" t="str">
        <f t="shared" ca="1" si="137"/>
        <v/>
      </c>
      <c r="X838" s="494" t="s">
        <v>170</v>
      </c>
      <c r="Y838" s="547" t="str">
        <f t="shared" ca="1" si="141"/>
        <v/>
      </c>
      <c r="Z838" s="494" t="s">
        <v>1573</v>
      </c>
      <c r="AA838" s="547" t="str">
        <f t="shared" ca="1" si="142"/>
        <v/>
      </c>
      <c r="AB838" s="494" t="s">
        <v>1574</v>
      </c>
      <c r="AC838" s="547" t="str">
        <f t="shared" ca="1" si="143"/>
        <v/>
      </c>
      <c r="AD838" s="557"/>
      <c r="AE838" s="958"/>
    </row>
    <row r="839" spans="1:31" ht="15" customHeight="1">
      <c r="A839" s="957" t="str">
        <f t="shared" ca="1" si="133"/>
        <v>22/23</v>
      </c>
      <c r="B839" s="566" t="s">
        <v>162</v>
      </c>
      <c r="C839" s="567" t="str">
        <f t="shared" ca="1" si="134"/>
        <v>Green Star - Education</v>
      </c>
      <c r="D839" s="958">
        <v>1</v>
      </c>
      <c r="E839" s="959" t="s">
        <v>345</v>
      </c>
      <c r="F839" s="558" t="s">
        <v>1484</v>
      </c>
      <c r="G839" s="558">
        <v>230</v>
      </c>
      <c r="H839" s="558" t="s">
        <v>1173</v>
      </c>
      <c r="I839" s="559" t="s">
        <v>1174</v>
      </c>
      <c r="J839" s="567" t="s">
        <v>1567</v>
      </c>
      <c r="K839" s="961" t="s">
        <v>1568</v>
      </c>
      <c r="L839" s="555" t="str">
        <f t="shared" ca="1" si="138"/>
        <v/>
      </c>
      <c r="M839" s="494" t="s">
        <v>1569</v>
      </c>
      <c r="N839" s="555" t="str">
        <f t="shared" ca="1" si="139"/>
        <v/>
      </c>
      <c r="O839" s="494" t="s">
        <v>1570</v>
      </c>
      <c r="P839" s="555" t="str">
        <f t="shared" ca="1" si="140"/>
        <v/>
      </c>
      <c r="Q839" s="494" t="s">
        <v>1571</v>
      </c>
      <c r="R839" s="494" t="str">
        <f t="shared" si="135"/>
        <v>I839</v>
      </c>
      <c r="S839" s="494" t="s">
        <v>1572</v>
      </c>
      <c r="T839" s="494">
        <v>6</v>
      </c>
      <c r="U839" s="556" t="str">
        <f t="shared" ca="1" si="136"/>
        <v/>
      </c>
      <c r="V839" s="494">
        <v>7</v>
      </c>
      <c r="W839" s="556" t="str">
        <f t="shared" ca="1" si="137"/>
        <v/>
      </c>
      <c r="X839" s="494" t="s">
        <v>170</v>
      </c>
      <c r="Y839" s="547" t="str">
        <f t="shared" ca="1" si="141"/>
        <v/>
      </c>
      <c r="Z839" s="494" t="s">
        <v>1573</v>
      </c>
      <c r="AA839" s="547" t="str">
        <f t="shared" ca="1" si="142"/>
        <v/>
      </c>
      <c r="AB839" s="494" t="s">
        <v>1574</v>
      </c>
      <c r="AC839" s="547" t="str">
        <f t="shared" ca="1" si="143"/>
        <v/>
      </c>
      <c r="AD839" s="557"/>
      <c r="AE839" s="958"/>
    </row>
    <row r="840" spans="1:31" ht="15" customHeight="1">
      <c r="A840" s="957" t="str">
        <f t="shared" ca="1" si="133"/>
        <v>22/23</v>
      </c>
      <c r="B840" s="566" t="s">
        <v>162</v>
      </c>
      <c r="C840" s="567" t="str">
        <f t="shared" ca="1" si="134"/>
        <v>Green Star - Education</v>
      </c>
      <c r="D840" s="958">
        <v>1</v>
      </c>
      <c r="E840" s="959" t="s">
        <v>353</v>
      </c>
      <c r="F840" s="558" t="s">
        <v>1486</v>
      </c>
      <c r="G840" s="558">
        <v>140</v>
      </c>
      <c r="H840" s="558" t="s">
        <v>1175</v>
      </c>
      <c r="I840" s="559" t="s">
        <v>1176</v>
      </c>
      <c r="J840" s="567" t="s">
        <v>1567</v>
      </c>
      <c r="K840" s="961" t="s">
        <v>1568</v>
      </c>
      <c r="L840" s="555" t="str">
        <f t="shared" ca="1" si="138"/>
        <v/>
      </c>
      <c r="M840" s="494" t="s">
        <v>1569</v>
      </c>
      <c r="N840" s="555" t="str">
        <f t="shared" ca="1" si="139"/>
        <v/>
      </c>
      <c r="O840" s="494" t="s">
        <v>1570</v>
      </c>
      <c r="P840" s="555" t="str">
        <f t="shared" ca="1" si="140"/>
        <v/>
      </c>
      <c r="Q840" s="494" t="s">
        <v>1571</v>
      </c>
      <c r="R840" s="494" t="str">
        <f t="shared" si="135"/>
        <v>I840</v>
      </c>
      <c r="S840" s="494" t="s">
        <v>1572</v>
      </c>
      <c r="T840" s="494">
        <v>6</v>
      </c>
      <c r="U840" s="556" t="str">
        <f t="shared" ca="1" si="136"/>
        <v/>
      </c>
      <c r="V840" s="494">
        <v>7</v>
      </c>
      <c r="W840" s="556" t="str">
        <f t="shared" ca="1" si="137"/>
        <v/>
      </c>
      <c r="X840" s="494" t="s">
        <v>170</v>
      </c>
      <c r="Y840" s="547" t="str">
        <f t="shared" ca="1" si="141"/>
        <v/>
      </c>
      <c r="Z840" s="494" t="s">
        <v>1573</v>
      </c>
      <c r="AA840" s="547" t="str">
        <f t="shared" ca="1" si="142"/>
        <v/>
      </c>
      <c r="AB840" s="494" t="s">
        <v>1574</v>
      </c>
      <c r="AC840" s="547" t="str">
        <f t="shared" ca="1" si="143"/>
        <v/>
      </c>
      <c r="AD840" s="557"/>
      <c r="AE840" s="958"/>
    </row>
    <row r="841" spans="1:31" ht="15" customHeight="1">
      <c r="A841" s="957" t="str">
        <f t="shared" ca="1" si="133"/>
        <v>22/23</v>
      </c>
      <c r="B841" s="566" t="s">
        <v>162</v>
      </c>
      <c r="C841" s="567" t="str">
        <f t="shared" ca="1" si="134"/>
        <v>Green Star - Education</v>
      </c>
      <c r="D841" s="958">
        <v>1</v>
      </c>
      <c r="E841" s="959" t="s">
        <v>353</v>
      </c>
      <c r="F841" s="558" t="s">
        <v>1486</v>
      </c>
      <c r="G841" s="558">
        <v>68</v>
      </c>
      <c r="H841" s="558" t="s">
        <v>1177</v>
      </c>
      <c r="I841" s="559" t="s">
        <v>1178</v>
      </c>
      <c r="J841" s="567" t="s">
        <v>1567</v>
      </c>
      <c r="K841" s="961" t="s">
        <v>1568</v>
      </c>
      <c r="L841" s="555" t="str">
        <f t="shared" ca="1" si="138"/>
        <v/>
      </c>
      <c r="M841" s="494" t="s">
        <v>1569</v>
      </c>
      <c r="N841" s="555" t="str">
        <f t="shared" ca="1" si="139"/>
        <v/>
      </c>
      <c r="O841" s="494" t="s">
        <v>1570</v>
      </c>
      <c r="P841" s="555" t="str">
        <f t="shared" ca="1" si="140"/>
        <v/>
      </c>
      <c r="Q841" s="494" t="s">
        <v>1571</v>
      </c>
      <c r="R841" s="494" t="str">
        <f t="shared" si="135"/>
        <v>I841</v>
      </c>
      <c r="S841" s="494" t="s">
        <v>1572</v>
      </c>
      <c r="T841" s="494">
        <v>6</v>
      </c>
      <c r="U841" s="556" t="str">
        <f t="shared" ca="1" si="136"/>
        <v/>
      </c>
      <c r="V841" s="494">
        <v>7</v>
      </c>
      <c r="W841" s="556" t="str">
        <f t="shared" ca="1" si="137"/>
        <v/>
      </c>
      <c r="X841" s="494" t="s">
        <v>170</v>
      </c>
      <c r="Y841" s="547" t="str">
        <f t="shared" ca="1" si="141"/>
        <v/>
      </c>
      <c r="Z841" s="494" t="s">
        <v>1573</v>
      </c>
      <c r="AA841" s="547" t="str">
        <f t="shared" ca="1" si="142"/>
        <v/>
      </c>
      <c r="AB841" s="494" t="s">
        <v>1574</v>
      </c>
      <c r="AC841" s="547" t="str">
        <f t="shared" ca="1" si="143"/>
        <v/>
      </c>
      <c r="AD841" s="557"/>
      <c r="AE841" s="958"/>
    </row>
    <row r="842" spans="1:31" ht="15" customHeight="1">
      <c r="A842" s="957" t="str">
        <f t="shared" ca="1" si="133"/>
        <v>22/23</v>
      </c>
      <c r="B842" s="566" t="s">
        <v>162</v>
      </c>
      <c r="C842" s="567" t="str">
        <f t="shared" ca="1" si="134"/>
        <v>Green Star - Education</v>
      </c>
      <c r="D842" s="958">
        <v>1</v>
      </c>
      <c r="E842" s="959" t="s">
        <v>353</v>
      </c>
      <c r="F842" s="558" t="s">
        <v>1486</v>
      </c>
      <c r="G842" s="558">
        <v>141</v>
      </c>
      <c r="H842" s="558" t="s">
        <v>1179</v>
      </c>
      <c r="I842" s="559" t="s">
        <v>364</v>
      </c>
      <c r="J842" s="567" t="s">
        <v>1567</v>
      </c>
      <c r="K842" s="961" t="s">
        <v>1568</v>
      </c>
      <c r="L842" s="555" t="str">
        <f t="shared" ca="1" si="138"/>
        <v/>
      </c>
      <c r="M842" s="494" t="s">
        <v>1569</v>
      </c>
      <c r="N842" s="555" t="str">
        <f t="shared" ca="1" si="139"/>
        <v/>
      </c>
      <c r="O842" s="494" t="s">
        <v>1570</v>
      </c>
      <c r="P842" s="555" t="str">
        <f t="shared" ca="1" si="140"/>
        <v/>
      </c>
      <c r="Q842" s="494" t="s">
        <v>1571</v>
      </c>
      <c r="R842" s="494" t="str">
        <f t="shared" si="135"/>
        <v>I842</v>
      </c>
      <c r="S842" s="494" t="s">
        <v>1572</v>
      </c>
      <c r="T842" s="494">
        <v>6</v>
      </c>
      <c r="U842" s="556" t="str">
        <f t="shared" ca="1" si="136"/>
        <v/>
      </c>
      <c r="V842" s="494">
        <v>7</v>
      </c>
      <c r="W842" s="556" t="str">
        <f t="shared" ca="1" si="137"/>
        <v/>
      </c>
      <c r="X842" s="494" t="s">
        <v>170</v>
      </c>
      <c r="Y842" s="547" t="str">
        <f t="shared" ca="1" si="141"/>
        <v/>
      </c>
      <c r="Z842" s="494" t="s">
        <v>1573</v>
      </c>
      <c r="AA842" s="547" t="str">
        <f t="shared" ca="1" si="142"/>
        <v/>
      </c>
      <c r="AB842" s="494" t="s">
        <v>1574</v>
      </c>
      <c r="AC842" s="547" t="str">
        <f t="shared" ca="1" si="143"/>
        <v/>
      </c>
      <c r="AD842" s="557"/>
      <c r="AE842" s="958"/>
    </row>
    <row r="843" spans="1:31" ht="15" customHeight="1">
      <c r="A843" s="957" t="str">
        <f t="shared" ca="1" si="133"/>
        <v>22/23</v>
      </c>
      <c r="B843" s="566" t="s">
        <v>162</v>
      </c>
      <c r="C843" s="567" t="str">
        <f t="shared" ca="1" si="134"/>
        <v>Green Star - Education</v>
      </c>
      <c r="D843" s="958">
        <v>1</v>
      </c>
      <c r="E843" s="959" t="s">
        <v>353</v>
      </c>
      <c r="F843" s="558" t="s">
        <v>1486</v>
      </c>
      <c r="G843" s="558">
        <v>142</v>
      </c>
      <c r="H843" s="558" t="s">
        <v>1180</v>
      </c>
      <c r="I843" s="559" t="s">
        <v>1181</v>
      </c>
      <c r="J843" s="567" t="s">
        <v>1567</v>
      </c>
      <c r="K843" s="961" t="s">
        <v>1568</v>
      </c>
      <c r="L843" s="555" t="str">
        <f t="shared" ca="1" si="138"/>
        <v/>
      </c>
      <c r="M843" s="494" t="s">
        <v>1569</v>
      </c>
      <c r="N843" s="555" t="str">
        <f t="shared" ca="1" si="139"/>
        <v/>
      </c>
      <c r="O843" s="494" t="s">
        <v>1570</v>
      </c>
      <c r="P843" s="555" t="str">
        <f t="shared" ca="1" si="140"/>
        <v/>
      </c>
      <c r="Q843" s="494" t="s">
        <v>1571</v>
      </c>
      <c r="R843" s="494" t="str">
        <f t="shared" si="135"/>
        <v>I843</v>
      </c>
      <c r="S843" s="494" t="s">
        <v>1572</v>
      </c>
      <c r="T843" s="494">
        <v>6</v>
      </c>
      <c r="U843" s="556" t="str">
        <f t="shared" ca="1" si="136"/>
        <v/>
      </c>
      <c r="V843" s="494">
        <v>7</v>
      </c>
      <c r="W843" s="556" t="str">
        <f t="shared" ca="1" si="137"/>
        <v/>
      </c>
      <c r="X843" s="494" t="s">
        <v>170</v>
      </c>
      <c r="Y843" s="547" t="str">
        <f t="shared" ca="1" si="141"/>
        <v/>
      </c>
      <c r="Z843" s="494" t="s">
        <v>1573</v>
      </c>
      <c r="AA843" s="547" t="str">
        <f t="shared" ca="1" si="142"/>
        <v/>
      </c>
      <c r="AB843" s="494" t="s">
        <v>1574</v>
      </c>
      <c r="AC843" s="547" t="str">
        <f t="shared" ca="1" si="143"/>
        <v/>
      </c>
      <c r="AD843" s="557"/>
      <c r="AE843" s="958"/>
    </row>
    <row r="844" spans="1:31" ht="15" customHeight="1">
      <c r="A844" s="957" t="str">
        <f t="shared" ca="1" si="133"/>
        <v>22/23</v>
      </c>
      <c r="B844" s="566" t="s">
        <v>162</v>
      </c>
      <c r="C844" s="567" t="str">
        <f t="shared" ca="1" si="134"/>
        <v>Green Star - Education</v>
      </c>
      <c r="D844" s="958">
        <v>1</v>
      </c>
      <c r="E844" s="959" t="s">
        <v>353</v>
      </c>
      <c r="F844" s="558" t="s">
        <v>1486</v>
      </c>
      <c r="G844" s="558">
        <v>213</v>
      </c>
      <c r="H844" s="558" t="s">
        <v>1182</v>
      </c>
      <c r="I844" s="559" t="s">
        <v>1183</v>
      </c>
      <c r="J844" s="567" t="s">
        <v>1567</v>
      </c>
      <c r="K844" s="961" t="s">
        <v>1568</v>
      </c>
      <c r="L844" s="555" t="str">
        <f t="shared" ca="1" si="138"/>
        <v/>
      </c>
      <c r="M844" s="494" t="s">
        <v>1569</v>
      </c>
      <c r="N844" s="555" t="str">
        <f t="shared" ca="1" si="139"/>
        <v/>
      </c>
      <c r="O844" s="494" t="s">
        <v>1570</v>
      </c>
      <c r="P844" s="555" t="str">
        <f t="shared" ca="1" si="140"/>
        <v/>
      </c>
      <c r="Q844" s="494" t="s">
        <v>1571</v>
      </c>
      <c r="R844" s="494" t="str">
        <f t="shared" si="135"/>
        <v>I844</v>
      </c>
      <c r="S844" s="494" t="s">
        <v>1572</v>
      </c>
      <c r="T844" s="494">
        <v>6</v>
      </c>
      <c r="U844" s="556" t="str">
        <f t="shared" ca="1" si="136"/>
        <v/>
      </c>
      <c r="V844" s="494">
        <v>7</v>
      </c>
      <c r="W844" s="556" t="str">
        <f t="shared" ca="1" si="137"/>
        <v/>
      </c>
      <c r="X844" s="494" t="s">
        <v>170</v>
      </c>
      <c r="Y844" s="547" t="str">
        <f t="shared" ca="1" si="141"/>
        <v/>
      </c>
      <c r="Z844" s="494" t="s">
        <v>1573</v>
      </c>
      <c r="AA844" s="547" t="str">
        <f t="shared" ca="1" si="142"/>
        <v/>
      </c>
      <c r="AB844" s="494" t="s">
        <v>1574</v>
      </c>
      <c r="AC844" s="547" t="str">
        <f t="shared" ca="1" si="143"/>
        <v/>
      </c>
      <c r="AD844" s="557"/>
      <c r="AE844" s="958"/>
    </row>
    <row r="845" spans="1:31" ht="15" customHeight="1">
      <c r="A845" s="957" t="str">
        <f t="shared" ca="1" si="133"/>
        <v>22/23</v>
      </c>
      <c r="B845" s="566" t="s">
        <v>162</v>
      </c>
      <c r="C845" s="567" t="str">
        <f t="shared" ca="1" si="134"/>
        <v>Green Star - Education</v>
      </c>
      <c r="D845" s="958">
        <v>1</v>
      </c>
      <c r="E845" s="959" t="s">
        <v>353</v>
      </c>
      <c r="F845" s="558" t="s">
        <v>1486</v>
      </c>
      <c r="G845" s="558">
        <v>180</v>
      </c>
      <c r="H845" s="558" t="s">
        <v>1184</v>
      </c>
      <c r="I845" s="559" t="s">
        <v>1271</v>
      </c>
      <c r="J845" s="567" t="s">
        <v>1567</v>
      </c>
      <c r="K845" s="961" t="s">
        <v>1568</v>
      </c>
      <c r="L845" s="555" t="str">
        <f t="shared" ca="1" si="138"/>
        <v/>
      </c>
      <c r="M845" s="494" t="s">
        <v>1569</v>
      </c>
      <c r="N845" s="555" t="str">
        <f t="shared" ca="1" si="139"/>
        <v/>
      </c>
      <c r="O845" s="494" t="s">
        <v>1570</v>
      </c>
      <c r="P845" s="555" t="str">
        <f t="shared" ca="1" si="140"/>
        <v/>
      </c>
      <c r="Q845" s="494" t="s">
        <v>1571</v>
      </c>
      <c r="R845" s="494" t="str">
        <f t="shared" si="135"/>
        <v>I845</v>
      </c>
      <c r="S845" s="494" t="s">
        <v>1572</v>
      </c>
      <c r="T845" s="494">
        <v>6</v>
      </c>
      <c r="U845" s="556" t="str">
        <f t="shared" ca="1" si="136"/>
        <v/>
      </c>
      <c r="V845" s="494">
        <v>7</v>
      </c>
      <c r="W845" s="556" t="str">
        <f t="shared" ca="1" si="137"/>
        <v/>
      </c>
      <c r="X845" s="494" t="s">
        <v>170</v>
      </c>
      <c r="Y845" s="547" t="str">
        <f t="shared" ca="1" si="141"/>
        <v/>
      </c>
      <c r="Z845" s="494" t="s">
        <v>1573</v>
      </c>
      <c r="AA845" s="547" t="str">
        <f t="shared" ca="1" si="142"/>
        <v/>
      </c>
      <c r="AB845" s="494" t="s">
        <v>1574</v>
      </c>
      <c r="AC845" s="547" t="str">
        <f t="shared" ca="1" si="143"/>
        <v/>
      </c>
      <c r="AD845" s="557"/>
      <c r="AE845" s="958"/>
    </row>
    <row r="846" spans="1:31" ht="15" customHeight="1">
      <c r="A846" s="957" t="str">
        <f t="shared" ca="1" si="133"/>
        <v>22/23</v>
      </c>
      <c r="B846" s="566" t="s">
        <v>162</v>
      </c>
      <c r="C846" s="567" t="str">
        <f t="shared" ca="1" si="134"/>
        <v>Green Star - Education</v>
      </c>
      <c r="D846" s="958">
        <v>1</v>
      </c>
      <c r="E846" s="959" t="s">
        <v>367</v>
      </c>
      <c r="F846" s="558" t="s">
        <v>1488</v>
      </c>
      <c r="G846" s="558">
        <v>46</v>
      </c>
      <c r="H846" s="558" t="s">
        <v>1186</v>
      </c>
      <c r="I846" s="559" t="s">
        <v>1187</v>
      </c>
      <c r="J846" s="567" t="s">
        <v>1567</v>
      </c>
      <c r="K846" s="961" t="s">
        <v>1568</v>
      </c>
      <c r="L846" s="555" t="str">
        <f t="shared" ca="1" si="138"/>
        <v/>
      </c>
      <c r="M846" s="494" t="s">
        <v>1569</v>
      </c>
      <c r="N846" s="555" t="str">
        <f t="shared" ca="1" si="139"/>
        <v/>
      </c>
      <c r="O846" s="494" t="s">
        <v>1570</v>
      </c>
      <c r="P846" s="555" t="str">
        <f t="shared" ca="1" si="140"/>
        <v/>
      </c>
      <c r="Q846" s="494" t="s">
        <v>1571</v>
      </c>
      <c r="R846" s="494" t="str">
        <f t="shared" si="135"/>
        <v>I846</v>
      </c>
      <c r="S846" s="494" t="s">
        <v>1572</v>
      </c>
      <c r="T846" s="494">
        <v>6</v>
      </c>
      <c r="U846" s="556" t="str">
        <f t="shared" ca="1" si="136"/>
        <v/>
      </c>
      <c r="V846" s="494">
        <v>7</v>
      </c>
      <c r="W846" s="556" t="str">
        <f t="shared" ca="1" si="137"/>
        <v/>
      </c>
      <c r="X846" s="494" t="s">
        <v>170</v>
      </c>
      <c r="Y846" s="547" t="str">
        <f t="shared" ca="1" si="141"/>
        <v/>
      </c>
      <c r="Z846" s="494" t="s">
        <v>1573</v>
      </c>
      <c r="AA846" s="547" t="str">
        <f t="shared" ca="1" si="142"/>
        <v/>
      </c>
      <c r="AB846" s="494" t="s">
        <v>1574</v>
      </c>
      <c r="AC846" s="547" t="str">
        <f t="shared" ca="1" si="143"/>
        <v/>
      </c>
      <c r="AD846" s="557"/>
      <c r="AE846" s="958"/>
    </row>
    <row r="847" spans="1:31" ht="15" customHeight="1">
      <c r="A847" s="957" t="str">
        <f t="shared" ca="1" si="133"/>
        <v>22/23</v>
      </c>
      <c r="B847" s="566" t="s">
        <v>162</v>
      </c>
      <c r="C847" s="567" t="str">
        <f t="shared" ca="1" si="134"/>
        <v>Green Star - Education</v>
      </c>
      <c r="D847" s="958">
        <v>1</v>
      </c>
      <c r="E847" s="959" t="s">
        <v>367</v>
      </c>
      <c r="F847" s="558" t="s">
        <v>1488</v>
      </c>
      <c r="G847" s="558">
        <v>143</v>
      </c>
      <c r="H847" s="558" t="s">
        <v>1188</v>
      </c>
      <c r="I847" s="559" t="s">
        <v>1189</v>
      </c>
      <c r="J847" s="567" t="s">
        <v>1567</v>
      </c>
      <c r="K847" s="961" t="s">
        <v>1568</v>
      </c>
      <c r="L847" s="555" t="str">
        <f t="shared" ca="1" si="138"/>
        <v/>
      </c>
      <c r="M847" s="494" t="s">
        <v>1569</v>
      </c>
      <c r="N847" s="555" t="str">
        <f t="shared" ca="1" si="139"/>
        <v/>
      </c>
      <c r="O847" s="494" t="s">
        <v>1570</v>
      </c>
      <c r="P847" s="555" t="str">
        <f t="shared" ca="1" si="140"/>
        <v/>
      </c>
      <c r="Q847" s="494" t="s">
        <v>1571</v>
      </c>
      <c r="R847" s="494" t="str">
        <f t="shared" si="135"/>
        <v>I847</v>
      </c>
      <c r="S847" s="494" t="s">
        <v>1575</v>
      </c>
      <c r="T847" s="494">
        <v>6</v>
      </c>
      <c r="U847" s="556" t="str">
        <f t="shared" ca="1" si="136"/>
        <v/>
      </c>
      <c r="V847" s="494">
        <v>7</v>
      </c>
      <c r="W847" s="556" t="str">
        <f t="shared" ca="1" si="137"/>
        <v/>
      </c>
      <c r="X847" s="494" t="s">
        <v>170</v>
      </c>
      <c r="Y847" s="547" t="str">
        <f t="shared" ca="1" si="141"/>
        <v/>
      </c>
      <c r="Z847" s="494" t="s">
        <v>1573</v>
      </c>
      <c r="AA847" s="547" t="str">
        <f t="shared" ca="1" si="142"/>
        <v/>
      </c>
      <c r="AB847" s="494" t="s">
        <v>1574</v>
      </c>
      <c r="AC847" s="547" t="str">
        <f t="shared" ca="1" si="143"/>
        <v/>
      </c>
      <c r="AD847" s="557"/>
      <c r="AE847" s="958"/>
    </row>
    <row r="848" spans="1:31" ht="15" customHeight="1">
      <c r="A848" s="957" t="str">
        <f t="shared" ca="1" si="133"/>
        <v>22/23</v>
      </c>
      <c r="B848" s="566" t="s">
        <v>162</v>
      </c>
      <c r="C848" s="567" t="str">
        <f t="shared" ca="1" si="134"/>
        <v>Green Star - Education</v>
      </c>
      <c r="D848" s="958">
        <v>1</v>
      </c>
      <c r="E848" s="959" t="s">
        <v>367</v>
      </c>
      <c r="F848" s="558" t="s">
        <v>1488</v>
      </c>
      <c r="G848" s="558">
        <v>143</v>
      </c>
      <c r="H848" s="558" t="s">
        <v>1188</v>
      </c>
      <c r="I848" s="559" t="s">
        <v>1190</v>
      </c>
      <c r="J848" s="567" t="s">
        <v>1567</v>
      </c>
      <c r="K848" s="961" t="s">
        <v>1568</v>
      </c>
      <c r="L848" s="555" t="str">
        <f t="shared" ca="1" si="138"/>
        <v/>
      </c>
      <c r="M848" s="494" t="s">
        <v>1569</v>
      </c>
      <c r="N848" s="555" t="str">
        <f t="shared" ca="1" si="139"/>
        <v/>
      </c>
      <c r="O848" s="494" t="s">
        <v>1570</v>
      </c>
      <c r="P848" s="555" t="str">
        <f t="shared" ca="1" si="140"/>
        <v/>
      </c>
      <c r="Q848" s="494" t="s">
        <v>1571</v>
      </c>
      <c r="R848" s="494" t="str">
        <f t="shared" si="135"/>
        <v>I848</v>
      </c>
      <c r="S848" s="494" t="s">
        <v>1575</v>
      </c>
      <c r="T848" s="494">
        <v>6</v>
      </c>
      <c r="U848" s="556" t="str">
        <f t="shared" ca="1" si="136"/>
        <v/>
      </c>
      <c r="V848" s="494">
        <v>7</v>
      </c>
      <c r="W848" s="556" t="str">
        <f t="shared" ca="1" si="137"/>
        <v/>
      </c>
      <c r="X848" s="494" t="s">
        <v>170</v>
      </c>
      <c r="Y848" s="547" t="str">
        <f t="shared" ca="1" si="141"/>
        <v/>
      </c>
      <c r="Z848" s="494" t="s">
        <v>1573</v>
      </c>
      <c r="AA848" s="547" t="str">
        <f t="shared" ca="1" si="142"/>
        <v/>
      </c>
      <c r="AB848" s="494" t="s">
        <v>1574</v>
      </c>
      <c r="AC848" s="547" t="str">
        <f t="shared" ca="1" si="143"/>
        <v/>
      </c>
      <c r="AD848" s="557"/>
      <c r="AE848" s="958"/>
    </row>
    <row r="849" spans="1:31" ht="15" customHeight="1">
      <c r="A849" s="957" t="str">
        <f t="shared" ca="1" si="133"/>
        <v>22/23</v>
      </c>
      <c r="B849" s="566" t="s">
        <v>162</v>
      </c>
      <c r="C849" s="567" t="str">
        <f t="shared" ca="1" si="134"/>
        <v>Green Star - Education</v>
      </c>
      <c r="D849" s="958">
        <v>1</v>
      </c>
      <c r="E849" s="959" t="s">
        <v>367</v>
      </c>
      <c r="F849" s="558" t="s">
        <v>1488</v>
      </c>
      <c r="G849" s="558">
        <v>182</v>
      </c>
      <c r="H849" s="558" t="s">
        <v>1191</v>
      </c>
      <c r="I849" s="559" t="s">
        <v>1192</v>
      </c>
      <c r="J849" s="567" t="s">
        <v>1567</v>
      </c>
      <c r="K849" s="961" t="s">
        <v>1568</v>
      </c>
      <c r="L849" s="555" t="str">
        <f t="shared" ca="1" si="138"/>
        <v/>
      </c>
      <c r="M849" s="494" t="s">
        <v>1569</v>
      </c>
      <c r="N849" s="555" t="str">
        <f t="shared" ca="1" si="139"/>
        <v/>
      </c>
      <c r="O849" s="494" t="s">
        <v>1570</v>
      </c>
      <c r="P849" s="555" t="str">
        <f t="shared" ca="1" si="140"/>
        <v/>
      </c>
      <c r="Q849" s="494" t="s">
        <v>1571</v>
      </c>
      <c r="R849" s="494" t="str">
        <f t="shared" si="135"/>
        <v>I849</v>
      </c>
      <c r="S849" s="494" t="s">
        <v>1572</v>
      </c>
      <c r="T849" s="494">
        <v>6</v>
      </c>
      <c r="U849" s="556" t="str">
        <f t="shared" ca="1" si="136"/>
        <v/>
      </c>
      <c r="V849" s="494">
        <v>7</v>
      </c>
      <c r="W849" s="556" t="str">
        <f t="shared" ca="1" si="137"/>
        <v/>
      </c>
      <c r="X849" s="494" t="s">
        <v>170</v>
      </c>
      <c r="Y849" s="547" t="str">
        <f t="shared" ca="1" si="141"/>
        <v/>
      </c>
      <c r="Z849" s="494" t="s">
        <v>1573</v>
      </c>
      <c r="AA849" s="547" t="str">
        <f t="shared" ca="1" si="142"/>
        <v/>
      </c>
      <c r="AB849" s="494" t="s">
        <v>1574</v>
      </c>
      <c r="AC849" s="547" t="str">
        <f t="shared" ca="1" si="143"/>
        <v/>
      </c>
      <c r="AD849" s="557"/>
      <c r="AE849" s="958"/>
    </row>
    <row r="850" spans="1:31" ht="15" customHeight="1">
      <c r="A850" s="957" t="str">
        <f t="shared" ca="1" si="133"/>
        <v>22/23</v>
      </c>
      <c r="B850" s="566" t="s">
        <v>162</v>
      </c>
      <c r="C850" s="567" t="str">
        <f t="shared" ca="1" si="134"/>
        <v>Green Star - Education</v>
      </c>
      <c r="D850" s="958">
        <v>1</v>
      </c>
      <c r="E850" s="959" t="s">
        <v>367</v>
      </c>
      <c r="F850" s="558" t="s">
        <v>1488</v>
      </c>
      <c r="G850" s="558">
        <v>145</v>
      </c>
      <c r="H850" s="558" t="s">
        <v>1193</v>
      </c>
      <c r="I850" s="559" t="s">
        <v>1195</v>
      </c>
      <c r="J850" s="567" t="s">
        <v>1567</v>
      </c>
      <c r="K850" s="961" t="s">
        <v>1568</v>
      </c>
      <c r="L850" s="555" t="str">
        <f t="shared" ca="1" si="138"/>
        <v/>
      </c>
      <c r="M850" s="494" t="s">
        <v>1569</v>
      </c>
      <c r="N850" s="555" t="str">
        <f t="shared" ca="1" si="139"/>
        <v/>
      </c>
      <c r="O850" s="494" t="s">
        <v>1570</v>
      </c>
      <c r="P850" s="555" t="str">
        <f t="shared" ca="1" si="140"/>
        <v/>
      </c>
      <c r="Q850" s="494" t="s">
        <v>1571</v>
      </c>
      <c r="R850" s="494" t="str">
        <f t="shared" si="135"/>
        <v>I850</v>
      </c>
      <c r="S850" s="494" t="s">
        <v>1575</v>
      </c>
      <c r="T850" s="494">
        <v>6</v>
      </c>
      <c r="U850" s="556" t="str">
        <f t="shared" ca="1" si="136"/>
        <v/>
      </c>
      <c r="V850" s="494">
        <v>7</v>
      </c>
      <c r="W850" s="556" t="str">
        <f t="shared" ca="1" si="137"/>
        <v/>
      </c>
      <c r="X850" s="494" t="s">
        <v>170</v>
      </c>
      <c r="Y850" s="547" t="str">
        <f t="shared" ca="1" si="141"/>
        <v/>
      </c>
      <c r="Z850" s="494" t="s">
        <v>1573</v>
      </c>
      <c r="AA850" s="547" t="str">
        <f t="shared" ca="1" si="142"/>
        <v/>
      </c>
      <c r="AB850" s="494" t="s">
        <v>1574</v>
      </c>
      <c r="AC850" s="547" t="str">
        <f t="shared" ca="1" si="143"/>
        <v/>
      </c>
      <c r="AD850" s="557"/>
      <c r="AE850" s="958"/>
    </row>
    <row r="851" spans="1:31" ht="15" customHeight="1">
      <c r="A851" s="957" t="str">
        <f t="shared" ca="1" si="133"/>
        <v>22/23</v>
      </c>
      <c r="B851" s="566" t="s">
        <v>162</v>
      </c>
      <c r="C851" s="567" t="str">
        <f t="shared" ca="1" si="134"/>
        <v>Green Star - Education</v>
      </c>
      <c r="D851" s="958">
        <v>1</v>
      </c>
      <c r="E851" s="959" t="s">
        <v>367</v>
      </c>
      <c r="F851" s="558" t="s">
        <v>1488</v>
      </c>
      <c r="G851" s="558">
        <v>145</v>
      </c>
      <c r="H851" s="558" t="s">
        <v>1193</v>
      </c>
      <c r="I851" s="559" t="s">
        <v>1196</v>
      </c>
      <c r="J851" s="567" t="s">
        <v>1567</v>
      </c>
      <c r="K851" s="961" t="s">
        <v>1568</v>
      </c>
      <c r="L851" s="555" t="str">
        <f t="shared" ca="1" si="138"/>
        <v/>
      </c>
      <c r="M851" s="494" t="s">
        <v>1569</v>
      </c>
      <c r="N851" s="555" t="str">
        <f t="shared" ca="1" si="139"/>
        <v/>
      </c>
      <c r="O851" s="494" t="s">
        <v>1570</v>
      </c>
      <c r="P851" s="555" t="str">
        <f t="shared" ca="1" si="140"/>
        <v/>
      </c>
      <c r="Q851" s="494" t="s">
        <v>1571</v>
      </c>
      <c r="R851" s="494" t="str">
        <f t="shared" si="135"/>
        <v>I851</v>
      </c>
      <c r="S851" s="494" t="s">
        <v>1575</v>
      </c>
      <c r="T851" s="494">
        <v>6</v>
      </c>
      <c r="U851" s="556" t="str">
        <f t="shared" ca="1" si="136"/>
        <v/>
      </c>
      <c r="V851" s="494">
        <v>7</v>
      </c>
      <c r="W851" s="556" t="str">
        <f t="shared" ca="1" si="137"/>
        <v/>
      </c>
      <c r="X851" s="494" t="s">
        <v>170</v>
      </c>
      <c r="Y851" s="547" t="str">
        <f t="shared" ca="1" si="141"/>
        <v/>
      </c>
      <c r="Z851" s="494" t="s">
        <v>1573</v>
      </c>
      <c r="AA851" s="547" t="str">
        <f t="shared" ca="1" si="142"/>
        <v/>
      </c>
      <c r="AB851" s="494" t="s">
        <v>1574</v>
      </c>
      <c r="AC851" s="547" t="str">
        <f t="shared" ca="1" si="143"/>
        <v/>
      </c>
      <c r="AD851" s="557"/>
      <c r="AE851" s="958"/>
    </row>
    <row r="852" spans="1:31" ht="15" customHeight="1">
      <c r="A852" s="957" t="str">
        <f t="shared" ca="1" si="133"/>
        <v>22/23</v>
      </c>
      <c r="B852" s="566" t="s">
        <v>162</v>
      </c>
      <c r="C852" s="567" t="str">
        <f t="shared" ca="1" si="134"/>
        <v>Green Star - Education</v>
      </c>
      <c r="D852" s="958">
        <v>1</v>
      </c>
      <c r="E852" s="959" t="s">
        <v>367</v>
      </c>
      <c r="F852" s="558" t="s">
        <v>1488</v>
      </c>
      <c r="G852" s="558">
        <v>146</v>
      </c>
      <c r="H852" s="558" t="s">
        <v>1197</v>
      </c>
      <c r="I852" s="559" t="s">
        <v>1199</v>
      </c>
      <c r="J852" s="567" t="s">
        <v>1567</v>
      </c>
      <c r="K852" s="961" t="s">
        <v>1568</v>
      </c>
      <c r="L852" s="555" t="str">
        <f t="shared" ca="1" si="138"/>
        <v/>
      </c>
      <c r="M852" s="494" t="s">
        <v>1569</v>
      </c>
      <c r="N852" s="555" t="str">
        <f t="shared" ca="1" si="139"/>
        <v/>
      </c>
      <c r="O852" s="494" t="s">
        <v>1570</v>
      </c>
      <c r="P852" s="555" t="str">
        <f t="shared" ca="1" si="140"/>
        <v/>
      </c>
      <c r="Q852" s="494" t="s">
        <v>1571</v>
      </c>
      <c r="R852" s="494" t="str">
        <f t="shared" si="135"/>
        <v>I852</v>
      </c>
      <c r="S852" s="494" t="s">
        <v>1575</v>
      </c>
      <c r="T852" s="494">
        <v>6</v>
      </c>
      <c r="U852" s="556" t="str">
        <f t="shared" ca="1" si="136"/>
        <v/>
      </c>
      <c r="V852" s="494">
        <v>7</v>
      </c>
      <c r="W852" s="556" t="str">
        <f t="shared" ca="1" si="137"/>
        <v/>
      </c>
      <c r="X852" s="494" t="s">
        <v>170</v>
      </c>
      <c r="Y852" s="547" t="str">
        <f t="shared" ca="1" si="141"/>
        <v/>
      </c>
      <c r="Z852" s="494" t="s">
        <v>1573</v>
      </c>
      <c r="AA852" s="547" t="str">
        <f t="shared" ca="1" si="142"/>
        <v/>
      </c>
      <c r="AB852" s="494" t="s">
        <v>1574</v>
      </c>
      <c r="AC852" s="547" t="str">
        <f t="shared" ca="1" si="143"/>
        <v/>
      </c>
      <c r="AD852" s="557"/>
      <c r="AE852" s="958"/>
    </row>
    <row r="853" spans="1:31" ht="15" customHeight="1">
      <c r="A853" s="957" t="str">
        <f t="shared" ca="1" si="133"/>
        <v>22/23</v>
      </c>
      <c r="B853" s="566" t="s">
        <v>162</v>
      </c>
      <c r="C853" s="567" t="str">
        <f t="shared" ca="1" si="134"/>
        <v>Green Star - Education</v>
      </c>
      <c r="D853" s="958">
        <v>1</v>
      </c>
      <c r="E853" s="959" t="s">
        <v>367</v>
      </c>
      <c r="F853" s="558" t="s">
        <v>1488</v>
      </c>
      <c r="G853" s="558">
        <v>146</v>
      </c>
      <c r="H853" s="558" t="s">
        <v>1197</v>
      </c>
      <c r="I853" s="559" t="s">
        <v>1200</v>
      </c>
      <c r="J853" s="567" t="s">
        <v>1567</v>
      </c>
      <c r="K853" s="961" t="s">
        <v>1568</v>
      </c>
      <c r="L853" s="555" t="str">
        <f t="shared" ca="1" si="138"/>
        <v/>
      </c>
      <c r="M853" s="494" t="s">
        <v>1569</v>
      </c>
      <c r="N853" s="555" t="str">
        <f t="shared" ca="1" si="139"/>
        <v/>
      </c>
      <c r="O853" s="494" t="s">
        <v>1570</v>
      </c>
      <c r="P853" s="555" t="str">
        <f t="shared" ca="1" si="140"/>
        <v/>
      </c>
      <c r="Q853" s="494" t="s">
        <v>1571</v>
      </c>
      <c r="R853" s="494" t="str">
        <f t="shared" si="135"/>
        <v>I853</v>
      </c>
      <c r="S853" s="494" t="s">
        <v>1575</v>
      </c>
      <c r="T853" s="494">
        <v>6</v>
      </c>
      <c r="U853" s="556" t="str">
        <f t="shared" ca="1" si="136"/>
        <v/>
      </c>
      <c r="V853" s="494">
        <v>7</v>
      </c>
      <c r="W853" s="556" t="str">
        <f t="shared" ca="1" si="137"/>
        <v/>
      </c>
      <c r="X853" s="494" t="s">
        <v>170</v>
      </c>
      <c r="Y853" s="547" t="str">
        <f t="shared" ca="1" si="141"/>
        <v/>
      </c>
      <c r="Z853" s="494" t="s">
        <v>1573</v>
      </c>
      <c r="AA853" s="547" t="str">
        <f t="shared" ca="1" si="142"/>
        <v/>
      </c>
      <c r="AB853" s="494" t="s">
        <v>1574</v>
      </c>
      <c r="AC853" s="547" t="str">
        <f t="shared" ca="1" si="143"/>
        <v/>
      </c>
      <c r="AD853" s="557"/>
      <c r="AE853" s="958"/>
    </row>
    <row r="854" spans="1:31" ht="15" customHeight="1">
      <c r="A854" s="957" t="str">
        <f t="shared" ca="1" si="133"/>
        <v>22/23</v>
      </c>
      <c r="B854" s="566" t="s">
        <v>162</v>
      </c>
      <c r="C854" s="567" t="str">
        <f t="shared" ca="1" si="134"/>
        <v>Green Star - Education</v>
      </c>
      <c r="D854" s="958">
        <v>1</v>
      </c>
      <c r="E854" s="959" t="s">
        <v>367</v>
      </c>
      <c r="F854" s="558" t="s">
        <v>1488</v>
      </c>
      <c r="G854" s="558">
        <v>63</v>
      </c>
      <c r="H854" s="558" t="s">
        <v>1201</v>
      </c>
      <c r="I854" s="559" t="s">
        <v>1202</v>
      </c>
      <c r="J854" s="567" t="s">
        <v>1567</v>
      </c>
      <c r="K854" s="961" t="s">
        <v>1568</v>
      </c>
      <c r="L854" s="555" t="str">
        <f t="shared" ca="1" si="138"/>
        <v/>
      </c>
      <c r="M854" s="494" t="s">
        <v>1569</v>
      </c>
      <c r="N854" s="555" t="str">
        <f t="shared" ca="1" si="139"/>
        <v/>
      </c>
      <c r="O854" s="494" t="s">
        <v>1570</v>
      </c>
      <c r="P854" s="555" t="str">
        <f t="shared" ca="1" si="140"/>
        <v/>
      </c>
      <c r="Q854" s="494" t="s">
        <v>1571</v>
      </c>
      <c r="R854" s="494" t="str">
        <f t="shared" si="135"/>
        <v>I854</v>
      </c>
      <c r="S854" s="494" t="s">
        <v>1572</v>
      </c>
      <c r="T854" s="494">
        <v>6</v>
      </c>
      <c r="U854" s="556" t="str">
        <f t="shared" ca="1" si="136"/>
        <v/>
      </c>
      <c r="V854" s="494">
        <v>7</v>
      </c>
      <c r="W854" s="556" t="str">
        <f t="shared" ca="1" si="137"/>
        <v/>
      </c>
      <c r="X854" s="494" t="s">
        <v>170</v>
      </c>
      <c r="Y854" s="547" t="str">
        <f t="shared" ca="1" si="141"/>
        <v/>
      </c>
      <c r="Z854" s="494" t="s">
        <v>1573</v>
      </c>
      <c r="AA854" s="547" t="str">
        <f t="shared" ca="1" si="142"/>
        <v/>
      </c>
      <c r="AB854" s="494" t="s">
        <v>1574</v>
      </c>
      <c r="AC854" s="547" t="str">
        <f t="shared" ca="1" si="143"/>
        <v/>
      </c>
      <c r="AD854" s="557"/>
      <c r="AE854" s="958"/>
    </row>
    <row r="855" spans="1:31" ht="15" customHeight="1">
      <c r="A855" s="957" t="str">
        <f t="shared" ca="1" si="133"/>
        <v>22/23</v>
      </c>
      <c r="B855" s="566" t="s">
        <v>162</v>
      </c>
      <c r="C855" s="567" t="str">
        <f t="shared" ca="1" si="134"/>
        <v>Green Star - Education</v>
      </c>
      <c r="D855" s="958">
        <v>1</v>
      </c>
      <c r="E855" s="959" t="s">
        <v>367</v>
      </c>
      <c r="F855" s="558" t="s">
        <v>1488</v>
      </c>
      <c r="G855" s="558">
        <v>64</v>
      </c>
      <c r="H855" s="558" t="s">
        <v>1203</v>
      </c>
      <c r="I855" s="559" t="s">
        <v>1204</v>
      </c>
      <c r="J855" s="567" t="s">
        <v>1567</v>
      </c>
      <c r="K855" s="961" t="s">
        <v>1568</v>
      </c>
      <c r="L855" s="555" t="str">
        <f t="shared" ca="1" si="138"/>
        <v/>
      </c>
      <c r="M855" s="494" t="s">
        <v>1569</v>
      </c>
      <c r="N855" s="555" t="str">
        <f t="shared" ca="1" si="139"/>
        <v/>
      </c>
      <c r="O855" s="494" t="s">
        <v>1570</v>
      </c>
      <c r="P855" s="555" t="str">
        <f t="shared" ca="1" si="140"/>
        <v/>
      </c>
      <c r="Q855" s="494" t="s">
        <v>1571</v>
      </c>
      <c r="R855" s="494" t="str">
        <f t="shared" si="135"/>
        <v>I855</v>
      </c>
      <c r="S855" s="494" t="s">
        <v>1572</v>
      </c>
      <c r="T855" s="494">
        <v>6</v>
      </c>
      <c r="U855" s="556" t="str">
        <f t="shared" ca="1" si="136"/>
        <v/>
      </c>
      <c r="V855" s="494">
        <v>7</v>
      </c>
      <c r="W855" s="556" t="str">
        <f t="shared" ca="1" si="137"/>
        <v/>
      </c>
      <c r="X855" s="494" t="s">
        <v>170</v>
      </c>
      <c r="Y855" s="547" t="str">
        <f t="shared" ca="1" si="141"/>
        <v/>
      </c>
      <c r="Z855" s="494" t="s">
        <v>1573</v>
      </c>
      <c r="AA855" s="547" t="str">
        <f t="shared" ca="1" si="142"/>
        <v/>
      </c>
      <c r="AB855" s="494" t="s">
        <v>1574</v>
      </c>
      <c r="AC855" s="547" t="str">
        <f t="shared" ca="1" si="143"/>
        <v/>
      </c>
      <c r="AD855" s="557"/>
      <c r="AE855" s="958"/>
    </row>
    <row r="856" spans="1:31" ht="15" customHeight="1">
      <c r="A856" s="957" t="str">
        <f t="shared" ca="1" si="133"/>
        <v>22/23</v>
      </c>
      <c r="B856" s="566" t="s">
        <v>162</v>
      </c>
      <c r="C856" s="567" t="str">
        <f t="shared" ca="1" si="134"/>
        <v>Green Star - Education</v>
      </c>
      <c r="D856" s="958">
        <v>1</v>
      </c>
      <c r="E856" s="959" t="s">
        <v>367</v>
      </c>
      <c r="F856" s="558" t="s">
        <v>1488</v>
      </c>
      <c r="G856" s="558">
        <v>147</v>
      </c>
      <c r="H856" s="558" t="s">
        <v>1205</v>
      </c>
      <c r="I856" s="559" t="s">
        <v>1206</v>
      </c>
      <c r="J856" s="567" t="s">
        <v>1567</v>
      </c>
      <c r="K856" s="961" t="s">
        <v>1568</v>
      </c>
      <c r="L856" s="555" t="str">
        <f t="shared" ca="1" si="138"/>
        <v/>
      </c>
      <c r="M856" s="494" t="s">
        <v>1569</v>
      </c>
      <c r="N856" s="555" t="str">
        <f t="shared" ca="1" si="139"/>
        <v/>
      </c>
      <c r="O856" s="494" t="s">
        <v>1570</v>
      </c>
      <c r="P856" s="555" t="str">
        <f t="shared" ca="1" si="140"/>
        <v/>
      </c>
      <c r="Q856" s="494" t="s">
        <v>1571</v>
      </c>
      <c r="R856" s="494" t="str">
        <f t="shared" ref="R856:R875" si="144">CONCATENATE("I",ROW(J856))</f>
        <v>I856</v>
      </c>
      <c r="S856" s="494" t="s">
        <v>1572</v>
      </c>
      <c r="T856" s="494">
        <v>6</v>
      </c>
      <c r="U856" s="556" t="str">
        <f t="shared" ca="1" si="136"/>
        <v/>
      </c>
      <c r="V856" s="494">
        <v>7</v>
      </c>
      <c r="W856" s="556" t="str">
        <f t="shared" ca="1" si="137"/>
        <v/>
      </c>
      <c r="X856" s="494" t="s">
        <v>170</v>
      </c>
      <c r="Y856" s="547" t="str">
        <f t="shared" ca="1" si="141"/>
        <v/>
      </c>
      <c r="Z856" s="494" t="s">
        <v>1573</v>
      </c>
      <c r="AA856" s="547" t="str">
        <f t="shared" ca="1" si="142"/>
        <v/>
      </c>
      <c r="AB856" s="494" t="s">
        <v>1574</v>
      </c>
      <c r="AC856" s="547" t="str">
        <f t="shared" ca="1" si="143"/>
        <v/>
      </c>
      <c r="AD856" s="557"/>
      <c r="AE856" s="958"/>
    </row>
    <row r="857" spans="1:31" ht="15" customHeight="1">
      <c r="A857" s="957" t="str">
        <f t="shared" ca="1" si="133"/>
        <v>22/23</v>
      </c>
      <c r="B857" s="566" t="s">
        <v>162</v>
      </c>
      <c r="C857" s="567" t="str">
        <f t="shared" ca="1" si="134"/>
        <v>Green Star - Education</v>
      </c>
      <c r="D857" s="958">
        <v>1</v>
      </c>
      <c r="E857" s="959" t="s">
        <v>367</v>
      </c>
      <c r="F857" s="558" t="s">
        <v>1488</v>
      </c>
      <c r="G857" s="558">
        <v>148</v>
      </c>
      <c r="H857" s="558" t="s">
        <v>1207</v>
      </c>
      <c r="I857" s="559" t="s">
        <v>1209</v>
      </c>
      <c r="J857" s="567" t="s">
        <v>1567</v>
      </c>
      <c r="K857" s="961" t="s">
        <v>1568</v>
      </c>
      <c r="L857" s="555" t="str">
        <f t="shared" ca="1" si="138"/>
        <v/>
      </c>
      <c r="M857" s="494" t="s">
        <v>1569</v>
      </c>
      <c r="N857" s="555" t="str">
        <f t="shared" ca="1" si="139"/>
        <v/>
      </c>
      <c r="O857" s="494" t="s">
        <v>1570</v>
      </c>
      <c r="P857" s="555" t="str">
        <f t="shared" ca="1" si="140"/>
        <v/>
      </c>
      <c r="Q857" s="494" t="s">
        <v>1571</v>
      </c>
      <c r="R857" s="494" t="str">
        <f t="shared" si="144"/>
        <v>I857</v>
      </c>
      <c r="S857" s="494" t="s">
        <v>1575</v>
      </c>
      <c r="T857" s="494">
        <v>6</v>
      </c>
      <c r="U857" s="556" t="str">
        <f t="shared" ca="1" si="136"/>
        <v/>
      </c>
      <c r="V857" s="494">
        <v>7</v>
      </c>
      <c r="W857" s="556" t="str">
        <f t="shared" ca="1" si="137"/>
        <v/>
      </c>
      <c r="X857" s="494" t="s">
        <v>170</v>
      </c>
      <c r="Y857" s="547" t="str">
        <f t="shared" ca="1" si="141"/>
        <v/>
      </c>
      <c r="Z857" s="494" t="s">
        <v>1573</v>
      </c>
      <c r="AA857" s="547" t="str">
        <f t="shared" ca="1" si="142"/>
        <v/>
      </c>
      <c r="AB857" s="494" t="s">
        <v>1574</v>
      </c>
      <c r="AC857" s="547" t="str">
        <f t="shared" ca="1" si="143"/>
        <v/>
      </c>
      <c r="AD857" s="557"/>
      <c r="AE857" s="958"/>
    </row>
    <row r="858" spans="1:31" ht="15" customHeight="1">
      <c r="A858" s="957" t="str">
        <f t="shared" ca="1" si="133"/>
        <v>22/23</v>
      </c>
      <c r="B858" s="566" t="s">
        <v>162</v>
      </c>
      <c r="C858" s="567" t="str">
        <f t="shared" ca="1" si="134"/>
        <v>Green Star - Education</v>
      </c>
      <c r="D858" s="958">
        <v>1</v>
      </c>
      <c r="E858" s="959" t="s">
        <v>367</v>
      </c>
      <c r="F858" s="558" t="s">
        <v>1488</v>
      </c>
      <c r="G858" s="558">
        <v>148</v>
      </c>
      <c r="H858" s="558" t="s">
        <v>1207</v>
      </c>
      <c r="I858" s="559" t="s">
        <v>1210</v>
      </c>
      <c r="J858" s="567" t="s">
        <v>1567</v>
      </c>
      <c r="K858" s="961" t="s">
        <v>1568</v>
      </c>
      <c r="L858" s="555" t="str">
        <f t="shared" ca="1" si="138"/>
        <v/>
      </c>
      <c r="M858" s="494" t="s">
        <v>1569</v>
      </c>
      <c r="N858" s="555" t="str">
        <f t="shared" ca="1" si="139"/>
        <v/>
      </c>
      <c r="O858" s="494" t="s">
        <v>1570</v>
      </c>
      <c r="P858" s="555" t="str">
        <f t="shared" ca="1" si="140"/>
        <v/>
      </c>
      <c r="Q858" s="494" t="s">
        <v>1571</v>
      </c>
      <c r="R858" s="494" t="str">
        <f t="shared" si="144"/>
        <v>I858</v>
      </c>
      <c r="S858" s="494" t="s">
        <v>1575</v>
      </c>
      <c r="T858" s="494">
        <v>6</v>
      </c>
      <c r="U858" s="556" t="str">
        <f t="shared" ca="1" si="136"/>
        <v/>
      </c>
      <c r="V858" s="494">
        <v>7</v>
      </c>
      <c r="W858" s="556" t="str">
        <f t="shared" ca="1" si="137"/>
        <v/>
      </c>
      <c r="X858" s="494" t="s">
        <v>170</v>
      </c>
      <c r="Y858" s="547" t="str">
        <f t="shared" ca="1" si="141"/>
        <v/>
      </c>
      <c r="Z858" s="494" t="s">
        <v>1573</v>
      </c>
      <c r="AA858" s="547" t="str">
        <f t="shared" ca="1" si="142"/>
        <v/>
      </c>
      <c r="AB858" s="494" t="s">
        <v>1574</v>
      </c>
      <c r="AC858" s="547" t="str">
        <f t="shared" ca="1" si="143"/>
        <v/>
      </c>
      <c r="AD858" s="557"/>
      <c r="AE858" s="958"/>
    </row>
    <row r="859" spans="1:31" ht="15" customHeight="1">
      <c r="A859" s="957" t="str">
        <f t="shared" ref="A859:A878" ca="1" si="145">IF(N859="Design Review",22,IF(N859="As Built",23,"22/23"))</f>
        <v>22/23</v>
      </c>
      <c r="B859" s="566" t="s">
        <v>162</v>
      </c>
      <c r="C859" s="567" t="str">
        <f t="shared" ref="C859:C878" ca="1" si="146">IF(L859="Design Review","Green Star - Education Design",IF(L859="As Built","Green Star - Education As Built","Green Star - Education"))</f>
        <v>Green Star - Education</v>
      </c>
      <c r="D859" s="958">
        <v>1</v>
      </c>
      <c r="E859" s="959" t="s">
        <v>367</v>
      </c>
      <c r="F859" s="558" t="s">
        <v>1488</v>
      </c>
      <c r="G859" s="558">
        <v>89</v>
      </c>
      <c r="H859" s="558" t="s">
        <v>1211</v>
      </c>
      <c r="I859" s="559" t="s">
        <v>991</v>
      </c>
      <c r="J859" s="567" t="s">
        <v>1567</v>
      </c>
      <c r="K859" s="961" t="s">
        <v>1568</v>
      </c>
      <c r="L859" s="555" t="str">
        <f t="shared" ca="1" si="138"/>
        <v/>
      </c>
      <c r="M859" s="494" t="s">
        <v>1569</v>
      </c>
      <c r="N859" s="555" t="str">
        <f t="shared" ca="1" si="139"/>
        <v/>
      </c>
      <c r="O859" s="494" t="s">
        <v>1570</v>
      </c>
      <c r="P859" s="555" t="str">
        <f t="shared" ca="1" si="140"/>
        <v/>
      </c>
      <c r="Q859" s="494" t="s">
        <v>1571</v>
      </c>
      <c r="R859" s="494" t="str">
        <f>CONCATENATE("I",ROW(J859))</f>
        <v>I859</v>
      </c>
      <c r="S859" s="494" t="s">
        <v>1572</v>
      </c>
      <c r="T859" s="494">
        <v>6</v>
      </c>
      <c r="U859" s="556" t="str">
        <f t="shared" ca="1" si="136"/>
        <v/>
      </c>
      <c r="V859" s="494">
        <v>7</v>
      </c>
      <c r="W859" s="556" t="str">
        <f t="shared" ca="1" si="137"/>
        <v/>
      </c>
      <c r="X859" s="494" t="s">
        <v>170</v>
      </c>
      <c r="Y859" s="547" t="str">
        <f t="shared" ca="1" si="141"/>
        <v/>
      </c>
      <c r="Z859" s="494" t="s">
        <v>1573</v>
      </c>
      <c r="AA859" s="547" t="str">
        <f t="shared" ca="1" si="142"/>
        <v/>
      </c>
      <c r="AB859" s="494" t="s">
        <v>1574</v>
      </c>
      <c r="AC859" s="547" t="str">
        <f t="shared" ca="1" si="143"/>
        <v/>
      </c>
      <c r="AD859" s="557"/>
      <c r="AE859" s="958"/>
    </row>
    <row r="860" spans="1:31" ht="15" customHeight="1">
      <c r="A860" s="957" t="str">
        <f t="shared" ca="1" si="145"/>
        <v>22/23</v>
      </c>
      <c r="B860" s="566" t="s">
        <v>162</v>
      </c>
      <c r="C860" s="567" t="str">
        <f t="shared" ca="1" si="146"/>
        <v>Green Star - Education</v>
      </c>
      <c r="D860" s="958">
        <v>1</v>
      </c>
      <c r="E860" s="959" t="s">
        <v>367</v>
      </c>
      <c r="F860" s="558" t="s">
        <v>1488</v>
      </c>
      <c r="G860" s="558">
        <v>96</v>
      </c>
      <c r="H860" s="558" t="s">
        <v>1212</v>
      </c>
      <c r="I860" s="559" t="s">
        <v>1213</v>
      </c>
      <c r="J860" s="567" t="s">
        <v>1567</v>
      </c>
      <c r="K860" s="961" t="s">
        <v>1568</v>
      </c>
      <c r="L860" s="555" t="str">
        <f t="shared" ca="1" si="138"/>
        <v/>
      </c>
      <c r="M860" s="494" t="s">
        <v>1569</v>
      </c>
      <c r="N860" s="555" t="str">
        <f t="shared" ca="1" si="139"/>
        <v/>
      </c>
      <c r="O860" s="494" t="s">
        <v>1570</v>
      </c>
      <c r="P860" s="555" t="str">
        <f t="shared" ca="1" si="140"/>
        <v/>
      </c>
      <c r="Q860" s="494" t="s">
        <v>1571</v>
      </c>
      <c r="R860" s="494" t="str">
        <f>CONCATENATE("I",ROW(J860))</f>
        <v>I860</v>
      </c>
      <c r="S860" s="494" t="s">
        <v>1572</v>
      </c>
      <c r="T860" s="494">
        <v>6</v>
      </c>
      <c r="U860" s="556" t="str">
        <f t="shared" ca="1" si="136"/>
        <v/>
      </c>
      <c r="V860" s="494">
        <v>7</v>
      </c>
      <c r="W860" s="556" t="str">
        <f t="shared" ca="1" si="137"/>
        <v/>
      </c>
      <c r="X860" s="494" t="s">
        <v>170</v>
      </c>
      <c r="Y860" s="547" t="str">
        <f t="shared" ca="1" si="141"/>
        <v/>
      </c>
      <c r="Z860" s="494" t="s">
        <v>1573</v>
      </c>
      <c r="AA860" s="547" t="str">
        <f t="shared" ca="1" si="142"/>
        <v/>
      </c>
      <c r="AB860" s="494" t="s">
        <v>1574</v>
      </c>
      <c r="AC860" s="547" t="str">
        <f t="shared" ca="1" si="143"/>
        <v/>
      </c>
      <c r="AD860" s="557"/>
      <c r="AE860" s="958"/>
    </row>
    <row r="861" spans="1:31" ht="15" customHeight="1">
      <c r="A861" s="957" t="str">
        <f t="shared" ca="1" si="145"/>
        <v>22/23</v>
      </c>
      <c r="B861" s="566" t="s">
        <v>162</v>
      </c>
      <c r="C861" s="567" t="str">
        <f t="shared" ca="1" si="146"/>
        <v>Green Star - Education</v>
      </c>
      <c r="D861" s="958">
        <v>1</v>
      </c>
      <c r="E861" s="959" t="s">
        <v>367</v>
      </c>
      <c r="F861" s="558" t="s">
        <v>1488</v>
      </c>
      <c r="G861" s="558">
        <v>181</v>
      </c>
      <c r="H861" s="558" t="s">
        <v>1214</v>
      </c>
      <c r="I861" s="559" t="s">
        <v>1215</v>
      </c>
      <c r="J861" s="567" t="s">
        <v>1567</v>
      </c>
      <c r="K861" s="961" t="s">
        <v>1568</v>
      </c>
      <c r="L861" s="555" t="str">
        <f t="shared" ca="1" si="138"/>
        <v/>
      </c>
      <c r="M861" s="494" t="s">
        <v>1569</v>
      </c>
      <c r="N861" s="555" t="str">
        <f t="shared" ca="1" si="139"/>
        <v/>
      </c>
      <c r="O861" s="494" t="s">
        <v>1570</v>
      </c>
      <c r="P861" s="555" t="str">
        <f t="shared" ca="1" si="140"/>
        <v/>
      </c>
      <c r="Q861" s="494" t="s">
        <v>1571</v>
      </c>
      <c r="R861" s="494" t="str">
        <f>CONCATENATE("I",ROW(J861))</f>
        <v>I861</v>
      </c>
      <c r="S861" s="494" t="s">
        <v>1572</v>
      </c>
      <c r="T861" s="494">
        <v>6</v>
      </c>
      <c r="U861" s="556" t="str">
        <f t="shared" ca="1" si="136"/>
        <v/>
      </c>
      <c r="V861" s="494">
        <v>7</v>
      </c>
      <c r="W861" s="556" t="str">
        <f t="shared" ca="1" si="137"/>
        <v/>
      </c>
      <c r="X861" s="494" t="s">
        <v>170</v>
      </c>
      <c r="Y861" s="547" t="str">
        <f t="shared" ca="1" si="141"/>
        <v/>
      </c>
      <c r="Z861" s="494" t="s">
        <v>1573</v>
      </c>
      <c r="AA861" s="547" t="str">
        <f t="shared" ca="1" si="142"/>
        <v/>
      </c>
      <c r="AB861" s="494" t="s">
        <v>1574</v>
      </c>
      <c r="AC861" s="547" t="str">
        <f t="shared" ca="1" si="143"/>
        <v/>
      </c>
      <c r="AD861" s="557"/>
      <c r="AE861" s="958"/>
    </row>
    <row r="862" spans="1:31" ht="15" customHeight="1">
      <c r="A862" s="957" t="str">
        <f t="shared" ca="1" si="145"/>
        <v>22/23</v>
      </c>
      <c r="B862" s="566" t="s">
        <v>162</v>
      </c>
      <c r="C862" s="567" t="str">
        <f t="shared" ca="1" si="146"/>
        <v>Green Star - Education</v>
      </c>
      <c r="D862" s="958">
        <v>1</v>
      </c>
      <c r="E862" s="959" t="s">
        <v>396</v>
      </c>
      <c r="F862" s="558" t="s">
        <v>1498</v>
      </c>
      <c r="G862" s="558">
        <v>149</v>
      </c>
      <c r="H862" s="558" t="s">
        <v>1577</v>
      </c>
      <c r="I862" s="559" t="s">
        <v>1219</v>
      </c>
      <c r="J862" s="567" t="s">
        <v>1567</v>
      </c>
      <c r="K862" s="961" t="s">
        <v>1568</v>
      </c>
      <c r="L862" s="555" t="str">
        <f t="shared" ca="1" si="138"/>
        <v/>
      </c>
      <c r="M862" s="494" t="s">
        <v>1569</v>
      </c>
      <c r="N862" s="555" t="str">
        <f t="shared" ca="1" si="139"/>
        <v/>
      </c>
      <c r="O862" s="494" t="s">
        <v>1570</v>
      </c>
      <c r="P862" s="555" t="str">
        <f t="shared" ca="1" si="140"/>
        <v/>
      </c>
      <c r="Q862" s="494" t="s">
        <v>1571</v>
      </c>
      <c r="R862" s="494" t="str">
        <f t="shared" si="144"/>
        <v>I862</v>
      </c>
      <c r="S862" s="494" t="s">
        <v>1572</v>
      </c>
      <c r="T862" s="494">
        <v>6</v>
      </c>
      <c r="U862" s="556" t="str">
        <f t="shared" ca="1" si="136"/>
        <v/>
      </c>
      <c r="V862" s="494">
        <v>7</v>
      </c>
      <c r="W862" s="556" t="str">
        <f t="shared" ca="1" si="137"/>
        <v/>
      </c>
      <c r="X862" s="494" t="s">
        <v>170</v>
      </c>
      <c r="Y862" s="547" t="str">
        <f t="shared" ca="1" si="141"/>
        <v/>
      </c>
      <c r="Z862" s="494" t="s">
        <v>1573</v>
      </c>
      <c r="AA862" s="547" t="str">
        <f t="shared" ca="1" si="142"/>
        <v/>
      </c>
      <c r="AB862" s="494" t="s">
        <v>1574</v>
      </c>
      <c r="AC862" s="547" t="str">
        <f t="shared" ca="1" si="143"/>
        <v/>
      </c>
      <c r="AD862" s="557"/>
      <c r="AE862" s="958"/>
    </row>
    <row r="863" spans="1:31" ht="15" customHeight="1">
      <c r="A863" s="957" t="str">
        <f t="shared" ca="1" si="145"/>
        <v>22/23</v>
      </c>
      <c r="B863" s="566" t="s">
        <v>162</v>
      </c>
      <c r="C863" s="567" t="str">
        <f t="shared" ca="1" si="146"/>
        <v>Green Star - Education</v>
      </c>
      <c r="D863" s="958">
        <v>1</v>
      </c>
      <c r="E863" s="959" t="s">
        <v>396</v>
      </c>
      <c r="F863" s="558" t="s">
        <v>1498</v>
      </c>
      <c r="G863" s="558">
        <v>150</v>
      </c>
      <c r="H863" s="558" t="s">
        <v>1039</v>
      </c>
      <c r="I863" s="559" t="s">
        <v>1220</v>
      </c>
      <c r="J863" s="567" t="s">
        <v>1567</v>
      </c>
      <c r="K863" s="961" t="s">
        <v>1568</v>
      </c>
      <c r="L863" s="555" t="str">
        <f t="shared" ca="1" si="138"/>
        <v/>
      </c>
      <c r="M863" s="494" t="s">
        <v>1569</v>
      </c>
      <c r="N863" s="555" t="str">
        <f t="shared" ca="1" si="139"/>
        <v/>
      </c>
      <c r="O863" s="494" t="s">
        <v>1570</v>
      </c>
      <c r="P863" s="555" t="str">
        <f t="shared" ca="1" si="140"/>
        <v/>
      </c>
      <c r="Q863" s="494" t="s">
        <v>1571</v>
      </c>
      <c r="R863" s="494" t="str">
        <f t="shared" si="144"/>
        <v>I863</v>
      </c>
      <c r="S863" s="494" t="s">
        <v>1572</v>
      </c>
      <c r="T863" s="494">
        <v>6</v>
      </c>
      <c r="U863" s="556" t="str">
        <f t="shared" ca="1" si="136"/>
        <v/>
      </c>
      <c r="V863" s="494">
        <v>7</v>
      </c>
      <c r="W863" s="556" t="str">
        <f t="shared" ca="1" si="137"/>
        <v/>
      </c>
      <c r="X863" s="494" t="s">
        <v>170</v>
      </c>
      <c r="Y863" s="547" t="str">
        <f t="shared" ca="1" si="141"/>
        <v/>
      </c>
      <c r="Z863" s="494" t="s">
        <v>1573</v>
      </c>
      <c r="AA863" s="547" t="str">
        <f t="shared" ca="1" si="142"/>
        <v/>
      </c>
      <c r="AB863" s="494" t="s">
        <v>1574</v>
      </c>
      <c r="AC863" s="547" t="str">
        <f t="shared" ca="1" si="143"/>
        <v/>
      </c>
      <c r="AD863" s="557"/>
      <c r="AE863" s="958"/>
    </row>
    <row r="864" spans="1:31" ht="15" customHeight="1">
      <c r="A864" s="957" t="str">
        <f t="shared" ca="1" si="145"/>
        <v>22/23</v>
      </c>
      <c r="B864" s="566" t="s">
        <v>162</v>
      </c>
      <c r="C864" s="567" t="str">
        <f t="shared" ca="1" si="146"/>
        <v>Green Star - Education</v>
      </c>
      <c r="D864" s="958">
        <v>1</v>
      </c>
      <c r="E864" s="959" t="s">
        <v>396</v>
      </c>
      <c r="F864" s="558" t="s">
        <v>1498</v>
      </c>
      <c r="G864" s="558">
        <v>35</v>
      </c>
      <c r="H864" s="558" t="s">
        <v>1045</v>
      </c>
      <c r="I864" s="559" t="s">
        <v>1221</v>
      </c>
      <c r="J864" s="567" t="s">
        <v>1567</v>
      </c>
      <c r="K864" s="961" t="s">
        <v>1568</v>
      </c>
      <c r="L864" s="555" t="str">
        <f t="shared" ca="1" si="138"/>
        <v/>
      </c>
      <c r="M864" s="494" t="s">
        <v>1569</v>
      </c>
      <c r="N864" s="555" t="str">
        <f t="shared" ca="1" si="139"/>
        <v/>
      </c>
      <c r="O864" s="494" t="s">
        <v>1570</v>
      </c>
      <c r="P864" s="555" t="str">
        <f t="shared" ca="1" si="140"/>
        <v/>
      </c>
      <c r="Q864" s="494" t="s">
        <v>1571</v>
      </c>
      <c r="R864" s="494" t="str">
        <f t="shared" si="144"/>
        <v>I864</v>
      </c>
      <c r="S864" s="494" t="s">
        <v>1572</v>
      </c>
      <c r="T864" s="494">
        <v>6</v>
      </c>
      <c r="U864" s="556" t="str">
        <f t="shared" ca="1" si="136"/>
        <v/>
      </c>
      <c r="V864" s="494">
        <v>7</v>
      </c>
      <c r="W864" s="556" t="str">
        <f t="shared" ca="1" si="137"/>
        <v/>
      </c>
      <c r="X864" s="494" t="s">
        <v>170</v>
      </c>
      <c r="Y864" s="547" t="str">
        <f t="shared" ca="1" si="141"/>
        <v/>
      </c>
      <c r="Z864" s="494" t="s">
        <v>1573</v>
      </c>
      <c r="AA864" s="547" t="str">
        <f t="shared" ca="1" si="142"/>
        <v/>
      </c>
      <c r="AB864" s="494" t="s">
        <v>1574</v>
      </c>
      <c r="AC864" s="547" t="str">
        <f t="shared" ca="1" si="143"/>
        <v/>
      </c>
      <c r="AD864" s="557"/>
      <c r="AE864" s="958"/>
    </row>
    <row r="865" spans="1:31" ht="15" customHeight="1">
      <c r="A865" s="957" t="str">
        <f t="shared" ca="1" si="145"/>
        <v>22/23</v>
      </c>
      <c r="B865" s="566" t="s">
        <v>162</v>
      </c>
      <c r="C865" s="567" t="str">
        <f t="shared" ca="1" si="146"/>
        <v>Green Star - Education</v>
      </c>
      <c r="D865" s="958">
        <v>1</v>
      </c>
      <c r="E865" s="959" t="s">
        <v>396</v>
      </c>
      <c r="F865" s="558" t="s">
        <v>1498</v>
      </c>
      <c r="G865" s="558">
        <v>37</v>
      </c>
      <c r="H865" s="558" t="s">
        <v>1046</v>
      </c>
      <c r="I865" s="559" t="s">
        <v>1222</v>
      </c>
      <c r="J865" s="567" t="s">
        <v>1567</v>
      </c>
      <c r="K865" s="961" t="s">
        <v>1568</v>
      </c>
      <c r="L865" s="555" t="str">
        <f t="shared" ca="1" si="138"/>
        <v/>
      </c>
      <c r="M865" s="494" t="s">
        <v>1569</v>
      </c>
      <c r="N865" s="555" t="str">
        <f t="shared" ca="1" si="139"/>
        <v/>
      </c>
      <c r="O865" s="494" t="s">
        <v>1570</v>
      </c>
      <c r="P865" s="555" t="str">
        <f t="shared" ca="1" si="140"/>
        <v/>
      </c>
      <c r="Q865" s="494" t="s">
        <v>1571</v>
      </c>
      <c r="R865" s="494" t="str">
        <f t="shared" si="144"/>
        <v>I865</v>
      </c>
      <c r="S865" s="494" t="s">
        <v>1572</v>
      </c>
      <c r="T865" s="494">
        <v>6</v>
      </c>
      <c r="U865" s="556" t="str">
        <f t="shared" ca="1" si="136"/>
        <v/>
      </c>
      <c r="V865" s="494">
        <v>7</v>
      </c>
      <c r="W865" s="556" t="str">
        <f t="shared" ca="1" si="137"/>
        <v/>
      </c>
      <c r="X865" s="494" t="s">
        <v>170</v>
      </c>
      <c r="Y865" s="547" t="str">
        <f t="shared" ca="1" si="141"/>
        <v/>
      </c>
      <c r="Z865" s="494" t="s">
        <v>1573</v>
      </c>
      <c r="AA865" s="547" t="str">
        <f t="shared" ca="1" si="142"/>
        <v/>
      </c>
      <c r="AB865" s="494" t="s">
        <v>1574</v>
      </c>
      <c r="AC865" s="547" t="str">
        <f t="shared" ca="1" si="143"/>
        <v/>
      </c>
      <c r="AD865" s="557"/>
      <c r="AE865" s="958"/>
    </row>
    <row r="866" spans="1:31" ht="15" customHeight="1">
      <c r="A866" s="957" t="str">
        <f t="shared" ca="1" si="145"/>
        <v>22/23</v>
      </c>
      <c r="B866" s="566" t="s">
        <v>162</v>
      </c>
      <c r="C866" s="567" t="str">
        <f t="shared" ca="1" si="146"/>
        <v>Green Star - Education</v>
      </c>
      <c r="D866" s="958">
        <v>1</v>
      </c>
      <c r="E866" s="959" t="s">
        <v>396</v>
      </c>
      <c r="F866" s="558" t="s">
        <v>1498</v>
      </c>
      <c r="G866" s="558">
        <v>39</v>
      </c>
      <c r="H866" s="558" t="s">
        <v>1047</v>
      </c>
      <c r="I866" s="559" t="s">
        <v>783</v>
      </c>
      <c r="J866" s="567" t="s">
        <v>1567</v>
      </c>
      <c r="K866" s="961" t="s">
        <v>1568</v>
      </c>
      <c r="L866" s="555" t="str">
        <f t="shared" ca="1" si="138"/>
        <v/>
      </c>
      <c r="M866" s="494" t="s">
        <v>1569</v>
      </c>
      <c r="N866" s="555" t="str">
        <f t="shared" ca="1" si="139"/>
        <v/>
      </c>
      <c r="O866" s="494" t="s">
        <v>1570</v>
      </c>
      <c r="P866" s="555" t="str">
        <f t="shared" ca="1" si="140"/>
        <v/>
      </c>
      <c r="Q866" s="494" t="s">
        <v>1571</v>
      </c>
      <c r="R866" s="494" t="str">
        <f t="shared" si="144"/>
        <v>I866</v>
      </c>
      <c r="S866" s="494" t="s">
        <v>1572</v>
      </c>
      <c r="T866" s="494">
        <v>6</v>
      </c>
      <c r="U866" s="556" t="str">
        <f t="shared" ca="1" si="136"/>
        <v/>
      </c>
      <c r="V866" s="494">
        <v>7</v>
      </c>
      <c r="W866" s="556" t="str">
        <f t="shared" ca="1" si="137"/>
        <v/>
      </c>
      <c r="X866" s="494" t="s">
        <v>170</v>
      </c>
      <c r="Y866" s="547" t="str">
        <f t="shared" ca="1" si="141"/>
        <v/>
      </c>
      <c r="Z866" s="494" t="s">
        <v>1573</v>
      </c>
      <c r="AA866" s="547" t="str">
        <f t="shared" ca="1" si="142"/>
        <v/>
      </c>
      <c r="AB866" s="494" t="s">
        <v>1574</v>
      </c>
      <c r="AC866" s="547" t="str">
        <f t="shared" ca="1" si="143"/>
        <v/>
      </c>
      <c r="AD866" s="557"/>
      <c r="AE866" s="958"/>
    </row>
    <row r="867" spans="1:31" ht="15" customHeight="1">
      <c r="A867" s="957" t="str">
        <f t="shared" ca="1" si="145"/>
        <v>22/23</v>
      </c>
      <c r="B867" s="566" t="s">
        <v>162</v>
      </c>
      <c r="C867" s="567" t="str">
        <f t="shared" ca="1" si="146"/>
        <v>Green Star - Education</v>
      </c>
      <c r="D867" s="958">
        <v>1</v>
      </c>
      <c r="E867" s="959" t="s">
        <v>404</v>
      </c>
      <c r="F867" s="558" t="s">
        <v>1499</v>
      </c>
      <c r="G867" s="558">
        <v>13</v>
      </c>
      <c r="H867" s="558" t="s">
        <v>1223</v>
      </c>
      <c r="I867" s="559" t="s">
        <v>1224</v>
      </c>
      <c r="J867" s="567" t="s">
        <v>1567</v>
      </c>
      <c r="K867" s="961" t="s">
        <v>1568</v>
      </c>
      <c r="L867" s="555" t="str">
        <f t="shared" ca="1" si="138"/>
        <v/>
      </c>
      <c r="M867" s="494" t="s">
        <v>1569</v>
      </c>
      <c r="N867" s="555" t="str">
        <f t="shared" ca="1" si="139"/>
        <v/>
      </c>
      <c r="O867" s="494" t="s">
        <v>1570</v>
      </c>
      <c r="P867" s="555" t="str">
        <f t="shared" ca="1" si="140"/>
        <v/>
      </c>
      <c r="Q867" s="494" t="s">
        <v>1571</v>
      </c>
      <c r="R867" s="494" t="str">
        <f t="shared" si="144"/>
        <v>I867</v>
      </c>
      <c r="S867" s="494" t="s">
        <v>1572</v>
      </c>
      <c r="T867" s="494">
        <v>6</v>
      </c>
      <c r="U867" s="556" t="str">
        <f t="shared" ca="1" si="136"/>
        <v/>
      </c>
      <c r="V867" s="494">
        <v>7</v>
      </c>
      <c r="W867" s="556" t="str">
        <f t="shared" ca="1" si="137"/>
        <v/>
      </c>
      <c r="X867" s="494" t="s">
        <v>170</v>
      </c>
      <c r="Y867" s="547" t="str">
        <f t="shared" ca="1" si="141"/>
        <v/>
      </c>
      <c r="Z867" s="494" t="s">
        <v>1573</v>
      </c>
      <c r="AA867" s="547" t="str">
        <f t="shared" ca="1" si="142"/>
        <v/>
      </c>
      <c r="AB867" s="494" t="s">
        <v>1574</v>
      </c>
      <c r="AC867" s="547" t="str">
        <f t="shared" ca="1" si="143"/>
        <v/>
      </c>
      <c r="AD867" s="557"/>
      <c r="AE867" s="958"/>
    </row>
    <row r="868" spans="1:31" ht="15" customHeight="1">
      <c r="A868" s="957" t="str">
        <f t="shared" ca="1" si="145"/>
        <v>22/23</v>
      </c>
      <c r="B868" s="566" t="s">
        <v>162</v>
      </c>
      <c r="C868" s="567" t="str">
        <f t="shared" ca="1" si="146"/>
        <v>Green Star - Education</v>
      </c>
      <c r="D868" s="958">
        <v>1</v>
      </c>
      <c r="E868" s="959" t="s">
        <v>404</v>
      </c>
      <c r="F868" s="558" t="s">
        <v>1499</v>
      </c>
      <c r="G868" s="558">
        <v>14</v>
      </c>
      <c r="H868" s="558" t="s">
        <v>1225</v>
      </c>
      <c r="I868" s="559" t="s">
        <v>1226</v>
      </c>
      <c r="J868" s="567" t="s">
        <v>1567</v>
      </c>
      <c r="K868" s="961" t="s">
        <v>1568</v>
      </c>
      <c r="L868" s="555" t="str">
        <f t="shared" ca="1" si="138"/>
        <v/>
      </c>
      <c r="M868" s="494" t="s">
        <v>1569</v>
      </c>
      <c r="N868" s="555" t="str">
        <f t="shared" ca="1" si="139"/>
        <v/>
      </c>
      <c r="O868" s="494" t="s">
        <v>1570</v>
      </c>
      <c r="P868" s="555" t="str">
        <f t="shared" ca="1" si="140"/>
        <v/>
      </c>
      <c r="Q868" s="494" t="s">
        <v>1571</v>
      </c>
      <c r="R868" s="494" t="str">
        <f t="shared" si="144"/>
        <v>I868</v>
      </c>
      <c r="S868" s="494" t="s">
        <v>1572</v>
      </c>
      <c r="T868" s="494">
        <v>6</v>
      </c>
      <c r="U868" s="556" t="str">
        <f t="shared" ca="1" si="136"/>
        <v/>
      </c>
      <c r="V868" s="494">
        <v>7</v>
      </c>
      <c r="W868" s="556" t="str">
        <f t="shared" ca="1" si="137"/>
        <v/>
      </c>
      <c r="X868" s="494" t="s">
        <v>170</v>
      </c>
      <c r="Y868" s="547" t="str">
        <f t="shared" ca="1" si="141"/>
        <v/>
      </c>
      <c r="Z868" s="494" t="s">
        <v>1573</v>
      </c>
      <c r="AA868" s="547" t="str">
        <f t="shared" ca="1" si="142"/>
        <v/>
      </c>
      <c r="AB868" s="494" t="s">
        <v>1574</v>
      </c>
      <c r="AC868" s="547" t="str">
        <f t="shared" ca="1" si="143"/>
        <v/>
      </c>
      <c r="AD868" s="557"/>
      <c r="AE868" s="958"/>
    </row>
    <row r="869" spans="1:31" ht="15" customHeight="1">
      <c r="A869" s="957" t="str">
        <f t="shared" ca="1" si="145"/>
        <v>22/23</v>
      </c>
      <c r="B869" s="566" t="s">
        <v>162</v>
      </c>
      <c r="C869" s="567" t="str">
        <f t="shared" ca="1" si="146"/>
        <v>Green Star - Education</v>
      </c>
      <c r="D869" s="958">
        <v>1</v>
      </c>
      <c r="E869" s="959" t="s">
        <v>404</v>
      </c>
      <c r="F869" s="558" t="s">
        <v>1499</v>
      </c>
      <c r="G869" s="558">
        <v>151</v>
      </c>
      <c r="H869" s="558" t="s">
        <v>1227</v>
      </c>
      <c r="I869" s="559" t="s">
        <v>1228</v>
      </c>
      <c r="J869" s="567" t="s">
        <v>1567</v>
      </c>
      <c r="K869" s="961" t="s">
        <v>1568</v>
      </c>
      <c r="L869" s="555" t="str">
        <f t="shared" ca="1" si="138"/>
        <v/>
      </c>
      <c r="M869" s="494" t="s">
        <v>1569</v>
      </c>
      <c r="N869" s="555" t="str">
        <f t="shared" ca="1" si="139"/>
        <v/>
      </c>
      <c r="O869" s="494" t="s">
        <v>1570</v>
      </c>
      <c r="P869" s="555" t="str">
        <f t="shared" ca="1" si="140"/>
        <v/>
      </c>
      <c r="Q869" s="494" t="s">
        <v>1571</v>
      </c>
      <c r="R869" s="494" t="str">
        <f t="shared" si="144"/>
        <v>I869</v>
      </c>
      <c r="S869" s="494" t="s">
        <v>1572</v>
      </c>
      <c r="T869" s="494">
        <v>6</v>
      </c>
      <c r="U869" s="556" t="str">
        <f t="shared" ca="1" si="136"/>
        <v/>
      </c>
      <c r="V869" s="494">
        <v>7</v>
      </c>
      <c r="W869" s="556" t="str">
        <f t="shared" ca="1" si="137"/>
        <v/>
      </c>
      <c r="X869" s="494" t="s">
        <v>170</v>
      </c>
      <c r="Y869" s="547" t="str">
        <f t="shared" ca="1" si="141"/>
        <v/>
      </c>
      <c r="Z869" s="494" t="s">
        <v>1573</v>
      </c>
      <c r="AA869" s="547" t="str">
        <f t="shared" ca="1" si="142"/>
        <v/>
      </c>
      <c r="AB869" s="494" t="s">
        <v>1574</v>
      </c>
      <c r="AC869" s="547" t="str">
        <f t="shared" ca="1" si="143"/>
        <v/>
      </c>
      <c r="AD869" s="557"/>
      <c r="AE869" s="958"/>
    </row>
    <row r="870" spans="1:31" ht="15" customHeight="1">
      <c r="A870" s="957" t="str">
        <f t="shared" ca="1" si="145"/>
        <v>22/23</v>
      </c>
      <c r="B870" s="566" t="s">
        <v>162</v>
      </c>
      <c r="C870" s="567" t="str">
        <f t="shared" ca="1" si="146"/>
        <v>Green Star - Education</v>
      </c>
      <c r="D870" s="958">
        <v>1</v>
      </c>
      <c r="E870" s="959" t="s">
        <v>404</v>
      </c>
      <c r="F870" s="558" t="s">
        <v>1499</v>
      </c>
      <c r="G870" s="558">
        <v>27</v>
      </c>
      <c r="H870" s="558" t="s">
        <v>1229</v>
      </c>
      <c r="I870" s="559" t="s">
        <v>1230</v>
      </c>
      <c r="J870" s="567" t="s">
        <v>1567</v>
      </c>
      <c r="K870" s="961" t="s">
        <v>1568</v>
      </c>
      <c r="L870" s="555" t="str">
        <f t="shared" ca="1" si="138"/>
        <v/>
      </c>
      <c r="M870" s="494" t="s">
        <v>1569</v>
      </c>
      <c r="N870" s="555" t="str">
        <f t="shared" ca="1" si="139"/>
        <v/>
      </c>
      <c r="O870" s="494" t="s">
        <v>1570</v>
      </c>
      <c r="P870" s="555" t="str">
        <f t="shared" ca="1" si="140"/>
        <v/>
      </c>
      <c r="Q870" s="494" t="s">
        <v>1571</v>
      </c>
      <c r="R870" s="494" t="str">
        <f t="shared" si="144"/>
        <v>I870</v>
      </c>
      <c r="S870" s="494" t="s">
        <v>1572</v>
      </c>
      <c r="T870" s="494">
        <v>6</v>
      </c>
      <c r="U870" s="556" t="str">
        <f t="shared" ca="1" si="136"/>
        <v/>
      </c>
      <c r="V870" s="494">
        <v>7</v>
      </c>
      <c r="W870" s="556" t="str">
        <f t="shared" ca="1" si="137"/>
        <v/>
      </c>
      <c r="X870" s="494" t="s">
        <v>170</v>
      </c>
      <c r="Y870" s="547" t="str">
        <f t="shared" ca="1" si="141"/>
        <v/>
      </c>
      <c r="Z870" s="494" t="s">
        <v>1573</v>
      </c>
      <c r="AA870" s="547" t="str">
        <f t="shared" ca="1" si="142"/>
        <v/>
      </c>
      <c r="AB870" s="494" t="s">
        <v>1574</v>
      </c>
      <c r="AC870" s="547" t="str">
        <f t="shared" ca="1" si="143"/>
        <v/>
      </c>
      <c r="AD870" s="557"/>
      <c r="AE870" s="958"/>
    </row>
    <row r="871" spans="1:31" ht="15" customHeight="1">
      <c r="A871" s="957" t="str">
        <f t="shared" ca="1" si="145"/>
        <v>22/23</v>
      </c>
      <c r="B871" s="566" t="s">
        <v>162</v>
      </c>
      <c r="C871" s="567" t="str">
        <f t="shared" ca="1" si="146"/>
        <v>Green Star - Education</v>
      </c>
      <c r="D871" s="958">
        <v>1</v>
      </c>
      <c r="E871" s="959" t="s">
        <v>404</v>
      </c>
      <c r="F871" s="558" t="s">
        <v>1499</v>
      </c>
      <c r="G871" s="558">
        <v>873</v>
      </c>
      <c r="H871" s="558" t="s">
        <v>1231</v>
      </c>
      <c r="I871" s="559" t="s">
        <v>1232</v>
      </c>
      <c r="J871" s="567" t="s">
        <v>1567</v>
      </c>
      <c r="K871" s="961" t="s">
        <v>1568</v>
      </c>
      <c r="L871" s="555" t="str">
        <f t="shared" ca="1" si="138"/>
        <v/>
      </c>
      <c r="M871" s="494" t="s">
        <v>1569</v>
      </c>
      <c r="N871" s="555" t="str">
        <f t="shared" ca="1" si="139"/>
        <v/>
      </c>
      <c r="O871" s="494" t="s">
        <v>1570</v>
      </c>
      <c r="P871" s="555" t="str">
        <f t="shared" ca="1" si="140"/>
        <v/>
      </c>
      <c r="Q871" s="494" t="s">
        <v>1571</v>
      </c>
      <c r="R871" s="494" t="str">
        <f t="shared" si="144"/>
        <v>I871</v>
      </c>
      <c r="S871" s="494" t="s">
        <v>1572</v>
      </c>
      <c r="T871" s="494">
        <v>6</v>
      </c>
      <c r="U871" s="556" t="str">
        <f t="shared" ca="1" si="136"/>
        <v/>
      </c>
      <c r="V871" s="494">
        <v>7</v>
      </c>
      <c r="W871" s="556" t="str">
        <f t="shared" ca="1" si="137"/>
        <v/>
      </c>
      <c r="X871" s="494" t="s">
        <v>170</v>
      </c>
      <c r="Y871" s="547" t="str">
        <f t="shared" ca="1" si="141"/>
        <v/>
      </c>
      <c r="Z871" s="494" t="s">
        <v>1573</v>
      </c>
      <c r="AA871" s="547" t="str">
        <f t="shared" ca="1" si="142"/>
        <v/>
      </c>
      <c r="AB871" s="494" t="s">
        <v>1574</v>
      </c>
      <c r="AC871" s="547" t="str">
        <f t="shared" ca="1" si="143"/>
        <v/>
      </c>
      <c r="AD871" s="557"/>
      <c r="AE871" s="958"/>
    </row>
    <row r="872" spans="1:31" ht="15" customHeight="1">
      <c r="A872" s="957" t="str">
        <f t="shared" ca="1" si="145"/>
        <v>22/23</v>
      </c>
      <c r="B872" s="566" t="s">
        <v>162</v>
      </c>
      <c r="C872" s="567" t="str">
        <f t="shared" ca="1" si="146"/>
        <v>Green Star - Education</v>
      </c>
      <c r="D872" s="958">
        <v>1</v>
      </c>
      <c r="E872" s="959" t="s">
        <v>404</v>
      </c>
      <c r="F872" s="558" t="s">
        <v>1499</v>
      </c>
      <c r="G872" s="558">
        <v>152</v>
      </c>
      <c r="H872" s="558" t="s">
        <v>1233</v>
      </c>
      <c r="I872" s="559" t="s">
        <v>1235</v>
      </c>
      <c r="J872" s="567" t="s">
        <v>1567</v>
      </c>
      <c r="K872" s="961" t="s">
        <v>1568</v>
      </c>
      <c r="L872" s="555" t="str">
        <f t="shared" ca="1" si="138"/>
        <v/>
      </c>
      <c r="M872" s="494" t="s">
        <v>1569</v>
      </c>
      <c r="N872" s="555" t="str">
        <f t="shared" ca="1" si="139"/>
        <v/>
      </c>
      <c r="O872" s="494" t="s">
        <v>1570</v>
      </c>
      <c r="P872" s="555" t="str">
        <f t="shared" ca="1" si="140"/>
        <v/>
      </c>
      <c r="Q872" s="494" t="s">
        <v>1571</v>
      </c>
      <c r="R872" s="494" t="str">
        <f t="shared" si="144"/>
        <v>I872</v>
      </c>
      <c r="S872" s="494" t="s">
        <v>1575</v>
      </c>
      <c r="T872" s="494">
        <v>6</v>
      </c>
      <c r="U872" s="556" t="str">
        <f t="shared" ca="1" si="136"/>
        <v/>
      </c>
      <c r="V872" s="494">
        <v>7</v>
      </c>
      <c r="W872" s="556" t="str">
        <f t="shared" ca="1" si="137"/>
        <v/>
      </c>
      <c r="X872" s="494" t="s">
        <v>170</v>
      </c>
      <c r="Y872" s="547" t="str">
        <f t="shared" ca="1" si="141"/>
        <v/>
      </c>
      <c r="Z872" s="494" t="s">
        <v>1573</v>
      </c>
      <c r="AA872" s="547" t="str">
        <f t="shared" ca="1" si="142"/>
        <v/>
      </c>
      <c r="AB872" s="494" t="s">
        <v>1574</v>
      </c>
      <c r="AC872" s="547" t="str">
        <f t="shared" ca="1" si="143"/>
        <v/>
      </c>
      <c r="AD872" s="557"/>
      <c r="AE872" s="958"/>
    </row>
    <row r="873" spans="1:31" ht="15" customHeight="1">
      <c r="A873" s="957" t="str">
        <f t="shared" ca="1" si="145"/>
        <v>22/23</v>
      </c>
      <c r="B873" s="566" t="s">
        <v>162</v>
      </c>
      <c r="C873" s="567" t="str">
        <f t="shared" ca="1" si="146"/>
        <v>Green Star - Education</v>
      </c>
      <c r="D873" s="958">
        <v>1</v>
      </c>
      <c r="E873" s="959" t="s">
        <v>404</v>
      </c>
      <c r="F873" s="558" t="s">
        <v>1499</v>
      </c>
      <c r="G873" s="558">
        <v>152</v>
      </c>
      <c r="H873" s="558" t="s">
        <v>1233</v>
      </c>
      <c r="I873" s="559" t="s">
        <v>1236</v>
      </c>
      <c r="J873" s="567" t="s">
        <v>1567</v>
      </c>
      <c r="K873" s="961" t="s">
        <v>1568</v>
      </c>
      <c r="L873" s="555" t="str">
        <f t="shared" ca="1" si="138"/>
        <v/>
      </c>
      <c r="M873" s="494" t="s">
        <v>1569</v>
      </c>
      <c r="N873" s="555" t="str">
        <f t="shared" ca="1" si="139"/>
        <v/>
      </c>
      <c r="O873" s="494" t="s">
        <v>1570</v>
      </c>
      <c r="P873" s="555" t="str">
        <f t="shared" ca="1" si="140"/>
        <v/>
      </c>
      <c r="Q873" s="494" t="s">
        <v>1571</v>
      </c>
      <c r="R873" s="494" t="str">
        <f t="shared" si="144"/>
        <v>I873</v>
      </c>
      <c r="S873" s="494" t="s">
        <v>1575</v>
      </c>
      <c r="T873" s="494">
        <v>6</v>
      </c>
      <c r="U873" s="556" t="str">
        <f t="shared" ca="1" si="136"/>
        <v/>
      </c>
      <c r="V873" s="494">
        <v>7</v>
      </c>
      <c r="W873" s="556" t="str">
        <f t="shared" ca="1" si="137"/>
        <v/>
      </c>
      <c r="X873" s="494" t="s">
        <v>170</v>
      </c>
      <c r="Y873" s="547" t="str">
        <f t="shared" ca="1" si="141"/>
        <v/>
      </c>
      <c r="Z873" s="494" t="s">
        <v>1573</v>
      </c>
      <c r="AA873" s="547" t="str">
        <f t="shared" ca="1" si="142"/>
        <v/>
      </c>
      <c r="AB873" s="494" t="s">
        <v>1574</v>
      </c>
      <c r="AC873" s="547" t="str">
        <f t="shared" ca="1" si="143"/>
        <v/>
      </c>
      <c r="AD873" s="557"/>
      <c r="AE873" s="958"/>
    </row>
    <row r="874" spans="1:31" ht="15" customHeight="1">
      <c r="A874" s="957" t="str">
        <f t="shared" ca="1" si="145"/>
        <v>22/23</v>
      </c>
      <c r="B874" s="566" t="s">
        <v>162</v>
      </c>
      <c r="C874" s="567" t="str">
        <f t="shared" ca="1" si="146"/>
        <v>Green Star - Education</v>
      </c>
      <c r="D874" s="958">
        <v>1</v>
      </c>
      <c r="E874" s="959" t="s">
        <v>404</v>
      </c>
      <c r="F874" s="558" t="s">
        <v>1499</v>
      </c>
      <c r="G874" s="558">
        <v>22</v>
      </c>
      <c r="H874" s="558" t="s">
        <v>1237</v>
      </c>
      <c r="I874" s="559" t="s">
        <v>409</v>
      </c>
      <c r="J874" s="567" t="s">
        <v>1567</v>
      </c>
      <c r="K874" s="961" t="s">
        <v>1568</v>
      </c>
      <c r="L874" s="555" t="str">
        <f t="shared" ca="1" si="138"/>
        <v/>
      </c>
      <c r="M874" s="494" t="s">
        <v>1569</v>
      </c>
      <c r="N874" s="555" t="str">
        <f t="shared" ca="1" si="139"/>
        <v/>
      </c>
      <c r="O874" s="494" t="s">
        <v>1570</v>
      </c>
      <c r="P874" s="555" t="str">
        <f t="shared" ca="1" si="140"/>
        <v/>
      </c>
      <c r="Q874" s="494" t="s">
        <v>1571</v>
      </c>
      <c r="R874" s="494" t="str">
        <f t="shared" si="144"/>
        <v>I874</v>
      </c>
      <c r="S874" s="494" t="s">
        <v>1572</v>
      </c>
      <c r="T874" s="494">
        <v>6</v>
      </c>
      <c r="U874" s="556" t="str">
        <f t="shared" ca="1" si="136"/>
        <v/>
      </c>
      <c r="V874" s="494">
        <v>7</v>
      </c>
      <c r="W874" s="556" t="str">
        <f t="shared" ca="1" si="137"/>
        <v/>
      </c>
      <c r="X874" s="494" t="s">
        <v>170</v>
      </c>
      <c r="Y874" s="547" t="str">
        <f t="shared" ca="1" si="141"/>
        <v/>
      </c>
      <c r="Z874" s="494" t="s">
        <v>1573</v>
      </c>
      <c r="AA874" s="547" t="str">
        <f t="shared" ca="1" si="142"/>
        <v/>
      </c>
      <c r="AB874" s="494" t="s">
        <v>1574</v>
      </c>
      <c r="AC874" s="547" t="str">
        <f t="shared" ca="1" si="143"/>
        <v/>
      </c>
      <c r="AD874" s="557"/>
      <c r="AE874" s="958"/>
    </row>
    <row r="875" spans="1:31" ht="15" customHeight="1">
      <c r="A875" s="957" t="str">
        <f t="shared" ca="1" si="145"/>
        <v>22/23</v>
      </c>
      <c r="B875" s="566" t="s">
        <v>162</v>
      </c>
      <c r="C875" s="567" t="str">
        <f t="shared" ca="1" si="146"/>
        <v>Green Star - Education</v>
      </c>
      <c r="D875" s="958">
        <v>1</v>
      </c>
      <c r="E875" s="959" t="s">
        <v>404</v>
      </c>
      <c r="F875" s="558" t="s">
        <v>1499</v>
      </c>
      <c r="G875" s="558">
        <v>153</v>
      </c>
      <c r="H875" s="558" t="s">
        <v>1238</v>
      </c>
      <c r="I875" s="559" t="s">
        <v>1239</v>
      </c>
      <c r="J875" s="567" t="s">
        <v>1567</v>
      </c>
      <c r="K875" s="961" t="s">
        <v>1568</v>
      </c>
      <c r="L875" s="555" t="str">
        <f t="shared" ca="1" si="138"/>
        <v/>
      </c>
      <c r="M875" s="494" t="s">
        <v>1569</v>
      </c>
      <c r="N875" s="555" t="str">
        <f t="shared" ca="1" si="139"/>
        <v/>
      </c>
      <c r="O875" s="494" t="s">
        <v>1570</v>
      </c>
      <c r="P875" s="555" t="str">
        <f t="shared" ca="1" si="140"/>
        <v/>
      </c>
      <c r="Q875" s="494" t="s">
        <v>1571</v>
      </c>
      <c r="R875" s="494" t="str">
        <f t="shared" si="144"/>
        <v>I875</v>
      </c>
      <c r="S875" s="494" t="s">
        <v>1572</v>
      </c>
      <c r="T875" s="494">
        <v>6</v>
      </c>
      <c r="U875" s="556" t="str">
        <f t="shared" ca="1" si="136"/>
        <v/>
      </c>
      <c r="V875" s="494">
        <v>7</v>
      </c>
      <c r="W875" s="556" t="str">
        <f t="shared" ca="1" si="137"/>
        <v/>
      </c>
      <c r="X875" s="494" t="s">
        <v>170</v>
      </c>
      <c r="Y875" s="547" t="str">
        <f t="shared" ca="1" si="141"/>
        <v/>
      </c>
      <c r="Z875" s="494" t="s">
        <v>1573</v>
      </c>
      <c r="AA875" s="547" t="str">
        <f t="shared" ca="1" si="142"/>
        <v/>
      </c>
      <c r="AB875" s="494" t="s">
        <v>1574</v>
      </c>
      <c r="AC875" s="547" t="str">
        <f t="shared" ca="1" si="143"/>
        <v/>
      </c>
      <c r="AD875" s="557"/>
      <c r="AE875" s="958"/>
    </row>
    <row r="876" spans="1:31" ht="15" customHeight="1">
      <c r="A876" s="957" t="str">
        <f t="shared" ca="1" si="145"/>
        <v>22/23</v>
      </c>
      <c r="B876" s="566" t="s">
        <v>162</v>
      </c>
      <c r="C876" s="567" t="str">
        <f t="shared" ca="1" si="146"/>
        <v>Green Star - Education</v>
      </c>
      <c r="D876" s="958">
        <v>1</v>
      </c>
      <c r="E876" s="959" t="s">
        <v>419</v>
      </c>
      <c r="F876" s="558" t="s">
        <v>1501</v>
      </c>
      <c r="G876" s="558">
        <v>18</v>
      </c>
      <c r="H876" s="558" t="s">
        <v>1079</v>
      </c>
      <c r="I876" s="559" t="s">
        <v>1242</v>
      </c>
      <c r="J876" s="567" t="s">
        <v>1567</v>
      </c>
      <c r="K876" s="961" t="s">
        <v>1568</v>
      </c>
      <c r="L876" s="555" t="str">
        <f t="shared" ca="1" si="138"/>
        <v/>
      </c>
      <c r="M876" s="494" t="s">
        <v>1569</v>
      </c>
      <c r="N876" s="555" t="str">
        <f t="shared" ca="1" si="139"/>
        <v/>
      </c>
      <c r="O876" s="494" t="s">
        <v>1570</v>
      </c>
      <c r="P876" s="555" t="str">
        <f t="shared" ca="1" si="140"/>
        <v/>
      </c>
      <c r="Q876" s="494" t="s">
        <v>1571</v>
      </c>
      <c r="R876" s="494" t="str">
        <f>CONCATENATE("I",ROW(J876))</f>
        <v>I876</v>
      </c>
      <c r="S876" s="494" t="s">
        <v>1572</v>
      </c>
      <c r="T876" s="494">
        <v>6</v>
      </c>
      <c r="U876" s="556" t="str">
        <f t="shared" ca="1" si="136"/>
        <v/>
      </c>
      <c r="V876" s="494">
        <v>7</v>
      </c>
      <c r="W876" s="556" t="str">
        <f t="shared" ca="1" si="137"/>
        <v/>
      </c>
      <c r="X876" s="494" t="s">
        <v>170</v>
      </c>
      <c r="Y876" s="547" t="str">
        <f t="shared" ca="1" si="141"/>
        <v/>
      </c>
      <c r="Z876" s="494" t="s">
        <v>1573</v>
      </c>
      <c r="AA876" s="547" t="str">
        <f t="shared" ca="1" si="142"/>
        <v/>
      </c>
      <c r="AB876" s="494" t="s">
        <v>1574</v>
      </c>
      <c r="AC876" s="547" t="str">
        <f t="shared" ca="1" si="143"/>
        <v/>
      </c>
      <c r="AD876" s="557"/>
      <c r="AE876" s="958"/>
    </row>
    <row r="877" spans="1:31" ht="15" customHeight="1">
      <c r="A877" s="957" t="str">
        <f t="shared" ca="1" si="145"/>
        <v>22/23</v>
      </c>
      <c r="B877" s="566" t="s">
        <v>162</v>
      </c>
      <c r="C877" s="567" t="str">
        <f t="shared" ca="1" si="146"/>
        <v>Green Star - Education</v>
      </c>
      <c r="D877" s="958">
        <v>1</v>
      </c>
      <c r="E877" s="959" t="s">
        <v>419</v>
      </c>
      <c r="F877" s="558" t="s">
        <v>1501</v>
      </c>
      <c r="G877" s="558">
        <v>24</v>
      </c>
      <c r="H877" s="558" t="s">
        <v>1243</v>
      </c>
      <c r="I877" s="559" t="s">
        <v>1244</v>
      </c>
      <c r="J877" s="567" t="s">
        <v>1567</v>
      </c>
      <c r="K877" s="961" t="s">
        <v>1568</v>
      </c>
      <c r="L877" s="555" t="str">
        <f t="shared" ca="1" si="138"/>
        <v/>
      </c>
      <c r="M877" s="494" t="s">
        <v>1569</v>
      </c>
      <c r="N877" s="555" t="str">
        <f t="shared" ca="1" si="139"/>
        <v/>
      </c>
      <c r="O877" s="494" t="s">
        <v>1570</v>
      </c>
      <c r="P877" s="555" t="str">
        <f t="shared" ca="1" si="140"/>
        <v/>
      </c>
      <c r="Q877" s="494" t="s">
        <v>1571</v>
      </c>
      <c r="R877" s="494" t="str">
        <f>CONCATENATE("I",ROW(J877))</f>
        <v>I877</v>
      </c>
      <c r="S877" s="494" t="s">
        <v>1572</v>
      </c>
      <c r="T877" s="494">
        <v>6</v>
      </c>
      <c r="U877" s="556" t="str">
        <f t="shared" ca="1" si="136"/>
        <v/>
      </c>
      <c r="V877" s="494">
        <v>7</v>
      </c>
      <c r="W877" s="556" t="str">
        <f t="shared" ca="1" si="137"/>
        <v/>
      </c>
      <c r="X877" s="494" t="s">
        <v>170</v>
      </c>
      <c r="Y877" s="547" t="str">
        <f t="shared" ca="1" si="141"/>
        <v/>
      </c>
      <c r="Z877" s="494" t="s">
        <v>1573</v>
      </c>
      <c r="AA877" s="547" t="str">
        <f t="shared" ca="1" si="142"/>
        <v/>
      </c>
      <c r="AB877" s="494" t="s">
        <v>1574</v>
      </c>
      <c r="AC877" s="547" t="str">
        <f t="shared" ca="1" si="143"/>
        <v/>
      </c>
      <c r="AD877" s="557"/>
      <c r="AE877" s="958"/>
    </row>
    <row r="878" spans="1:31" ht="15" customHeight="1">
      <c r="A878" s="957" t="str">
        <f t="shared" ca="1" si="145"/>
        <v>22/23</v>
      </c>
      <c r="B878" s="566" t="s">
        <v>162</v>
      </c>
      <c r="C878" s="567" t="str">
        <f t="shared" ca="1" si="146"/>
        <v>Green Star - Education</v>
      </c>
      <c r="D878" s="958">
        <v>1</v>
      </c>
      <c r="E878" s="959" t="s">
        <v>419</v>
      </c>
      <c r="F878" s="558" t="s">
        <v>1501</v>
      </c>
      <c r="G878" s="558">
        <v>28</v>
      </c>
      <c r="H878" s="558" t="s">
        <v>1245</v>
      </c>
      <c r="I878" s="559" t="s">
        <v>1246</v>
      </c>
      <c r="J878" s="567" t="s">
        <v>1567</v>
      </c>
      <c r="K878" s="961" t="s">
        <v>1568</v>
      </c>
      <c r="L878" s="555" t="str">
        <f t="shared" ca="1" si="138"/>
        <v/>
      </c>
      <c r="M878" s="494" t="s">
        <v>1569</v>
      </c>
      <c r="N878" s="555" t="str">
        <f t="shared" ca="1" si="139"/>
        <v/>
      </c>
      <c r="O878" s="494" t="s">
        <v>1570</v>
      </c>
      <c r="P878" s="555" t="str">
        <f t="shared" ca="1" si="140"/>
        <v/>
      </c>
      <c r="Q878" s="494" t="s">
        <v>1571</v>
      </c>
      <c r="R878" s="494" t="str">
        <f>CONCATENATE("I",ROW(J878))</f>
        <v>I878</v>
      </c>
      <c r="S878" s="494" t="s">
        <v>1572</v>
      </c>
      <c r="T878" s="494">
        <v>6</v>
      </c>
      <c r="U878" s="556" t="str">
        <f t="shared" ca="1" si="136"/>
        <v/>
      </c>
      <c r="V878" s="494">
        <v>7</v>
      </c>
      <c r="W878" s="556" t="str">
        <f t="shared" ca="1" si="137"/>
        <v/>
      </c>
      <c r="X878" s="494" t="s">
        <v>170</v>
      </c>
      <c r="Y878" s="547" t="str">
        <f t="shared" ca="1" si="141"/>
        <v/>
      </c>
      <c r="Z878" s="494" t="s">
        <v>1573</v>
      </c>
      <c r="AA878" s="547" t="str">
        <f t="shared" ca="1" si="142"/>
        <v/>
      </c>
      <c r="AB878" s="494" t="s">
        <v>1574</v>
      </c>
      <c r="AC878" s="547" t="str">
        <f t="shared" ca="1" si="143"/>
        <v/>
      </c>
      <c r="AD878" s="557"/>
      <c r="AE878" s="958"/>
    </row>
    <row r="879" spans="1:31" ht="15" customHeight="1">
      <c r="A879" s="957" t="str">
        <f ca="1">IF(N879="Design Review",28,IF(N879="As Built",29,"28/29"))</f>
        <v>28/29</v>
      </c>
      <c r="B879" s="566" t="s">
        <v>152</v>
      </c>
      <c r="C879" s="567" t="str">
        <f ca="1">IF(N879="Design Review","Green Star - Healthcare Design",IF(N879="As Built", "Green Star - Healthcare As Built","Green Star - Healthcare"))</f>
        <v>Green Star - Healthcare</v>
      </c>
      <c r="D879" s="958">
        <v>1</v>
      </c>
      <c r="E879" s="959" t="s">
        <v>254</v>
      </c>
      <c r="F879" s="558" t="s">
        <v>1444</v>
      </c>
      <c r="G879" s="558">
        <v>16</v>
      </c>
      <c r="H879" s="558" t="s">
        <v>1091</v>
      </c>
      <c r="I879" s="559" t="s">
        <v>257</v>
      </c>
      <c r="J879" s="567" t="s">
        <v>1578</v>
      </c>
      <c r="K879" s="961" t="s">
        <v>1568</v>
      </c>
      <c r="L879" s="555" t="str">
        <f t="shared" ca="1" si="138"/>
        <v/>
      </c>
      <c r="M879" s="494" t="s">
        <v>1569</v>
      </c>
      <c r="N879" s="555" t="str">
        <f t="shared" ca="1" si="139"/>
        <v/>
      </c>
      <c r="O879" s="494" t="s">
        <v>1570</v>
      </c>
      <c r="P879" s="555" t="str">
        <f t="shared" ca="1" si="140"/>
        <v/>
      </c>
      <c r="Q879" s="494" t="s">
        <v>1579</v>
      </c>
      <c r="R879" s="494" t="str">
        <f>CONCATENATE("I",ROW(J879))</f>
        <v>I879</v>
      </c>
      <c r="S879" s="494" t="s">
        <v>1580</v>
      </c>
      <c r="T879" s="494">
        <v>6</v>
      </c>
      <c r="U879" s="556" t="str">
        <f t="shared" ca="1" si="136"/>
        <v/>
      </c>
      <c r="V879" s="494">
        <v>7</v>
      </c>
      <c r="W879" s="556" t="str">
        <f t="shared" ca="1" si="137"/>
        <v/>
      </c>
      <c r="X879" s="494" t="s">
        <v>1581</v>
      </c>
      <c r="Y879" s="547" t="str">
        <f t="shared" ca="1" si="141"/>
        <v/>
      </c>
      <c r="Z879" s="494" t="s">
        <v>1582</v>
      </c>
      <c r="AA879" s="547" t="str">
        <f t="shared" ca="1" si="142"/>
        <v/>
      </c>
      <c r="AB879" s="494" t="s">
        <v>1583</v>
      </c>
      <c r="AC879" s="547" t="str">
        <f t="shared" ca="1" si="143"/>
        <v/>
      </c>
      <c r="AD879" s="557"/>
      <c r="AE879" s="958"/>
    </row>
    <row r="880" spans="1:31" ht="15" customHeight="1">
      <c r="A880" s="957" t="str">
        <f t="shared" ref="A880:A943" ca="1" si="147">IF(N880="Design Review",28,IF(N880="As Built",29,"28/29"))</f>
        <v>28/29</v>
      </c>
      <c r="B880" s="566" t="s">
        <v>152</v>
      </c>
      <c r="C880" s="567" t="str">
        <f t="shared" ref="C880:C943" ca="1" si="148">IF(N880="Design Review","Green Star - Healthcare Design",IF(N880="As Built", "Green Star - Healthcare As Built","Green Star - Healthcare"))</f>
        <v>Green Star - Healthcare</v>
      </c>
      <c r="D880" s="958">
        <v>1</v>
      </c>
      <c r="E880" s="959" t="s">
        <v>254</v>
      </c>
      <c r="F880" s="558" t="s">
        <v>1444</v>
      </c>
      <c r="G880" s="558">
        <v>210</v>
      </c>
      <c r="H880" s="558" t="s">
        <v>1093</v>
      </c>
      <c r="I880" s="559" t="s">
        <v>1095</v>
      </c>
      <c r="J880" s="567" t="s">
        <v>1578</v>
      </c>
      <c r="K880" s="961" t="s">
        <v>1568</v>
      </c>
      <c r="L880" s="555" t="str">
        <f t="shared" ca="1" si="138"/>
        <v/>
      </c>
      <c r="M880" s="494" t="s">
        <v>1569</v>
      </c>
      <c r="N880" s="555" t="str">
        <f t="shared" ca="1" si="139"/>
        <v/>
      </c>
      <c r="O880" s="494" t="s">
        <v>1570</v>
      </c>
      <c r="P880" s="555" t="str">
        <f t="shared" ca="1" si="140"/>
        <v/>
      </c>
      <c r="Q880" s="494" t="s">
        <v>1579</v>
      </c>
      <c r="R880" s="494" t="str">
        <f t="shared" ref="R880:R939" si="149">CONCATENATE("I",ROW(J880))</f>
        <v>I880</v>
      </c>
      <c r="S880" s="494" t="s">
        <v>1584</v>
      </c>
      <c r="T880" s="494">
        <v>6</v>
      </c>
      <c r="U880" s="556" t="str">
        <f t="shared" ca="1" si="136"/>
        <v/>
      </c>
      <c r="V880" s="494">
        <v>7</v>
      </c>
      <c r="W880" s="556" t="str">
        <f t="shared" ca="1" si="137"/>
        <v/>
      </c>
      <c r="X880" s="494" t="s">
        <v>1581</v>
      </c>
      <c r="Y880" s="547" t="str">
        <f t="shared" ca="1" si="141"/>
        <v/>
      </c>
      <c r="Z880" s="494" t="s">
        <v>1582</v>
      </c>
      <c r="AA880" s="547" t="str">
        <f t="shared" ca="1" si="142"/>
        <v/>
      </c>
      <c r="AB880" s="494" t="s">
        <v>1583</v>
      </c>
      <c r="AC880" s="547" t="str">
        <f t="shared" ca="1" si="143"/>
        <v/>
      </c>
      <c r="AD880" s="557"/>
      <c r="AE880" s="958"/>
    </row>
    <row r="881" spans="1:31" ht="15" customHeight="1">
      <c r="A881" s="957" t="str">
        <f t="shared" ca="1" si="147"/>
        <v>28/29</v>
      </c>
      <c r="B881" s="566" t="s">
        <v>152</v>
      </c>
      <c r="C881" s="567" t="str">
        <f t="shared" ca="1" si="148"/>
        <v>Green Star - Healthcare</v>
      </c>
      <c r="D881" s="958">
        <v>1</v>
      </c>
      <c r="E881" s="959" t="s">
        <v>254</v>
      </c>
      <c r="F881" s="558" t="s">
        <v>1444</v>
      </c>
      <c r="G881" s="558">
        <v>210</v>
      </c>
      <c r="H881" s="558" t="s">
        <v>1093</v>
      </c>
      <c r="I881" s="559" t="s">
        <v>1097</v>
      </c>
      <c r="J881" s="567" t="s">
        <v>1578</v>
      </c>
      <c r="K881" s="961" t="s">
        <v>1568</v>
      </c>
      <c r="L881" s="555" t="str">
        <f t="shared" ca="1" si="138"/>
        <v/>
      </c>
      <c r="M881" s="494" t="s">
        <v>1569</v>
      </c>
      <c r="N881" s="555" t="str">
        <f t="shared" ca="1" si="139"/>
        <v/>
      </c>
      <c r="O881" s="494" t="s">
        <v>1570</v>
      </c>
      <c r="P881" s="555" t="str">
        <f t="shared" ca="1" si="140"/>
        <v/>
      </c>
      <c r="Q881" s="494" t="s">
        <v>1579</v>
      </c>
      <c r="R881" s="494" t="str">
        <f t="shared" si="149"/>
        <v>I881</v>
      </c>
      <c r="S881" s="494" t="s">
        <v>1584</v>
      </c>
      <c r="T881" s="494">
        <v>6</v>
      </c>
      <c r="U881" s="556" t="str">
        <f t="shared" ca="1" si="136"/>
        <v/>
      </c>
      <c r="V881" s="494">
        <v>7</v>
      </c>
      <c r="W881" s="556" t="str">
        <f t="shared" ca="1" si="137"/>
        <v/>
      </c>
      <c r="X881" s="494" t="s">
        <v>1581</v>
      </c>
      <c r="Y881" s="547" t="str">
        <f t="shared" ca="1" si="141"/>
        <v/>
      </c>
      <c r="Z881" s="494" t="s">
        <v>1582</v>
      </c>
      <c r="AA881" s="547" t="str">
        <f t="shared" ca="1" si="142"/>
        <v/>
      </c>
      <c r="AB881" s="494" t="s">
        <v>1583</v>
      </c>
      <c r="AC881" s="547" t="str">
        <f t="shared" ca="1" si="143"/>
        <v/>
      </c>
      <c r="AD881" s="557"/>
      <c r="AE881" s="958"/>
    </row>
    <row r="882" spans="1:31" ht="15" customHeight="1">
      <c r="A882" s="957" t="str">
        <f t="shared" ca="1" si="147"/>
        <v>28/29</v>
      </c>
      <c r="B882" s="566" t="s">
        <v>152</v>
      </c>
      <c r="C882" s="567" t="str">
        <f t="shared" ca="1" si="148"/>
        <v>Green Star - Healthcare</v>
      </c>
      <c r="D882" s="958">
        <v>1</v>
      </c>
      <c r="E882" s="959" t="s">
        <v>254</v>
      </c>
      <c r="F882" s="558" t="s">
        <v>1444</v>
      </c>
      <c r="G882" s="558">
        <v>132</v>
      </c>
      <c r="H882" s="558" t="s">
        <v>1098</v>
      </c>
      <c r="I882" s="559" t="s">
        <v>1099</v>
      </c>
      <c r="J882" s="567" t="s">
        <v>1578</v>
      </c>
      <c r="K882" s="961" t="s">
        <v>1568</v>
      </c>
      <c r="L882" s="555" t="str">
        <f t="shared" ca="1" si="138"/>
        <v/>
      </c>
      <c r="M882" s="494" t="s">
        <v>1569</v>
      </c>
      <c r="N882" s="555" t="str">
        <f t="shared" ca="1" si="139"/>
        <v/>
      </c>
      <c r="O882" s="494" t="s">
        <v>1570</v>
      </c>
      <c r="P882" s="555" t="str">
        <f t="shared" ca="1" si="140"/>
        <v/>
      </c>
      <c r="Q882" s="494" t="s">
        <v>1579</v>
      </c>
      <c r="R882" s="494" t="str">
        <f t="shared" si="149"/>
        <v>I882</v>
      </c>
      <c r="S882" s="494" t="s">
        <v>1580</v>
      </c>
      <c r="T882" s="494">
        <v>6</v>
      </c>
      <c r="U882" s="556" t="str">
        <f t="shared" ca="1" si="136"/>
        <v/>
      </c>
      <c r="V882" s="494">
        <v>7</v>
      </c>
      <c r="W882" s="556" t="str">
        <f t="shared" ca="1" si="137"/>
        <v/>
      </c>
      <c r="X882" s="494" t="s">
        <v>1581</v>
      </c>
      <c r="Y882" s="547" t="str">
        <f t="shared" ca="1" si="141"/>
        <v/>
      </c>
      <c r="Z882" s="494" t="s">
        <v>1582</v>
      </c>
      <c r="AA882" s="547" t="str">
        <f t="shared" ca="1" si="142"/>
        <v/>
      </c>
      <c r="AB882" s="494" t="s">
        <v>1583</v>
      </c>
      <c r="AC882" s="547" t="str">
        <f t="shared" ca="1" si="143"/>
        <v/>
      </c>
      <c r="AD882" s="557"/>
      <c r="AE882" s="958"/>
    </row>
    <row r="883" spans="1:31" ht="15" customHeight="1">
      <c r="A883" s="957" t="str">
        <f t="shared" ca="1" si="147"/>
        <v>28/29</v>
      </c>
      <c r="B883" s="566" t="s">
        <v>152</v>
      </c>
      <c r="C883" s="567" t="str">
        <f t="shared" ca="1" si="148"/>
        <v>Green Star - Healthcare</v>
      </c>
      <c r="D883" s="958">
        <v>1</v>
      </c>
      <c r="E883" s="959" t="s">
        <v>254</v>
      </c>
      <c r="F883" s="558" t="s">
        <v>1444</v>
      </c>
      <c r="G883" s="558">
        <v>133</v>
      </c>
      <c r="H883" s="558" t="s">
        <v>1100</v>
      </c>
      <c r="I883" s="559" t="s">
        <v>281</v>
      </c>
      <c r="J883" s="567" t="s">
        <v>1578</v>
      </c>
      <c r="K883" s="961" t="s">
        <v>1568</v>
      </c>
      <c r="L883" s="555" t="str">
        <f t="shared" ca="1" si="138"/>
        <v/>
      </c>
      <c r="M883" s="494" t="s">
        <v>1569</v>
      </c>
      <c r="N883" s="555" t="str">
        <f t="shared" ca="1" si="139"/>
        <v/>
      </c>
      <c r="O883" s="494" t="s">
        <v>1570</v>
      </c>
      <c r="P883" s="555" t="str">
        <f t="shared" ca="1" si="140"/>
        <v/>
      </c>
      <c r="Q883" s="494" t="s">
        <v>1579</v>
      </c>
      <c r="R883" s="494" t="str">
        <f t="shared" si="149"/>
        <v>I883</v>
      </c>
      <c r="S883" s="494" t="s">
        <v>1580</v>
      </c>
      <c r="T883" s="494">
        <v>6</v>
      </c>
      <c r="U883" s="556" t="str">
        <f t="shared" ca="1" si="136"/>
        <v/>
      </c>
      <c r="V883" s="494">
        <v>7</v>
      </c>
      <c r="W883" s="556" t="str">
        <f t="shared" ca="1" si="137"/>
        <v/>
      </c>
      <c r="X883" s="494" t="s">
        <v>1581</v>
      </c>
      <c r="Y883" s="547" t="str">
        <f t="shared" ca="1" si="141"/>
        <v/>
      </c>
      <c r="Z883" s="494" t="s">
        <v>1582</v>
      </c>
      <c r="AA883" s="547" t="str">
        <f t="shared" ca="1" si="142"/>
        <v/>
      </c>
      <c r="AB883" s="494" t="s">
        <v>1583</v>
      </c>
      <c r="AC883" s="547" t="str">
        <f t="shared" ca="1" si="143"/>
        <v/>
      </c>
      <c r="AD883" s="557"/>
      <c r="AE883" s="958"/>
    </row>
    <row r="884" spans="1:31" ht="15" customHeight="1">
      <c r="A884" s="957" t="str">
        <f t="shared" ca="1" si="147"/>
        <v>28/29</v>
      </c>
      <c r="B884" s="566" t="s">
        <v>152</v>
      </c>
      <c r="C884" s="567" t="str">
        <f t="shared" ca="1" si="148"/>
        <v>Green Star - Healthcare</v>
      </c>
      <c r="D884" s="958">
        <v>1</v>
      </c>
      <c r="E884" s="959" t="s">
        <v>254</v>
      </c>
      <c r="F884" s="558" t="s">
        <v>1444</v>
      </c>
      <c r="G884" s="558">
        <v>211</v>
      </c>
      <c r="H884" s="558" t="s">
        <v>1101</v>
      </c>
      <c r="I884" s="559" t="s">
        <v>1102</v>
      </c>
      <c r="J884" s="567" t="s">
        <v>1578</v>
      </c>
      <c r="K884" s="961" t="s">
        <v>1568</v>
      </c>
      <c r="L884" s="555" t="str">
        <f t="shared" ca="1" si="138"/>
        <v/>
      </c>
      <c r="M884" s="494" t="s">
        <v>1569</v>
      </c>
      <c r="N884" s="555" t="str">
        <f t="shared" ca="1" si="139"/>
        <v/>
      </c>
      <c r="O884" s="494" t="s">
        <v>1570</v>
      </c>
      <c r="P884" s="555" t="str">
        <f t="shared" ca="1" si="140"/>
        <v/>
      </c>
      <c r="Q884" s="494" t="s">
        <v>1579</v>
      </c>
      <c r="R884" s="494" t="str">
        <f t="shared" si="149"/>
        <v>I884</v>
      </c>
      <c r="S884" s="494" t="s">
        <v>1580</v>
      </c>
      <c r="T884" s="494">
        <v>6</v>
      </c>
      <c r="U884" s="556" t="str">
        <f t="shared" ca="1" si="136"/>
        <v/>
      </c>
      <c r="V884" s="494">
        <v>7</v>
      </c>
      <c r="W884" s="556" t="str">
        <f t="shared" ca="1" si="137"/>
        <v/>
      </c>
      <c r="X884" s="494" t="s">
        <v>1581</v>
      </c>
      <c r="Y884" s="547" t="str">
        <f t="shared" ca="1" si="141"/>
        <v/>
      </c>
      <c r="Z884" s="494" t="s">
        <v>1582</v>
      </c>
      <c r="AA884" s="547" t="str">
        <f t="shared" ca="1" si="142"/>
        <v/>
      </c>
      <c r="AB884" s="494" t="s">
        <v>1583</v>
      </c>
      <c r="AC884" s="547" t="str">
        <f t="shared" ca="1" si="143"/>
        <v/>
      </c>
      <c r="AD884" s="557"/>
      <c r="AE884" s="958"/>
    </row>
    <row r="885" spans="1:31" ht="15" customHeight="1">
      <c r="A885" s="957" t="str">
        <f t="shared" ca="1" si="147"/>
        <v>28/29</v>
      </c>
      <c r="B885" s="566" t="s">
        <v>152</v>
      </c>
      <c r="C885" s="567" t="str">
        <f t="shared" ca="1" si="148"/>
        <v>Green Star - Healthcare</v>
      </c>
      <c r="D885" s="958">
        <v>1</v>
      </c>
      <c r="E885" s="959" t="s">
        <v>254</v>
      </c>
      <c r="F885" s="558" t="s">
        <v>1444</v>
      </c>
      <c r="G885" s="558">
        <v>30</v>
      </c>
      <c r="H885" s="558" t="s">
        <v>1103</v>
      </c>
      <c r="I885" s="559" t="s">
        <v>680</v>
      </c>
      <c r="J885" s="567" t="s">
        <v>1578</v>
      </c>
      <c r="K885" s="961" t="s">
        <v>1568</v>
      </c>
      <c r="L885" s="555" t="str">
        <f t="shared" ca="1" si="138"/>
        <v/>
      </c>
      <c r="M885" s="494" t="s">
        <v>1569</v>
      </c>
      <c r="N885" s="555" t="str">
        <f t="shared" ca="1" si="139"/>
        <v/>
      </c>
      <c r="O885" s="494" t="s">
        <v>1570</v>
      </c>
      <c r="P885" s="555" t="str">
        <f t="shared" ca="1" si="140"/>
        <v/>
      </c>
      <c r="Q885" s="494" t="s">
        <v>1579</v>
      </c>
      <c r="R885" s="494" t="str">
        <f t="shared" si="149"/>
        <v>I885</v>
      </c>
      <c r="S885" s="494" t="s">
        <v>1580</v>
      </c>
      <c r="T885" s="494">
        <v>6</v>
      </c>
      <c r="U885" s="556" t="str">
        <f t="shared" ca="1" si="136"/>
        <v/>
      </c>
      <c r="V885" s="494">
        <v>7</v>
      </c>
      <c r="W885" s="556" t="str">
        <f t="shared" ca="1" si="137"/>
        <v/>
      </c>
      <c r="X885" s="494" t="s">
        <v>1581</v>
      </c>
      <c r="Y885" s="547" t="str">
        <f t="shared" ca="1" si="141"/>
        <v/>
      </c>
      <c r="Z885" s="494" t="s">
        <v>1582</v>
      </c>
      <c r="AA885" s="547" t="str">
        <f t="shared" ca="1" si="142"/>
        <v/>
      </c>
      <c r="AB885" s="494" t="s">
        <v>1583</v>
      </c>
      <c r="AC885" s="547" t="str">
        <f t="shared" ca="1" si="143"/>
        <v/>
      </c>
      <c r="AD885" s="557"/>
      <c r="AE885" s="958"/>
    </row>
    <row r="886" spans="1:31" ht="15" customHeight="1">
      <c r="A886" s="957" t="str">
        <f t="shared" ca="1" si="147"/>
        <v>28/29</v>
      </c>
      <c r="B886" s="566" t="s">
        <v>152</v>
      </c>
      <c r="C886" s="567" t="str">
        <f t="shared" ca="1" si="148"/>
        <v>Green Star - Healthcare</v>
      </c>
      <c r="D886" s="958">
        <v>1</v>
      </c>
      <c r="E886" s="959" t="s">
        <v>254</v>
      </c>
      <c r="F886" s="558" t="s">
        <v>1444</v>
      </c>
      <c r="G886" s="558">
        <v>232</v>
      </c>
      <c r="H886" s="558" t="s">
        <v>1104</v>
      </c>
      <c r="I886" s="559" t="s">
        <v>785</v>
      </c>
      <c r="J886" s="567" t="s">
        <v>1578</v>
      </c>
      <c r="K886" s="961" t="s">
        <v>1568</v>
      </c>
      <c r="L886" s="555" t="str">
        <f t="shared" ca="1" si="138"/>
        <v/>
      </c>
      <c r="M886" s="494" t="s">
        <v>1569</v>
      </c>
      <c r="N886" s="555" t="str">
        <f t="shared" ca="1" si="139"/>
        <v/>
      </c>
      <c r="O886" s="494" t="s">
        <v>1570</v>
      </c>
      <c r="P886" s="555" t="str">
        <f t="shared" ca="1" si="140"/>
        <v/>
      </c>
      <c r="Q886" s="494" t="s">
        <v>1579</v>
      </c>
      <c r="R886" s="494" t="str">
        <f t="shared" si="149"/>
        <v>I886</v>
      </c>
      <c r="S886" s="494" t="s">
        <v>1580</v>
      </c>
      <c r="T886" s="494">
        <v>6</v>
      </c>
      <c r="U886" s="556" t="str">
        <f t="shared" ca="1" si="136"/>
        <v/>
      </c>
      <c r="V886" s="494">
        <v>7</v>
      </c>
      <c r="W886" s="556" t="str">
        <f t="shared" ca="1" si="137"/>
        <v/>
      </c>
      <c r="X886" s="494" t="s">
        <v>1581</v>
      </c>
      <c r="Y886" s="547" t="str">
        <f t="shared" ca="1" si="141"/>
        <v/>
      </c>
      <c r="Z886" s="494" t="s">
        <v>1582</v>
      </c>
      <c r="AA886" s="547" t="str">
        <f t="shared" ca="1" si="142"/>
        <v/>
      </c>
      <c r="AB886" s="494" t="s">
        <v>1583</v>
      </c>
      <c r="AC886" s="547" t="str">
        <f t="shared" ca="1" si="143"/>
        <v/>
      </c>
      <c r="AD886" s="557"/>
      <c r="AE886" s="958"/>
    </row>
    <row r="887" spans="1:31" ht="15" customHeight="1">
      <c r="A887" s="957" t="str">
        <f t="shared" ca="1" si="147"/>
        <v>28/29</v>
      </c>
      <c r="B887" s="566" t="s">
        <v>152</v>
      </c>
      <c r="C887" s="567" t="str">
        <f t="shared" ca="1" si="148"/>
        <v>Green Star - Healthcare</v>
      </c>
      <c r="D887" s="958">
        <v>1</v>
      </c>
      <c r="E887" s="959" t="s">
        <v>254</v>
      </c>
      <c r="F887" s="558" t="s">
        <v>1444</v>
      </c>
      <c r="G887" s="558">
        <v>253</v>
      </c>
      <c r="H887" s="558" t="s">
        <v>1105</v>
      </c>
      <c r="I887" s="559" t="s">
        <v>1106</v>
      </c>
      <c r="J887" s="567" t="s">
        <v>1578</v>
      </c>
      <c r="K887" s="961" t="s">
        <v>1568</v>
      </c>
      <c r="L887" s="555" t="str">
        <f t="shared" ca="1" si="138"/>
        <v/>
      </c>
      <c r="M887" s="494" t="s">
        <v>1569</v>
      </c>
      <c r="N887" s="555" t="str">
        <f t="shared" ca="1" si="139"/>
        <v/>
      </c>
      <c r="O887" s="494" t="s">
        <v>1570</v>
      </c>
      <c r="P887" s="555" t="str">
        <f t="shared" ca="1" si="140"/>
        <v/>
      </c>
      <c r="Q887" s="494" t="s">
        <v>1579</v>
      </c>
      <c r="R887" s="494" t="str">
        <f t="shared" si="149"/>
        <v>I887</v>
      </c>
      <c r="S887" s="494" t="s">
        <v>1580</v>
      </c>
      <c r="T887" s="494">
        <v>6</v>
      </c>
      <c r="U887" s="556" t="str">
        <f t="shared" ca="1" si="136"/>
        <v/>
      </c>
      <c r="V887" s="494">
        <v>7</v>
      </c>
      <c r="W887" s="556" t="str">
        <f t="shared" ca="1" si="137"/>
        <v/>
      </c>
      <c r="X887" s="494" t="s">
        <v>1581</v>
      </c>
      <c r="Y887" s="547" t="str">
        <f t="shared" ca="1" si="141"/>
        <v/>
      </c>
      <c r="Z887" s="494" t="s">
        <v>1582</v>
      </c>
      <c r="AA887" s="547" t="str">
        <f t="shared" ca="1" si="142"/>
        <v/>
      </c>
      <c r="AB887" s="494" t="s">
        <v>1583</v>
      </c>
      <c r="AC887" s="547" t="str">
        <f t="shared" ca="1" si="143"/>
        <v/>
      </c>
      <c r="AD887" s="557"/>
      <c r="AE887" s="958"/>
    </row>
    <row r="888" spans="1:31" ht="15" customHeight="1">
      <c r="A888" s="957" t="str">
        <f t="shared" ca="1" si="147"/>
        <v>28/29</v>
      </c>
      <c r="B888" s="566" t="s">
        <v>152</v>
      </c>
      <c r="C888" s="567" t="str">
        <f t="shared" ca="1" si="148"/>
        <v>Green Star - Healthcare</v>
      </c>
      <c r="D888" s="958">
        <v>1</v>
      </c>
      <c r="E888" s="959" t="s">
        <v>254</v>
      </c>
      <c r="F888" s="558" t="s">
        <v>1444</v>
      </c>
      <c r="G888" s="558">
        <v>170</v>
      </c>
      <c r="H888" s="558" t="s">
        <v>1107</v>
      </c>
      <c r="I888" s="559" t="s">
        <v>1108</v>
      </c>
      <c r="J888" s="567" t="s">
        <v>1578</v>
      </c>
      <c r="K888" s="961" t="s">
        <v>1568</v>
      </c>
      <c r="L888" s="555" t="str">
        <f t="shared" ca="1" si="138"/>
        <v/>
      </c>
      <c r="M888" s="494" t="s">
        <v>1569</v>
      </c>
      <c r="N888" s="555" t="str">
        <f t="shared" ca="1" si="139"/>
        <v/>
      </c>
      <c r="O888" s="494" t="s">
        <v>1570</v>
      </c>
      <c r="P888" s="555" t="str">
        <f t="shared" ca="1" si="140"/>
        <v/>
      </c>
      <c r="Q888" s="494" t="s">
        <v>1579</v>
      </c>
      <c r="R888" s="494" t="str">
        <f>CONCATENATE("I",ROW(J888))</f>
        <v>I888</v>
      </c>
      <c r="S888" s="494" t="s">
        <v>1580</v>
      </c>
      <c r="T888" s="494">
        <v>6</v>
      </c>
      <c r="U888" s="556" t="str">
        <f t="shared" ca="1" si="136"/>
        <v/>
      </c>
      <c r="V888" s="494">
        <v>7</v>
      </c>
      <c r="W888" s="556" t="str">
        <f t="shared" ca="1" si="137"/>
        <v/>
      </c>
      <c r="X888" s="494" t="s">
        <v>1581</v>
      </c>
      <c r="Y888" s="547" t="str">
        <f t="shared" ca="1" si="141"/>
        <v/>
      </c>
      <c r="Z888" s="494" t="s">
        <v>1582</v>
      </c>
      <c r="AA888" s="547" t="str">
        <f t="shared" ca="1" si="142"/>
        <v/>
      </c>
      <c r="AB888" s="494" t="s">
        <v>1583</v>
      </c>
      <c r="AC888" s="547" t="str">
        <f t="shared" ca="1" si="143"/>
        <v/>
      </c>
      <c r="AD888" s="557"/>
      <c r="AE888" s="958"/>
    </row>
    <row r="889" spans="1:31" ht="15" customHeight="1">
      <c r="A889" s="957" t="str">
        <f t="shared" ca="1" si="147"/>
        <v>28/29</v>
      </c>
      <c r="B889" s="566" t="s">
        <v>152</v>
      </c>
      <c r="C889" s="567" t="str">
        <f t="shared" ca="1" si="148"/>
        <v>Green Star - Healthcare</v>
      </c>
      <c r="D889" s="958">
        <v>1</v>
      </c>
      <c r="E889" s="959" t="s">
        <v>254</v>
      </c>
      <c r="F889" s="558" t="s">
        <v>1444</v>
      </c>
      <c r="G889" s="558">
        <v>186</v>
      </c>
      <c r="H889" s="558" t="s">
        <v>1109</v>
      </c>
      <c r="I889" s="559" t="s">
        <v>1111</v>
      </c>
      <c r="J889" s="567" t="s">
        <v>1578</v>
      </c>
      <c r="K889" s="961" t="s">
        <v>1568</v>
      </c>
      <c r="L889" s="555" t="str">
        <f t="shared" ca="1" si="138"/>
        <v/>
      </c>
      <c r="M889" s="494" t="s">
        <v>1569</v>
      </c>
      <c r="N889" s="555" t="str">
        <f t="shared" ca="1" si="139"/>
        <v/>
      </c>
      <c r="O889" s="494" t="s">
        <v>1570</v>
      </c>
      <c r="P889" s="555" t="str">
        <f t="shared" ca="1" si="140"/>
        <v/>
      </c>
      <c r="Q889" s="494" t="s">
        <v>1579</v>
      </c>
      <c r="R889" s="494" t="str">
        <f>CONCATENATE("I",ROW(J889))</f>
        <v>I889</v>
      </c>
      <c r="S889" s="494" t="s">
        <v>1584</v>
      </c>
      <c r="T889" s="494">
        <v>6</v>
      </c>
      <c r="U889" s="556" t="str">
        <f t="shared" ca="1" si="136"/>
        <v/>
      </c>
      <c r="V889" s="494">
        <v>7</v>
      </c>
      <c r="W889" s="556" t="str">
        <f t="shared" ca="1" si="137"/>
        <v/>
      </c>
      <c r="X889" s="494" t="s">
        <v>1581</v>
      </c>
      <c r="Y889" s="547" t="str">
        <f t="shared" ca="1" si="141"/>
        <v/>
      </c>
      <c r="Z889" s="494" t="s">
        <v>1582</v>
      </c>
      <c r="AA889" s="547" t="str">
        <f t="shared" ca="1" si="142"/>
        <v/>
      </c>
      <c r="AB889" s="494" t="s">
        <v>1583</v>
      </c>
      <c r="AC889" s="547" t="str">
        <f t="shared" ca="1" si="143"/>
        <v/>
      </c>
      <c r="AD889" s="557"/>
      <c r="AE889" s="958"/>
    </row>
    <row r="890" spans="1:31" ht="15" customHeight="1">
      <c r="A890" s="957" t="str">
        <f t="shared" ca="1" si="147"/>
        <v>28/29</v>
      </c>
      <c r="B890" s="566" t="s">
        <v>152</v>
      </c>
      <c r="C890" s="567" t="str">
        <f t="shared" ca="1" si="148"/>
        <v>Green Star - Healthcare</v>
      </c>
      <c r="D890" s="958">
        <v>1</v>
      </c>
      <c r="E890" s="959" t="s">
        <v>254</v>
      </c>
      <c r="F890" s="558" t="s">
        <v>1444</v>
      </c>
      <c r="G890" s="558">
        <v>186</v>
      </c>
      <c r="H890" s="558" t="s">
        <v>1109</v>
      </c>
      <c r="I890" s="559" t="s">
        <v>1112</v>
      </c>
      <c r="J890" s="567" t="s">
        <v>1578</v>
      </c>
      <c r="K890" s="961" t="s">
        <v>1568</v>
      </c>
      <c r="L890" s="555" t="str">
        <f t="shared" ca="1" si="138"/>
        <v/>
      </c>
      <c r="M890" s="494" t="s">
        <v>1569</v>
      </c>
      <c r="N890" s="555" t="str">
        <f t="shared" ca="1" si="139"/>
        <v/>
      </c>
      <c r="O890" s="494" t="s">
        <v>1570</v>
      </c>
      <c r="P890" s="555" t="str">
        <f t="shared" ca="1" si="140"/>
        <v/>
      </c>
      <c r="Q890" s="494" t="s">
        <v>1579</v>
      </c>
      <c r="R890" s="494" t="str">
        <f>CONCATENATE("I",ROW(J890))</f>
        <v>I890</v>
      </c>
      <c r="S890" s="494" t="s">
        <v>1584</v>
      </c>
      <c r="T890" s="494">
        <v>6</v>
      </c>
      <c r="U890" s="556" t="str">
        <f t="shared" ca="1" si="136"/>
        <v/>
      </c>
      <c r="V890" s="494">
        <v>7</v>
      </c>
      <c r="W890" s="556" t="str">
        <f t="shared" ca="1" si="137"/>
        <v/>
      </c>
      <c r="X890" s="494" t="s">
        <v>1581</v>
      </c>
      <c r="Y890" s="547" t="str">
        <f t="shared" ca="1" si="141"/>
        <v/>
      </c>
      <c r="Z890" s="494" t="s">
        <v>1582</v>
      </c>
      <c r="AA890" s="547" t="str">
        <f t="shared" ca="1" si="142"/>
        <v/>
      </c>
      <c r="AB890" s="494" t="s">
        <v>1583</v>
      </c>
      <c r="AC890" s="547" t="str">
        <f t="shared" ca="1" si="143"/>
        <v/>
      </c>
      <c r="AD890" s="557"/>
      <c r="AE890" s="958"/>
    </row>
    <row r="891" spans="1:31" ht="15" customHeight="1">
      <c r="A891" s="957" t="str">
        <f t="shared" ca="1" si="147"/>
        <v>28/29</v>
      </c>
      <c r="B891" s="566" t="s">
        <v>152</v>
      </c>
      <c r="C891" s="567" t="str">
        <f t="shared" ca="1" si="148"/>
        <v>Green Star - Healthcare</v>
      </c>
      <c r="D891" s="958">
        <v>1</v>
      </c>
      <c r="E891" s="959" t="s">
        <v>254</v>
      </c>
      <c r="F891" s="558" t="s">
        <v>1444</v>
      </c>
      <c r="G891" s="558">
        <v>252</v>
      </c>
      <c r="H891" s="558" t="s">
        <v>1113</v>
      </c>
      <c r="I891" s="559" t="s">
        <v>1114</v>
      </c>
      <c r="J891" s="567" t="s">
        <v>1578</v>
      </c>
      <c r="K891" s="961" t="s">
        <v>1568</v>
      </c>
      <c r="L891" s="555" t="str">
        <f t="shared" ca="1" si="138"/>
        <v/>
      </c>
      <c r="M891" s="494" t="s">
        <v>1569</v>
      </c>
      <c r="N891" s="555" t="str">
        <f t="shared" ca="1" si="139"/>
        <v/>
      </c>
      <c r="O891" s="494" t="s">
        <v>1570</v>
      </c>
      <c r="P891" s="555" t="str">
        <f t="shared" ca="1" si="140"/>
        <v/>
      </c>
      <c r="Q891" s="494" t="s">
        <v>1579</v>
      </c>
      <c r="R891" s="494" t="str">
        <f>CONCATENATE("I",ROW(J891))</f>
        <v>I891</v>
      </c>
      <c r="S891" s="494" t="s">
        <v>1580</v>
      </c>
      <c r="T891" s="494">
        <v>6</v>
      </c>
      <c r="U891" s="556" t="str">
        <f t="shared" ca="1" si="136"/>
        <v/>
      </c>
      <c r="V891" s="494">
        <v>7</v>
      </c>
      <c r="W891" s="556" t="str">
        <f t="shared" ca="1" si="137"/>
        <v/>
      </c>
      <c r="X891" s="494" t="s">
        <v>1581</v>
      </c>
      <c r="Y891" s="547" t="str">
        <f t="shared" ca="1" si="141"/>
        <v/>
      </c>
      <c r="Z891" s="494" t="s">
        <v>1582</v>
      </c>
      <c r="AA891" s="547" t="str">
        <f t="shared" ca="1" si="142"/>
        <v/>
      </c>
      <c r="AB891" s="494" t="s">
        <v>1583</v>
      </c>
      <c r="AC891" s="547" t="str">
        <f t="shared" ca="1" si="143"/>
        <v/>
      </c>
      <c r="AD891" s="557"/>
      <c r="AE891" s="958"/>
    </row>
    <row r="892" spans="1:31" ht="15" customHeight="1">
      <c r="A892" s="957" t="str">
        <f t="shared" ca="1" si="147"/>
        <v>28/29</v>
      </c>
      <c r="B892" s="566" t="s">
        <v>152</v>
      </c>
      <c r="C892" s="567" t="str">
        <f t="shared" ca="1" si="148"/>
        <v>Green Star - Healthcare</v>
      </c>
      <c r="D892" s="958">
        <v>1</v>
      </c>
      <c r="E892" s="959" t="s">
        <v>306</v>
      </c>
      <c r="F892" s="558" t="s">
        <v>1454</v>
      </c>
      <c r="G892" s="558">
        <v>34</v>
      </c>
      <c r="H892" s="558" t="s">
        <v>1116</v>
      </c>
      <c r="I892" s="559" t="s">
        <v>1117</v>
      </c>
      <c r="J892" s="567" t="s">
        <v>1578</v>
      </c>
      <c r="K892" s="961" t="s">
        <v>1568</v>
      </c>
      <c r="L892" s="555" t="str">
        <f t="shared" ca="1" si="138"/>
        <v/>
      </c>
      <c r="M892" s="494" t="s">
        <v>1569</v>
      </c>
      <c r="N892" s="555" t="str">
        <f t="shared" ca="1" si="139"/>
        <v/>
      </c>
      <c r="O892" s="494" t="s">
        <v>1570</v>
      </c>
      <c r="P892" s="555" t="str">
        <f t="shared" ca="1" si="140"/>
        <v/>
      </c>
      <c r="Q892" s="494" t="s">
        <v>1579</v>
      </c>
      <c r="R892" s="494" t="str">
        <f t="shared" si="149"/>
        <v>I892</v>
      </c>
      <c r="S892" s="494" t="s">
        <v>1580</v>
      </c>
      <c r="T892" s="494">
        <v>6</v>
      </c>
      <c r="U892" s="556" t="str">
        <f t="shared" ca="1" si="136"/>
        <v/>
      </c>
      <c r="V892" s="494">
        <v>7</v>
      </c>
      <c r="W892" s="556" t="str">
        <f t="shared" ca="1" si="137"/>
        <v/>
      </c>
      <c r="X892" s="494" t="s">
        <v>1581</v>
      </c>
      <c r="Y892" s="547" t="str">
        <f t="shared" ca="1" si="141"/>
        <v/>
      </c>
      <c r="Z892" s="494" t="s">
        <v>1582</v>
      </c>
      <c r="AA892" s="547" t="str">
        <f t="shared" ca="1" si="142"/>
        <v/>
      </c>
      <c r="AB892" s="494" t="s">
        <v>1583</v>
      </c>
      <c r="AC892" s="547" t="str">
        <f t="shared" ca="1" si="143"/>
        <v/>
      </c>
      <c r="AD892" s="557"/>
      <c r="AE892" s="958"/>
    </row>
    <row r="893" spans="1:31" ht="15" customHeight="1">
      <c r="A893" s="957" t="str">
        <f t="shared" ca="1" si="147"/>
        <v>28/29</v>
      </c>
      <c r="B893" s="566" t="s">
        <v>152</v>
      </c>
      <c r="C893" s="567" t="str">
        <f t="shared" ca="1" si="148"/>
        <v>Green Star - Healthcare</v>
      </c>
      <c r="D893" s="958">
        <v>1</v>
      </c>
      <c r="E893" s="959" t="s">
        <v>306</v>
      </c>
      <c r="F893" s="558" t="s">
        <v>1454</v>
      </c>
      <c r="G893" s="558">
        <v>65</v>
      </c>
      <c r="H893" s="558" t="s">
        <v>1118</v>
      </c>
      <c r="I893" s="559" t="s">
        <v>1119</v>
      </c>
      <c r="J893" s="567" t="s">
        <v>1578</v>
      </c>
      <c r="K893" s="961" t="s">
        <v>1568</v>
      </c>
      <c r="L893" s="555" t="str">
        <f t="shared" ca="1" si="138"/>
        <v/>
      </c>
      <c r="M893" s="494" t="s">
        <v>1569</v>
      </c>
      <c r="N893" s="555" t="str">
        <f t="shared" ca="1" si="139"/>
        <v/>
      </c>
      <c r="O893" s="494" t="s">
        <v>1570</v>
      </c>
      <c r="P893" s="555" t="str">
        <f t="shared" ca="1" si="140"/>
        <v/>
      </c>
      <c r="Q893" s="494" t="s">
        <v>1579</v>
      </c>
      <c r="R893" s="494" t="str">
        <f t="shared" si="149"/>
        <v>I893</v>
      </c>
      <c r="S893" s="494" t="s">
        <v>1580</v>
      </c>
      <c r="T893" s="494">
        <v>6</v>
      </c>
      <c r="U893" s="556" t="str">
        <f t="shared" ca="1" si="136"/>
        <v/>
      </c>
      <c r="V893" s="494">
        <v>7</v>
      </c>
      <c r="W893" s="556" t="str">
        <f t="shared" ca="1" si="137"/>
        <v/>
      </c>
      <c r="X893" s="494" t="s">
        <v>1581</v>
      </c>
      <c r="Y893" s="547" t="str">
        <f t="shared" ca="1" si="141"/>
        <v/>
      </c>
      <c r="Z893" s="494" t="s">
        <v>1582</v>
      </c>
      <c r="AA893" s="547" t="str">
        <f t="shared" ca="1" si="142"/>
        <v/>
      </c>
      <c r="AB893" s="494" t="s">
        <v>1583</v>
      </c>
      <c r="AC893" s="547" t="str">
        <f t="shared" ca="1" si="143"/>
        <v/>
      </c>
      <c r="AD893" s="557"/>
      <c r="AE893" s="958"/>
    </row>
    <row r="894" spans="1:31" ht="15" customHeight="1">
      <c r="A894" s="957" t="str">
        <f t="shared" ca="1" si="147"/>
        <v>28/29</v>
      </c>
      <c r="B894" s="566" t="s">
        <v>152</v>
      </c>
      <c r="C894" s="567" t="str">
        <f t="shared" ca="1" si="148"/>
        <v>Green Star - Healthcare</v>
      </c>
      <c r="D894" s="958">
        <v>1</v>
      </c>
      <c r="E894" s="959" t="s">
        <v>306</v>
      </c>
      <c r="F894" s="558" t="s">
        <v>1454</v>
      </c>
      <c r="G894" s="558">
        <v>233</v>
      </c>
      <c r="H894" s="558" t="s">
        <v>1120</v>
      </c>
      <c r="I894" s="559" t="s">
        <v>1121</v>
      </c>
      <c r="J894" s="567" t="s">
        <v>1578</v>
      </c>
      <c r="K894" s="961" t="s">
        <v>1568</v>
      </c>
      <c r="L894" s="555" t="str">
        <f t="shared" ca="1" si="138"/>
        <v/>
      </c>
      <c r="M894" s="494" t="s">
        <v>1569</v>
      </c>
      <c r="N894" s="555" t="str">
        <f t="shared" ca="1" si="139"/>
        <v/>
      </c>
      <c r="O894" s="494" t="s">
        <v>1570</v>
      </c>
      <c r="P894" s="555" t="str">
        <f t="shared" ca="1" si="140"/>
        <v/>
      </c>
      <c r="Q894" s="494" t="s">
        <v>1579</v>
      </c>
      <c r="R894" s="494" t="str">
        <f t="shared" si="149"/>
        <v>I894</v>
      </c>
      <c r="S894" s="494" t="s">
        <v>1580</v>
      </c>
      <c r="T894" s="494">
        <v>6</v>
      </c>
      <c r="U894" s="556" t="str">
        <f t="shared" ca="1" si="136"/>
        <v/>
      </c>
      <c r="V894" s="494">
        <v>7</v>
      </c>
      <c r="W894" s="556" t="str">
        <f t="shared" ca="1" si="137"/>
        <v/>
      </c>
      <c r="X894" s="494" t="s">
        <v>1581</v>
      </c>
      <c r="Y894" s="547" t="str">
        <f t="shared" ca="1" si="141"/>
        <v/>
      </c>
      <c r="Z894" s="494" t="s">
        <v>1582</v>
      </c>
      <c r="AA894" s="547" t="str">
        <f t="shared" ca="1" si="142"/>
        <v/>
      </c>
      <c r="AB894" s="494" t="s">
        <v>1583</v>
      </c>
      <c r="AC894" s="547" t="str">
        <f t="shared" ca="1" si="143"/>
        <v/>
      </c>
      <c r="AD894" s="557"/>
      <c r="AE894" s="958"/>
    </row>
    <row r="895" spans="1:31" ht="15" customHeight="1">
      <c r="A895" s="957" t="str">
        <f t="shared" ca="1" si="147"/>
        <v>28/29</v>
      </c>
      <c r="B895" s="566" t="s">
        <v>152</v>
      </c>
      <c r="C895" s="567" t="str">
        <f t="shared" ca="1" si="148"/>
        <v>Green Star - Healthcare</v>
      </c>
      <c r="D895" s="958">
        <v>1</v>
      </c>
      <c r="E895" s="959" t="s">
        <v>306</v>
      </c>
      <c r="F895" s="558" t="s">
        <v>1454</v>
      </c>
      <c r="G895" s="558">
        <v>44</v>
      </c>
      <c r="H895" s="558" t="s">
        <v>1122</v>
      </c>
      <c r="I895" s="559" t="s">
        <v>326</v>
      </c>
      <c r="J895" s="567" t="s">
        <v>1578</v>
      </c>
      <c r="K895" s="961" t="s">
        <v>1568</v>
      </c>
      <c r="L895" s="555" t="str">
        <f t="shared" ca="1" si="138"/>
        <v/>
      </c>
      <c r="M895" s="494" t="s">
        <v>1569</v>
      </c>
      <c r="N895" s="555" t="str">
        <f t="shared" ca="1" si="139"/>
        <v/>
      </c>
      <c r="O895" s="494" t="s">
        <v>1570</v>
      </c>
      <c r="P895" s="555" t="str">
        <f t="shared" ca="1" si="140"/>
        <v/>
      </c>
      <c r="Q895" s="494" t="s">
        <v>1579</v>
      </c>
      <c r="R895" s="494" t="str">
        <f t="shared" si="149"/>
        <v>I895</v>
      </c>
      <c r="S895" s="494" t="s">
        <v>1580</v>
      </c>
      <c r="T895" s="494">
        <v>6</v>
      </c>
      <c r="U895" s="556" t="str">
        <f t="shared" ref="U895:U958" ca="1" si="150">IF(AND($B895=INDIRECT(CONCATENATE($J895,$K895,5)),ISBLANK(INDEX(INDIRECT(CONCATENATE($J895,$Q895)),MATCH(INDIRECT($R895),INDIRECT(CONCATENATE($J895,$S895)),0),T895))=FALSE),INDEX(INDIRECT(CONCATENATE($J895,$Q895)),MATCH(INDIRECT($R895),INDIRECT(CONCATENATE($J895,$S895)),0),T895),"")</f>
        <v/>
      </c>
      <c r="V895" s="494">
        <v>7</v>
      </c>
      <c r="W895" s="556" t="str">
        <f t="shared" ref="W895:W958" ca="1" si="151">IF(AND($B895=INDIRECT(CONCATENATE($J895,$K895,5)),ISBLANK(INDEX(INDIRECT(CONCATENATE($J895,$Q895)),MATCH(INDIRECT($R895),INDIRECT(CONCATENATE($J895,$S895)),0),V895))=FALSE),INDEX(INDIRECT(CONCATENATE($J895,$Q895)),MATCH(INDIRECT($R895),INDIRECT(CONCATENATE($J895,$S895)),0),V895),"")</f>
        <v/>
      </c>
      <c r="X895" s="494" t="s">
        <v>1581</v>
      </c>
      <c r="Y895" s="547" t="str">
        <f t="shared" ca="1" si="141"/>
        <v/>
      </c>
      <c r="Z895" s="494" t="s">
        <v>1582</v>
      </c>
      <c r="AA895" s="547" t="str">
        <f t="shared" ca="1" si="142"/>
        <v/>
      </c>
      <c r="AB895" s="494" t="s">
        <v>1583</v>
      </c>
      <c r="AC895" s="547" t="str">
        <f t="shared" ca="1" si="143"/>
        <v/>
      </c>
      <c r="AD895" s="557"/>
      <c r="AE895" s="958"/>
    </row>
    <row r="896" spans="1:31" ht="15" customHeight="1">
      <c r="A896" s="957" t="str">
        <f t="shared" ca="1" si="147"/>
        <v>28/29</v>
      </c>
      <c r="B896" s="566" t="s">
        <v>152</v>
      </c>
      <c r="C896" s="567" t="str">
        <f t="shared" ca="1" si="148"/>
        <v>Green Star - Healthcare</v>
      </c>
      <c r="D896" s="958">
        <v>1</v>
      </c>
      <c r="E896" s="959" t="s">
        <v>306</v>
      </c>
      <c r="F896" s="558" t="s">
        <v>1454</v>
      </c>
      <c r="G896" s="558">
        <v>73</v>
      </c>
      <c r="H896" s="558" t="s">
        <v>1123</v>
      </c>
      <c r="I896" s="559" t="s">
        <v>332</v>
      </c>
      <c r="J896" s="567" t="s">
        <v>1578</v>
      </c>
      <c r="K896" s="961" t="s">
        <v>1568</v>
      </c>
      <c r="L896" s="555" t="str">
        <f t="shared" ca="1" si="138"/>
        <v/>
      </c>
      <c r="M896" s="494" t="s">
        <v>1569</v>
      </c>
      <c r="N896" s="555" t="str">
        <f t="shared" ca="1" si="139"/>
        <v/>
      </c>
      <c r="O896" s="494" t="s">
        <v>1570</v>
      </c>
      <c r="P896" s="555" t="str">
        <f t="shared" ca="1" si="140"/>
        <v/>
      </c>
      <c r="Q896" s="494" t="s">
        <v>1579</v>
      </c>
      <c r="R896" s="494" t="str">
        <f t="shared" si="149"/>
        <v>I896</v>
      </c>
      <c r="S896" s="494" t="s">
        <v>1580</v>
      </c>
      <c r="T896" s="494">
        <v>6</v>
      </c>
      <c r="U896" s="556" t="str">
        <f t="shared" ca="1" si="150"/>
        <v/>
      </c>
      <c r="V896" s="494">
        <v>7</v>
      </c>
      <c r="W896" s="556" t="str">
        <f t="shared" ca="1" si="151"/>
        <v/>
      </c>
      <c r="X896" s="494" t="s">
        <v>1581</v>
      </c>
      <c r="Y896" s="547" t="str">
        <f t="shared" ca="1" si="141"/>
        <v/>
      </c>
      <c r="Z896" s="494" t="s">
        <v>1582</v>
      </c>
      <c r="AA896" s="547" t="str">
        <f t="shared" ca="1" si="142"/>
        <v/>
      </c>
      <c r="AB896" s="494" t="s">
        <v>1583</v>
      </c>
      <c r="AC896" s="547" t="str">
        <f t="shared" ca="1" si="143"/>
        <v/>
      </c>
      <c r="AD896" s="557"/>
      <c r="AE896" s="958"/>
    </row>
    <row r="897" spans="1:31" ht="15" customHeight="1">
      <c r="A897" s="957" t="str">
        <f t="shared" ca="1" si="147"/>
        <v>28/29</v>
      </c>
      <c r="B897" s="566" t="s">
        <v>152</v>
      </c>
      <c r="C897" s="567" t="str">
        <f t="shared" ca="1" si="148"/>
        <v>Green Star - Healthcare</v>
      </c>
      <c r="D897" s="958">
        <v>1</v>
      </c>
      <c r="E897" s="959" t="s">
        <v>306</v>
      </c>
      <c r="F897" s="558" t="s">
        <v>1454</v>
      </c>
      <c r="G897" s="558">
        <v>134</v>
      </c>
      <c r="H897" s="558" t="s">
        <v>1124</v>
      </c>
      <c r="I897" s="559" t="s">
        <v>597</v>
      </c>
      <c r="J897" s="567" t="s">
        <v>1578</v>
      </c>
      <c r="K897" s="961" t="s">
        <v>1568</v>
      </c>
      <c r="L897" s="555" t="str">
        <f t="shared" ca="1" si="138"/>
        <v/>
      </c>
      <c r="M897" s="494" t="s">
        <v>1569</v>
      </c>
      <c r="N897" s="555" t="str">
        <f t="shared" ca="1" si="139"/>
        <v/>
      </c>
      <c r="O897" s="494" t="s">
        <v>1570</v>
      </c>
      <c r="P897" s="555" t="str">
        <f t="shared" ca="1" si="140"/>
        <v/>
      </c>
      <c r="Q897" s="494" t="s">
        <v>1579</v>
      </c>
      <c r="R897" s="494" t="str">
        <f t="shared" si="149"/>
        <v>I897</v>
      </c>
      <c r="S897" s="494" t="s">
        <v>1580</v>
      </c>
      <c r="T897" s="494">
        <v>6</v>
      </c>
      <c r="U897" s="556" t="str">
        <f t="shared" ca="1" si="150"/>
        <v/>
      </c>
      <c r="V897" s="494">
        <v>7</v>
      </c>
      <c r="W897" s="556" t="str">
        <f t="shared" ca="1" si="151"/>
        <v/>
      </c>
      <c r="X897" s="494" t="s">
        <v>1581</v>
      </c>
      <c r="Y897" s="547" t="str">
        <f t="shared" ca="1" si="141"/>
        <v/>
      </c>
      <c r="Z897" s="494" t="s">
        <v>1582</v>
      </c>
      <c r="AA897" s="547" t="str">
        <f t="shared" ca="1" si="142"/>
        <v/>
      </c>
      <c r="AB897" s="494" t="s">
        <v>1583</v>
      </c>
      <c r="AC897" s="547" t="str">
        <f t="shared" ca="1" si="143"/>
        <v/>
      </c>
      <c r="AD897" s="557"/>
      <c r="AE897" s="958"/>
    </row>
    <row r="898" spans="1:31" ht="15" customHeight="1">
      <c r="A898" s="957" t="str">
        <f t="shared" ca="1" si="147"/>
        <v>28/29</v>
      </c>
      <c r="B898" s="566" t="s">
        <v>152</v>
      </c>
      <c r="C898" s="567" t="str">
        <f t="shared" ca="1" si="148"/>
        <v>Green Star - Healthcare</v>
      </c>
      <c r="D898" s="958">
        <v>1</v>
      </c>
      <c r="E898" s="959" t="s">
        <v>306</v>
      </c>
      <c r="F898" s="558" t="s">
        <v>1454</v>
      </c>
      <c r="G898" s="558">
        <v>109</v>
      </c>
      <c r="H898" s="558" t="s">
        <v>1125</v>
      </c>
      <c r="I898" s="559" t="s">
        <v>314</v>
      </c>
      <c r="J898" s="567" t="s">
        <v>1578</v>
      </c>
      <c r="K898" s="961" t="s">
        <v>1568</v>
      </c>
      <c r="L898" s="555" t="str">
        <f t="shared" ref="L898:L961" ca="1" si="152">IF(AND(INDIRECT(CONCATENATE($J898,$K898,5))=$B898,ISNUMBER(SEARCH("Please",INDIRECT(CONCATENATE($J898,$K898,2)),1))=FALSE),SUMPRODUCT(MID(0&amp;INDIRECT(CONCATENATE($J898,$K898,2)), LARGE(INDEX(ISNUMBER(--MID(INDIRECT(CONCATENATE($J898,$K898,2)), ROW(INDIRECT("1:"&amp;LEN(INDIRECT(CONCATENATE($J898,$K898,2))))),1))*ROW(INDIRECT("1:"&amp;LEN(INDIRECT(CONCATENATE($J898,$K898,2))))),0), ROW(INDIRECT("1:"&amp;LEN(INDIRECT(CONCATENATE($J898,$K898,2))))))+1,1)*10^ROW(INDIRECT("1:"&amp;LEN(INDIRECT(CONCATENATE($J898,$K898,2)))))/10),"")</f>
        <v/>
      </c>
      <c r="M898" s="494" t="s">
        <v>1569</v>
      </c>
      <c r="N898" s="555" t="str">
        <f t="shared" ref="N898:N961" ca="1" si="153">IF(AND(INDIRECT(CONCATENATE($J898,$K898,5))=$B898,ISNUMBER(SEARCH("Select",INDIRECT(CONCATENATE($J898,$M898,6)),1))=FALSE),INDIRECT(CONCATENATE($J898,$M898,6)),"")</f>
        <v/>
      </c>
      <c r="O898" s="494" t="s">
        <v>1570</v>
      </c>
      <c r="P898" s="555" t="str">
        <f t="shared" ref="P898:P961" ca="1" si="154">IF(AND(INDIRECT(CONCATENATE($J898,$K898,5))=$B898,ISNUMBER(SEARCH("Select",INDIRECT(CONCATENATE($J898,$O898,6)),1))=FALSE),INDIRECT(CONCATENATE($J898,$O898,6)),"")</f>
        <v/>
      </c>
      <c r="Q898" s="494" t="s">
        <v>1579</v>
      </c>
      <c r="R898" s="494" t="str">
        <f t="shared" si="149"/>
        <v>I898</v>
      </c>
      <c r="S898" s="494" t="s">
        <v>1580</v>
      </c>
      <c r="T898" s="494">
        <v>6</v>
      </c>
      <c r="U898" s="556" t="str">
        <f t="shared" ca="1" si="150"/>
        <v/>
      </c>
      <c r="V898" s="494">
        <v>7</v>
      </c>
      <c r="W898" s="556" t="str">
        <f t="shared" ca="1" si="151"/>
        <v/>
      </c>
      <c r="X898" s="494" t="s">
        <v>1581</v>
      </c>
      <c r="Y898" s="547" t="str">
        <f t="shared" ref="Y898:Y961" ca="1" si="155">IF(AND(INDIRECT(CONCATENATE($J898,$K898,5))=$B898,ISBLANK(INDIRECT(CONCATENATE($J898,X898)))=FALSE),INDIRECT(CONCATENATE($J898,X898)),"")</f>
        <v/>
      </c>
      <c r="Z898" s="494" t="s">
        <v>1582</v>
      </c>
      <c r="AA898" s="547" t="str">
        <f t="shared" ref="AA898:AA961" ca="1" si="156">IF(AND(INDIRECT(CONCATENATE($J898,$K898,"5"))=$B898,ISBLANK(INDIRECT(CONCATENATE($J898,Z898)))=FALSE),INDIRECT(CONCATENATE($J898,Z898)),"")</f>
        <v/>
      </c>
      <c r="AB898" s="494" t="s">
        <v>1583</v>
      </c>
      <c r="AC898" s="547" t="str">
        <f t="shared" ref="AC898:AC961" ca="1" si="157">IF(AND(INDIRECT(CONCATENATE($J898,$K898,"5"))=$B898,ISBLANK(INDIRECT(CONCATENATE($J898,AB898)))=FALSE),INDIRECT(CONCATENATE($J898,AB898)),"")</f>
        <v/>
      </c>
      <c r="AD898" s="557"/>
      <c r="AE898" s="958"/>
    </row>
    <row r="899" spans="1:31" ht="15" customHeight="1">
      <c r="A899" s="957" t="str">
        <f t="shared" ca="1" si="147"/>
        <v>28/29</v>
      </c>
      <c r="B899" s="566" t="s">
        <v>152</v>
      </c>
      <c r="C899" s="567" t="str">
        <f t="shared" ca="1" si="148"/>
        <v>Green Star - Healthcare</v>
      </c>
      <c r="D899" s="958">
        <v>1</v>
      </c>
      <c r="E899" s="959" t="s">
        <v>306</v>
      </c>
      <c r="F899" s="558" t="s">
        <v>1454</v>
      </c>
      <c r="G899" s="558">
        <v>110</v>
      </c>
      <c r="H899" s="558" t="s">
        <v>1126</v>
      </c>
      <c r="I899" s="559" t="s">
        <v>1128</v>
      </c>
      <c r="J899" s="567" t="s">
        <v>1578</v>
      </c>
      <c r="K899" s="961" t="s">
        <v>1568</v>
      </c>
      <c r="L899" s="555" t="str">
        <f t="shared" ca="1" si="152"/>
        <v/>
      </c>
      <c r="M899" s="494" t="s">
        <v>1569</v>
      </c>
      <c r="N899" s="555" t="str">
        <f t="shared" ca="1" si="153"/>
        <v/>
      </c>
      <c r="O899" s="494" t="s">
        <v>1570</v>
      </c>
      <c r="P899" s="555" t="str">
        <f t="shared" ca="1" si="154"/>
        <v/>
      </c>
      <c r="Q899" s="494" t="s">
        <v>1579</v>
      </c>
      <c r="R899" s="494" t="str">
        <f t="shared" si="149"/>
        <v>I899</v>
      </c>
      <c r="S899" s="494" t="s">
        <v>1584</v>
      </c>
      <c r="T899" s="494">
        <v>6</v>
      </c>
      <c r="U899" s="556" t="str">
        <f t="shared" ca="1" si="150"/>
        <v/>
      </c>
      <c r="V899" s="494">
        <v>7</v>
      </c>
      <c r="W899" s="556" t="str">
        <f t="shared" ca="1" si="151"/>
        <v/>
      </c>
      <c r="X899" s="494" t="s">
        <v>1581</v>
      </c>
      <c r="Y899" s="547" t="str">
        <f t="shared" ca="1" si="155"/>
        <v/>
      </c>
      <c r="Z899" s="494" t="s">
        <v>1582</v>
      </c>
      <c r="AA899" s="547" t="str">
        <f t="shared" ca="1" si="156"/>
        <v/>
      </c>
      <c r="AB899" s="494" t="s">
        <v>1583</v>
      </c>
      <c r="AC899" s="547" t="str">
        <f t="shared" ca="1" si="157"/>
        <v/>
      </c>
      <c r="AD899" s="557"/>
      <c r="AE899" s="958"/>
    </row>
    <row r="900" spans="1:31" ht="15" customHeight="1">
      <c r="A900" s="957" t="str">
        <f t="shared" ca="1" si="147"/>
        <v>28/29</v>
      </c>
      <c r="B900" s="566" t="s">
        <v>152</v>
      </c>
      <c r="C900" s="567" t="str">
        <f t="shared" ca="1" si="148"/>
        <v>Green Star - Healthcare</v>
      </c>
      <c r="D900" s="958">
        <v>1</v>
      </c>
      <c r="E900" s="959" t="s">
        <v>306</v>
      </c>
      <c r="F900" s="558" t="s">
        <v>1454</v>
      </c>
      <c r="G900" s="558">
        <v>110</v>
      </c>
      <c r="H900" s="558" t="s">
        <v>1126</v>
      </c>
      <c r="I900" s="559" t="s">
        <v>1129</v>
      </c>
      <c r="J900" s="567" t="s">
        <v>1578</v>
      </c>
      <c r="K900" s="961" t="s">
        <v>1568</v>
      </c>
      <c r="L900" s="555" t="str">
        <f t="shared" ca="1" si="152"/>
        <v/>
      </c>
      <c r="M900" s="494" t="s">
        <v>1569</v>
      </c>
      <c r="N900" s="555" t="str">
        <f t="shared" ca="1" si="153"/>
        <v/>
      </c>
      <c r="O900" s="494" t="s">
        <v>1570</v>
      </c>
      <c r="P900" s="555" t="str">
        <f t="shared" ca="1" si="154"/>
        <v/>
      </c>
      <c r="Q900" s="494" t="s">
        <v>1579</v>
      </c>
      <c r="R900" s="494" t="str">
        <f t="shared" si="149"/>
        <v>I900</v>
      </c>
      <c r="S900" s="494" t="s">
        <v>1584</v>
      </c>
      <c r="T900" s="494">
        <v>6</v>
      </c>
      <c r="U900" s="556" t="str">
        <f t="shared" ca="1" si="150"/>
        <v/>
      </c>
      <c r="V900" s="494">
        <v>7</v>
      </c>
      <c r="W900" s="556" t="str">
        <f t="shared" ca="1" si="151"/>
        <v/>
      </c>
      <c r="X900" s="494" t="s">
        <v>1581</v>
      </c>
      <c r="Y900" s="547" t="str">
        <f t="shared" ca="1" si="155"/>
        <v/>
      </c>
      <c r="Z900" s="494" t="s">
        <v>1582</v>
      </c>
      <c r="AA900" s="547" t="str">
        <f t="shared" ca="1" si="156"/>
        <v/>
      </c>
      <c r="AB900" s="494" t="s">
        <v>1583</v>
      </c>
      <c r="AC900" s="547" t="str">
        <f t="shared" ca="1" si="157"/>
        <v/>
      </c>
      <c r="AD900" s="557"/>
      <c r="AE900" s="958"/>
    </row>
    <row r="901" spans="1:31" ht="15" customHeight="1">
      <c r="A901" s="957" t="str">
        <f t="shared" ca="1" si="147"/>
        <v>28/29</v>
      </c>
      <c r="B901" s="566" t="s">
        <v>152</v>
      </c>
      <c r="C901" s="567" t="str">
        <f t="shared" ca="1" si="148"/>
        <v>Green Star - Healthcare</v>
      </c>
      <c r="D901" s="958">
        <v>1</v>
      </c>
      <c r="E901" s="959" t="s">
        <v>306</v>
      </c>
      <c r="F901" s="558" t="s">
        <v>1454</v>
      </c>
      <c r="G901" s="558">
        <v>110</v>
      </c>
      <c r="H901" s="558" t="s">
        <v>1126</v>
      </c>
      <c r="I901" s="559" t="s">
        <v>991</v>
      </c>
      <c r="J901" s="567" t="s">
        <v>1578</v>
      </c>
      <c r="K901" s="961" t="s">
        <v>1568</v>
      </c>
      <c r="L901" s="555" t="str">
        <f t="shared" ca="1" si="152"/>
        <v/>
      </c>
      <c r="M901" s="494" t="s">
        <v>1569</v>
      </c>
      <c r="N901" s="555" t="str">
        <f t="shared" ca="1" si="153"/>
        <v/>
      </c>
      <c r="O901" s="494" t="s">
        <v>1570</v>
      </c>
      <c r="P901" s="555" t="str">
        <f t="shared" ca="1" si="154"/>
        <v/>
      </c>
      <c r="Q901" s="494" t="s">
        <v>1579</v>
      </c>
      <c r="R901" s="494" t="str">
        <f t="shared" si="149"/>
        <v>I901</v>
      </c>
      <c r="S901" s="494" t="s">
        <v>1580</v>
      </c>
      <c r="T901" s="494">
        <v>6</v>
      </c>
      <c r="U901" s="556" t="str">
        <f t="shared" ca="1" si="150"/>
        <v/>
      </c>
      <c r="V901" s="494">
        <v>7</v>
      </c>
      <c r="W901" s="556" t="str">
        <f t="shared" ca="1" si="151"/>
        <v/>
      </c>
      <c r="X901" s="494" t="s">
        <v>1581</v>
      </c>
      <c r="Y901" s="547" t="str">
        <f t="shared" ca="1" si="155"/>
        <v/>
      </c>
      <c r="Z901" s="494" t="s">
        <v>1582</v>
      </c>
      <c r="AA901" s="547" t="str">
        <f t="shared" ca="1" si="156"/>
        <v/>
      </c>
      <c r="AB901" s="494" t="s">
        <v>1583</v>
      </c>
      <c r="AC901" s="547" t="str">
        <f t="shared" ca="1" si="157"/>
        <v/>
      </c>
      <c r="AD901" s="557"/>
      <c r="AE901" s="958"/>
    </row>
    <row r="902" spans="1:31" ht="15" customHeight="1">
      <c r="A902" s="957" t="str">
        <f t="shared" ca="1" si="147"/>
        <v>28/29</v>
      </c>
      <c r="B902" s="566" t="s">
        <v>152</v>
      </c>
      <c r="C902" s="567" t="str">
        <f t="shared" ca="1" si="148"/>
        <v>Green Star - Healthcare</v>
      </c>
      <c r="D902" s="958">
        <v>1</v>
      </c>
      <c r="E902" s="959" t="s">
        <v>306</v>
      </c>
      <c r="F902" s="558" t="s">
        <v>1454</v>
      </c>
      <c r="G902" s="558">
        <v>110</v>
      </c>
      <c r="H902" s="558" t="s">
        <v>1126</v>
      </c>
      <c r="I902" s="559" t="s">
        <v>1130</v>
      </c>
      <c r="J902" s="567" t="s">
        <v>1578</v>
      </c>
      <c r="K902" s="961" t="s">
        <v>1568</v>
      </c>
      <c r="L902" s="555" t="str">
        <f t="shared" ca="1" si="152"/>
        <v/>
      </c>
      <c r="M902" s="494" t="s">
        <v>1569</v>
      </c>
      <c r="N902" s="555" t="str">
        <f t="shared" ca="1" si="153"/>
        <v/>
      </c>
      <c r="O902" s="494" t="s">
        <v>1570</v>
      </c>
      <c r="P902" s="555" t="str">
        <f t="shared" ca="1" si="154"/>
        <v/>
      </c>
      <c r="Q902" s="494" t="s">
        <v>1579</v>
      </c>
      <c r="R902" s="494" t="str">
        <f t="shared" si="149"/>
        <v>I902</v>
      </c>
      <c r="S902" s="494" t="s">
        <v>1584</v>
      </c>
      <c r="T902" s="494">
        <v>6</v>
      </c>
      <c r="U902" s="556" t="str">
        <f t="shared" ca="1" si="150"/>
        <v/>
      </c>
      <c r="V902" s="494">
        <v>7</v>
      </c>
      <c r="W902" s="556" t="str">
        <f t="shared" ca="1" si="151"/>
        <v/>
      </c>
      <c r="X902" s="494" t="s">
        <v>1581</v>
      </c>
      <c r="Y902" s="547" t="str">
        <f t="shared" ca="1" si="155"/>
        <v/>
      </c>
      <c r="Z902" s="494" t="s">
        <v>1582</v>
      </c>
      <c r="AA902" s="547" t="str">
        <f t="shared" ca="1" si="156"/>
        <v/>
      </c>
      <c r="AB902" s="494" t="s">
        <v>1583</v>
      </c>
      <c r="AC902" s="547" t="str">
        <f t="shared" ca="1" si="157"/>
        <v/>
      </c>
      <c r="AD902" s="557"/>
      <c r="AE902" s="958"/>
    </row>
    <row r="903" spans="1:31" ht="15" customHeight="1">
      <c r="A903" s="957" t="str">
        <f t="shared" ca="1" si="147"/>
        <v>28/29</v>
      </c>
      <c r="B903" s="566" t="s">
        <v>152</v>
      </c>
      <c r="C903" s="567" t="str">
        <f t="shared" ca="1" si="148"/>
        <v>Green Star - Healthcare</v>
      </c>
      <c r="D903" s="958">
        <v>1</v>
      </c>
      <c r="E903" s="959" t="s">
        <v>306</v>
      </c>
      <c r="F903" s="558" t="s">
        <v>1454</v>
      </c>
      <c r="G903" s="558">
        <v>110</v>
      </c>
      <c r="H903" s="558" t="s">
        <v>1126</v>
      </c>
      <c r="I903" s="559" t="s">
        <v>1131</v>
      </c>
      <c r="J903" s="567" t="s">
        <v>1578</v>
      </c>
      <c r="K903" s="961" t="s">
        <v>1568</v>
      </c>
      <c r="L903" s="555" t="str">
        <f t="shared" ca="1" si="152"/>
        <v/>
      </c>
      <c r="M903" s="494" t="s">
        <v>1569</v>
      </c>
      <c r="N903" s="555" t="str">
        <f t="shared" ca="1" si="153"/>
        <v/>
      </c>
      <c r="O903" s="494" t="s">
        <v>1570</v>
      </c>
      <c r="P903" s="555" t="str">
        <f t="shared" ca="1" si="154"/>
        <v/>
      </c>
      <c r="Q903" s="494" t="s">
        <v>1579</v>
      </c>
      <c r="R903" s="494" t="str">
        <f t="shared" si="149"/>
        <v>I903</v>
      </c>
      <c r="S903" s="494" t="s">
        <v>1584</v>
      </c>
      <c r="T903" s="494">
        <v>6</v>
      </c>
      <c r="U903" s="556" t="str">
        <f t="shared" ca="1" si="150"/>
        <v/>
      </c>
      <c r="V903" s="494">
        <v>7</v>
      </c>
      <c r="W903" s="556" t="str">
        <f t="shared" ca="1" si="151"/>
        <v/>
      </c>
      <c r="X903" s="494" t="s">
        <v>1581</v>
      </c>
      <c r="Y903" s="547" t="str">
        <f t="shared" ca="1" si="155"/>
        <v/>
      </c>
      <c r="Z903" s="494" t="s">
        <v>1582</v>
      </c>
      <c r="AA903" s="547" t="str">
        <f t="shared" ca="1" si="156"/>
        <v/>
      </c>
      <c r="AB903" s="494" t="s">
        <v>1583</v>
      </c>
      <c r="AC903" s="547" t="str">
        <f t="shared" ca="1" si="157"/>
        <v/>
      </c>
      <c r="AD903" s="557"/>
      <c r="AE903" s="958"/>
    </row>
    <row r="904" spans="1:31" ht="15" customHeight="1">
      <c r="A904" s="957" t="str">
        <f t="shared" ca="1" si="147"/>
        <v>28/29</v>
      </c>
      <c r="B904" s="566" t="s">
        <v>152</v>
      </c>
      <c r="C904" s="567" t="str">
        <f t="shared" ca="1" si="148"/>
        <v>Green Star - Healthcare</v>
      </c>
      <c r="D904" s="958">
        <v>1</v>
      </c>
      <c r="E904" s="959" t="s">
        <v>306</v>
      </c>
      <c r="F904" s="558" t="s">
        <v>1454</v>
      </c>
      <c r="G904" s="558">
        <v>111</v>
      </c>
      <c r="H904" s="558" t="s">
        <v>1132</v>
      </c>
      <c r="I904" s="559" t="s">
        <v>1133</v>
      </c>
      <c r="J904" s="567" t="s">
        <v>1578</v>
      </c>
      <c r="K904" s="961" t="s">
        <v>1568</v>
      </c>
      <c r="L904" s="555" t="str">
        <f t="shared" ca="1" si="152"/>
        <v/>
      </c>
      <c r="M904" s="494" t="s">
        <v>1569</v>
      </c>
      <c r="N904" s="555" t="str">
        <f t="shared" ca="1" si="153"/>
        <v/>
      </c>
      <c r="O904" s="494" t="s">
        <v>1570</v>
      </c>
      <c r="P904" s="555" t="str">
        <f t="shared" ca="1" si="154"/>
        <v/>
      </c>
      <c r="Q904" s="494" t="s">
        <v>1579</v>
      </c>
      <c r="R904" s="494" t="str">
        <f t="shared" si="149"/>
        <v>I904</v>
      </c>
      <c r="S904" s="494" t="s">
        <v>1580</v>
      </c>
      <c r="T904" s="494">
        <v>6</v>
      </c>
      <c r="U904" s="556" t="str">
        <f t="shared" ca="1" si="150"/>
        <v/>
      </c>
      <c r="V904" s="494">
        <v>7</v>
      </c>
      <c r="W904" s="556" t="str">
        <f t="shared" ca="1" si="151"/>
        <v/>
      </c>
      <c r="X904" s="494" t="s">
        <v>1581</v>
      </c>
      <c r="Y904" s="547" t="str">
        <f t="shared" ca="1" si="155"/>
        <v/>
      </c>
      <c r="Z904" s="494" t="s">
        <v>1582</v>
      </c>
      <c r="AA904" s="547" t="str">
        <f t="shared" ca="1" si="156"/>
        <v/>
      </c>
      <c r="AB904" s="494" t="s">
        <v>1583</v>
      </c>
      <c r="AC904" s="547" t="str">
        <f t="shared" ca="1" si="157"/>
        <v/>
      </c>
      <c r="AD904" s="557"/>
      <c r="AE904" s="958"/>
    </row>
    <row r="905" spans="1:31" ht="15" customHeight="1">
      <c r="A905" s="957" t="str">
        <f t="shared" ca="1" si="147"/>
        <v>28/29</v>
      </c>
      <c r="B905" s="566" t="s">
        <v>152</v>
      </c>
      <c r="C905" s="567" t="str">
        <f t="shared" ca="1" si="148"/>
        <v>Green Star - Healthcare</v>
      </c>
      <c r="D905" s="958">
        <v>1</v>
      </c>
      <c r="E905" s="959" t="s">
        <v>306</v>
      </c>
      <c r="F905" s="558" t="s">
        <v>1454</v>
      </c>
      <c r="G905" s="558">
        <v>76</v>
      </c>
      <c r="H905" s="558" t="s">
        <v>1134</v>
      </c>
      <c r="I905" s="559" t="s">
        <v>1135</v>
      </c>
      <c r="J905" s="567" t="s">
        <v>1578</v>
      </c>
      <c r="K905" s="961" t="s">
        <v>1568</v>
      </c>
      <c r="L905" s="555" t="str">
        <f t="shared" ca="1" si="152"/>
        <v/>
      </c>
      <c r="M905" s="494" t="s">
        <v>1569</v>
      </c>
      <c r="N905" s="555" t="str">
        <f t="shared" ca="1" si="153"/>
        <v/>
      </c>
      <c r="O905" s="494" t="s">
        <v>1570</v>
      </c>
      <c r="P905" s="555" t="str">
        <f t="shared" ca="1" si="154"/>
        <v/>
      </c>
      <c r="Q905" s="494" t="s">
        <v>1579</v>
      </c>
      <c r="R905" s="494" t="str">
        <f t="shared" ref="R905:R913" si="158">CONCATENATE("I",ROW(J905))</f>
        <v>I905</v>
      </c>
      <c r="S905" s="494" t="s">
        <v>1580</v>
      </c>
      <c r="T905" s="494">
        <v>6</v>
      </c>
      <c r="U905" s="556" t="str">
        <f t="shared" ca="1" si="150"/>
        <v/>
      </c>
      <c r="V905" s="494">
        <v>7</v>
      </c>
      <c r="W905" s="556" t="str">
        <f t="shared" ca="1" si="151"/>
        <v/>
      </c>
      <c r="X905" s="494" t="s">
        <v>1581</v>
      </c>
      <c r="Y905" s="547" t="str">
        <f t="shared" ca="1" si="155"/>
        <v/>
      </c>
      <c r="Z905" s="494" t="s">
        <v>1582</v>
      </c>
      <c r="AA905" s="547" t="str">
        <f t="shared" ca="1" si="156"/>
        <v/>
      </c>
      <c r="AB905" s="494" t="s">
        <v>1583</v>
      </c>
      <c r="AC905" s="547" t="str">
        <f t="shared" ca="1" si="157"/>
        <v/>
      </c>
      <c r="AD905" s="557"/>
      <c r="AE905" s="958"/>
    </row>
    <row r="906" spans="1:31" ht="15" customHeight="1">
      <c r="A906" s="957" t="str">
        <f t="shared" ca="1" si="147"/>
        <v>28/29</v>
      </c>
      <c r="B906" s="566" t="s">
        <v>152</v>
      </c>
      <c r="C906" s="567" t="str">
        <f t="shared" ca="1" si="148"/>
        <v>Green Star - Healthcare</v>
      </c>
      <c r="D906" s="958">
        <v>1</v>
      </c>
      <c r="E906" s="959" t="s">
        <v>306</v>
      </c>
      <c r="F906" s="558" t="s">
        <v>1454</v>
      </c>
      <c r="G906" s="558">
        <v>103</v>
      </c>
      <c r="H906" s="558" t="s">
        <v>1136</v>
      </c>
      <c r="I906" s="559" t="s">
        <v>1137</v>
      </c>
      <c r="J906" s="567" t="s">
        <v>1578</v>
      </c>
      <c r="K906" s="961" t="s">
        <v>1568</v>
      </c>
      <c r="L906" s="555" t="str">
        <f t="shared" ca="1" si="152"/>
        <v/>
      </c>
      <c r="M906" s="494" t="s">
        <v>1569</v>
      </c>
      <c r="N906" s="555" t="str">
        <f t="shared" ca="1" si="153"/>
        <v/>
      </c>
      <c r="O906" s="494" t="s">
        <v>1570</v>
      </c>
      <c r="P906" s="555" t="str">
        <f t="shared" ca="1" si="154"/>
        <v/>
      </c>
      <c r="Q906" s="494" t="s">
        <v>1579</v>
      </c>
      <c r="R906" s="494" t="str">
        <f t="shared" si="158"/>
        <v>I906</v>
      </c>
      <c r="S906" s="494" t="s">
        <v>1580</v>
      </c>
      <c r="T906" s="494">
        <v>6</v>
      </c>
      <c r="U906" s="556" t="str">
        <f t="shared" ca="1" si="150"/>
        <v/>
      </c>
      <c r="V906" s="494">
        <v>7</v>
      </c>
      <c r="W906" s="556" t="str">
        <f t="shared" ca="1" si="151"/>
        <v/>
      </c>
      <c r="X906" s="494" t="s">
        <v>1581</v>
      </c>
      <c r="Y906" s="547" t="str">
        <f t="shared" ca="1" si="155"/>
        <v/>
      </c>
      <c r="Z906" s="494" t="s">
        <v>1582</v>
      </c>
      <c r="AA906" s="547" t="str">
        <f t="shared" ca="1" si="156"/>
        <v/>
      </c>
      <c r="AB906" s="494" t="s">
        <v>1583</v>
      </c>
      <c r="AC906" s="547" t="str">
        <f t="shared" ca="1" si="157"/>
        <v/>
      </c>
      <c r="AD906" s="557"/>
      <c r="AE906" s="958"/>
    </row>
    <row r="907" spans="1:31" ht="15" customHeight="1">
      <c r="A907" s="957" t="str">
        <f t="shared" ca="1" si="147"/>
        <v>28/29</v>
      </c>
      <c r="B907" s="566" t="s">
        <v>152</v>
      </c>
      <c r="C907" s="567" t="str">
        <f t="shared" ca="1" si="148"/>
        <v>Green Star - Healthcare</v>
      </c>
      <c r="D907" s="958">
        <v>1</v>
      </c>
      <c r="E907" s="959" t="s">
        <v>306</v>
      </c>
      <c r="F907" s="558" t="s">
        <v>1454</v>
      </c>
      <c r="G907" s="558">
        <v>51</v>
      </c>
      <c r="H907" s="558" t="s">
        <v>1138</v>
      </c>
      <c r="I907" s="559" t="s">
        <v>1139</v>
      </c>
      <c r="J907" s="567" t="s">
        <v>1578</v>
      </c>
      <c r="K907" s="961" t="s">
        <v>1568</v>
      </c>
      <c r="L907" s="555" t="str">
        <f t="shared" ca="1" si="152"/>
        <v/>
      </c>
      <c r="M907" s="494" t="s">
        <v>1569</v>
      </c>
      <c r="N907" s="555" t="str">
        <f t="shared" ca="1" si="153"/>
        <v/>
      </c>
      <c r="O907" s="494" t="s">
        <v>1570</v>
      </c>
      <c r="P907" s="555" t="str">
        <f t="shared" ca="1" si="154"/>
        <v/>
      </c>
      <c r="Q907" s="494" t="s">
        <v>1579</v>
      </c>
      <c r="R907" s="494" t="str">
        <f t="shared" si="158"/>
        <v>I907</v>
      </c>
      <c r="S907" s="494" t="s">
        <v>1580</v>
      </c>
      <c r="T907" s="494">
        <v>6</v>
      </c>
      <c r="U907" s="556" t="str">
        <f t="shared" ca="1" si="150"/>
        <v/>
      </c>
      <c r="V907" s="494">
        <v>7</v>
      </c>
      <c r="W907" s="556" t="str">
        <f t="shared" ca="1" si="151"/>
        <v/>
      </c>
      <c r="X907" s="494" t="s">
        <v>1581</v>
      </c>
      <c r="Y907" s="547" t="str">
        <f t="shared" ca="1" si="155"/>
        <v/>
      </c>
      <c r="Z907" s="494" t="s">
        <v>1582</v>
      </c>
      <c r="AA907" s="547" t="str">
        <f t="shared" ca="1" si="156"/>
        <v/>
      </c>
      <c r="AB907" s="494" t="s">
        <v>1583</v>
      </c>
      <c r="AC907" s="547" t="str">
        <f t="shared" ca="1" si="157"/>
        <v/>
      </c>
      <c r="AD907" s="557"/>
      <c r="AE907" s="958"/>
    </row>
    <row r="908" spans="1:31" ht="15" customHeight="1">
      <c r="A908" s="957" t="str">
        <f t="shared" ca="1" si="147"/>
        <v>28/29</v>
      </c>
      <c r="B908" s="566" t="s">
        <v>152</v>
      </c>
      <c r="C908" s="567" t="str">
        <f t="shared" ca="1" si="148"/>
        <v>Green Star - Healthcare</v>
      </c>
      <c r="D908" s="958">
        <v>1</v>
      </c>
      <c r="E908" s="959" t="s">
        <v>306</v>
      </c>
      <c r="F908" s="558" t="s">
        <v>1454</v>
      </c>
      <c r="G908" s="558">
        <v>104</v>
      </c>
      <c r="H908" s="558" t="s">
        <v>1140</v>
      </c>
      <c r="I908" s="559" t="s">
        <v>1141</v>
      </c>
      <c r="J908" s="567" t="s">
        <v>1578</v>
      </c>
      <c r="K908" s="961" t="s">
        <v>1568</v>
      </c>
      <c r="L908" s="555" t="str">
        <f t="shared" ca="1" si="152"/>
        <v/>
      </c>
      <c r="M908" s="494" t="s">
        <v>1569</v>
      </c>
      <c r="N908" s="555" t="str">
        <f t="shared" ca="1" si="153"/>
        <v/>
      </c>
      <c r="O908" s="494" t="s">
        <v>1570</v>
      </c>
      <c r="P908" s="555" t="str">
        <f t="shared" ca="1" si="154"/>
        <v/>
      </c>
      <c r="Q908" s="494" t="s">
        <v>1579</v>
      </c>
      <c r="R908" s="494" t="str">
        <f t="shared" si="158"/>
        <v>I908</v>
      </c>
      <c r="S908" s="494" t="s">
        <v>1580</v>
      </c>
      <c r="T908" s="494">
        <v>6</v>
      </c>
      <c r="U908" s="556" t="str">
        <f t="shared" ca="1" si="150"/>
        <v/>
      </c>
      <c r="V908" s="494">
        <v>7</v>
      </c>
      <c r="W908" s="556" t="str">
        <f t="shared" ca="1" si="151"/>
        <v/>
      </c>
      <c r="X908" s="494" t="s">
        <v>1581</v>
      </c>
      <c r="Y908" s="547" t="str">
        <f t="shared" ca="1" si="155"/>
        <v/>
      </c>
      <c r="Z908" s="494" t="s">
        <v>1582</v>
      </c>
      <c r="AA908" s="547" t="str">
        <f t="shared" ca="1" si="156"/>
        <v/>
      </c>
      <c r="AB908" s="494" t="s">
        <v>1583</v>
      </c>
      <c r="AC908" s="547" t="str">
        <f t="shared" ca="1" si="157"/>
        <v/>
      </c>
      <c r="AD908" s="557"/>
      <c r="AE908" s="958"/>
    </row>
    <row r="909" spans="1:31" ht="15" customHeight="1">
      <c r="A909" s="957" t="str">
        <f t="shared" ca="1" si="147"/>
        <v>28/29</v>
      </c>
      <c r="B909" s="566" t="s">
        <v>152</v>
      </c>
      <c r="C909" s="567" t="str">
        <f t="shared" ca="1" si="148"/>
        <v>Green Star - Healthcare</v>
      </c>
      <c r="D909" s="958">
        <v>1</v>
      </c>
      <c r="E909" s="959" t="s">
        <v>306</v>
      </c>
      <c r="F909" s="558" t="s">
        <v>1454</v>
      </c>
      <c r="G909" s="558">
        <v>105</v>
      </c>
      <c r="H909" s="558" t="s">
        <v>1142</v>
      </c>
      <c r="I909" s="559" t="s">
        <v>1143</v>
      </c>
      <c r="J909" s="567" t="s">
        <v>1578</v>
      </c>
      <c r="K909" s="961" t="s">
        <v>1568</v>
      </c>
      <c r="L909" s="555" t="str">
        <f t="shared" ca="1" si="152"/>
        <v/>
      </c>
      <c r="M909" s="494" t="s">
        <v>1569</v>
      </c>
      <c r="N909" s="555" t="str">
        <f t="shared" ca="1" si="153"/>
        <v/>
      </c>
      <c r="O909" s="494" t="s">
        <v>1570</v>
      </c>
      <c r="P909" s="555" t="str">
        <f t="shared" ca="1" si="154"/>
        <v/>
      </c>
      <c r="Q909" s="494" t="s">
        <v>1579</v>
      </c>
      <c r="R909" s="494" t="str">
        <f t="shared" si="158"/>
        <v>I909</v>
      </c>
      <c r="S909" s="494" t="s">
        <v>1580</v>
      </c>
      <c r="T909" s="494">
        <v>6</v>
      </c>
      <c r="U909" s="556" t="str">
        <f t="shared" ca="1" si="150"/>
        <v/>
      </c>
      <c r="V909" s="494">
        <v>7</v>
      </c>
      <c r="W909" s="556" t="str">
        <f t="shared" ca="1" si="151"/>
        <v/>
      </c>
      <c r="X909" s="494" t="s">
        <v>1581</v>
      </c>
      <c r="Y909" s="547" t="str">
        <f t="shared" ca="1" si="155"/>
        <v/>
      </c>
      <c r="Z909" s="494" t="s">
        <v>1582</v>
      </c>
      <c r="AA909" s="547" t="str">
        <f t="shared" ca="1" si="156"/>
        <v/>
      </c>
      <c r="AB909" s="494" t="s">
        <v>1583</v>
      </c>
      <c r="AC909" s="547" t="str">
        <f t="shared" ca="1" si="157"/>
        <v/>
      </c>
      <c r="AD909" s="557"/>
      <c r="AE909" s="958"/>
    </row>
    <row r="910" spans="1:31" ht="15" customHeight="1">
      <c r="A910" s="957" t="str">
        <f t="shared" ca="1" si="147"/>
        <v>28/29</v>
      </c>
      <c r="B910" s="566" t="s">
        <v>152</v>
      </c>
      <c r="C910" s="567" t="str">
        <f t="shared" ca="1" si="148"/>
        <v>Green Star - Healthcare</v>
      </c>
      <c r="D910" s="958">
        <v>1</v>
      </c>
      <c r="E910" s="959" t="s">
        <v>306</v>
      </c>
      <c r="F910" s="558" t="s">
        <v>1454</v>
      </c>
      <c r="G910" s="558">
        <v>108</v>
      </c>
      <c r="H910" s="558" t="s">
        <v>1144</v>
      </c>
      <c r="I910" s="559" t="s">
        <v>1145</v>
      </c>
      <c r="J910" s="567" t="s">
        <v>1578</v>
      </c>
      <c r="K910" s="961" t="s">
        <v>1568</v>
      </c>
      <c r="L910" s="555" t="str">
        <f t="shared" ca="1" si="152"/>
        <v/>
      </c>
      <c r="M910" s="494" t="s">
        <v>1569</v>
      </c>
      <c r="N910" s="555" t="str">
        <f t="shared" ca="1" si="153"/>
        <v/>
      </c>
      <c r="O910" s="494" t="s">
        <v>1570</v>
      </c>
      <c r="P910" s="555" t="str">
        <f t="shared" ca="1" si="154"/>
        <v/>
      </c>
      <c r="Q910" s="494" t="s">
        <v>1579</v>
      </c>
      <c r="R910" s="494" t="str">
        <f t="shared" si="158"/>
        <v>I910</v>
      </c>
      <c r="S910" s="494" t="s">
        <v>1580</v>
      </c>
      <c r="T910" s="494">
        <v>6</v>
      </c>
      <c r="U910" s="556" t="str">
        <f t="shared" ca="1" si="150"/>
        <v/>
      </c>
      <c r="V910" s="494">
        <v>7</v>
      </c>
      <c r="W910" s="556" t="str">
        <f t="shared" ca="1" si="151"/>
        <v/>
      </c>
      <c r="X910" s="494" t="s">
        <v>1581</v>
      </c>
      <c r="Y910" s="547" t="str">
        <f t="shared" ca="1" si="155"/>
        <v/>
      </c>
      <c r="Z910" s="494" t="s">
        <v>1582</v>
      </c>
      <c r="AA910" s="547" t="str">
        <f t="shared" ca="1" si="156"/>
        <v/>
      </c>
      <c r="AB910" s="494" t="s">
        <v>1583</v>
      </c>
      <c r="AC910" s="547" t="str">
        <f t="shared" ca="1" si="157"/>
        <v/>
      </c>
      <c r="AD910" s="557"/>
      <c r="AE910" s="958"/>
    </row>
    <row r="911" spans="1:31" ht="15" customHeight="1">
      <c r="A911" s="957" t="str">
        <f t="shared" ca="1" si="147"/>
        <v>28/29</v>
      </c>
      <c r="B911" s="566" t="s">
        <v>152</v>
      </c>
      <c r="C911" s="567" t="str">
        <f t="shared" ca="1" si="148"/>
        <v>Green Star - Healthcare</v>
      </c>
      <c r="D911" s="958">
        <v>1</v>
      </c>
      <c r="E911" s="959" t="s">
        <v>306</v>
      </c>
      <c r="F911" s="558" t="s">
        <v>1454</v>
      </c>
      <c r="G911" s="558">
        <v>189</v>
      </c>
      <c r="H911" s="558" t="s">
        <v>1146</v>
      </c>
      <c r="I911" s="559" t="s">
        <v>1147</v>
      </c>
      <c r="J911" s="567" t="s">
        <v>1578</v>
      </c>
      <c r="K911" s="961" t="s">
        <v>1568</v>
      </c>
      <c r="L911" s="555" t="str">
        <f t="shared" ca="1" si="152"/>
        <v/>
      </c>
      <c r="M911" s="494" t="s">
        <v>1569</v>
      </c>
      <c r="N911" s="555" t="str">
        <f t="shared" ca="1" si="153"/>
        <v/>
      </c>
      <c r="O911" s="494" t="s">
        <v>1570</v>
      </c>
      <c r="P911" s="555" t="str">
        <f t="shared" ca="1" si="154"/>
        <v/>
      </c>
      <c r="Q911" s="494" t="s">
        <v>1579</v>
      </c>
      <c r="R911" s="494" t="str">
        <f t="shared" si="158"/>
        <v>I911</v>
      </c>
      <c r="S911" s="494" t="s">
        <v>1580</v>
      </c>
      <c r="T911" s="494">
        <v>6</v>
      </c>
      <c r="U911" s="556" t="str">
        <f t="shared" ca="1" si="150"/>
        <v/>
      </c>
      <c r="V911" s="494">
        <v>7</v>
      </c>
      <c r="W911" s="556" t="str">
        <f t="shared" ca="1" si="151"/>
        <v/>
      </c>
      <c r="X911" s="494" t="s">
        <v>1581</v>
      </c>
      <c r="Y911" s="547" t="str">
        <f t="shared" ca="1" si="155"/>
        <v/>
      </c>
      <c r="Z911" s="494" t="s">
        <v>1582</v>
      </c>
      <c r="AA911" s="547" t="str">
        <f t="shared" ca="1" si="156"/>
        <v/>
      </c>
      <c r="AB911" s="494" t="s">
        <v>1583</v>
      </c>
      <c r="AC911" s="547" t="str">
        <f t="shared" ca="1" si="157"/>
        <v/>
      </c>
      <c r="AD911" s="557"/>
      <c r="AE911" s="958"/>
    </row>
    <row r="912" spans="1:31" ht="15" customHeight="1">
      <c r="A912" s="957" t="str">
        <f t="shared" ca="1" si="147"/>
        <v>28/29</v>
      </c>
      <c r="B912" s="566" t="s">
        <v>152</v>
      </c>
      <c r="C912" s="567" t="str">
        <f t="shared" ca="1" si="148"/>
        <v>Green Star - Healthcare</v>
      </c>
      <c r="D912" s="958">
        <v>1</v>
      </c>
      <c r="E912" s="959" t="s">
        <v>306</v>
      </c>
      <c r="F912" s="558" t="s">
        <v>1454</v>
      </c>
      <c r="G912" s="558">
        <v>254</v>
      </c>
      <c r="H912" s="558" t="s">
        <v>1148</v>
      </c>
      <c r="I912" s="559" t="s">
        <v>1149</v>
      </c>
      <c r="J912" s="567" t="s">
        <v>1578</v>
      </c>
      <c r="K912" s="961" t="s">
        <v>1568</v>
      </c>
      <c r="L912" s="555" t="str">
        <f t="shared" ca="1" si="152"/>
        <v/>
      </c>
      <c r="M912" s="494" t="s">
        <v>1569</v>
      </c>
      <c r="N912" s="555" t="str">
        <f t="shared" ca="1" si="153"/>
        <v/>
      </c>
      <c r="O912" s="494" t="s">
        <v>1570</v>
      </c>
      <c r="P912" s="555" t="str">
        <f t="shared" ca="1" si="154"/>
        <v/>
      </c>
      <c r="Q912" s="494" t="s">
        <v>1579</v>
      </c>
      <c r="R912" s="494" t="str">
        <f t="shared" si="158"/>
        <v>I912</v>
      </c>
      <c r="S912" s="494" t="s">
        <v>1580</v>
      </c>
      <c r="T912" s="494">
        <v>6</v>
      </c>
      <c r="U912" s="556" t="str">
        <f t="shared" ca="1" si="150"/>
        <v/>
      </c>
      <c r="V912" s="494">
        <v>7</v>
      </c>
      <c r="W912" s="556" t="str">
        <f t="shared" ca="1" si="151"/>
        <v/>
      </c>
      <c r="X912" s="494" t="s">
        <v>1581</v>
      </c>
      <c r="Y912" s="547" t="str">
        <f t="shared" ca="1" si="155"/>
        <v/>
      </c>
      <c r="Z912" s="494" t="s">
        <v>1582</v>
      </c>
      <c r="AA912" s="547" t="str">
        <f t="shared" ca="1" si="156"/>
        <v/>
      </c>
      <c r="AB912" s="494" t="s">
        <v>1583</v>
      </c>
      <c r="AC912" s="547" t="str">
        <f t="shared" ca="1" si="157"/>
        <v/>
      </c>
      <c r="AD912" s="557"/>
      <c r="AE912" s="958"/>
    </row>
    <row r="913" spans="1:31" ht="15" customHeight="1">
      <c r="A913" s="957" t="str">
        <f t="shared" ca="1" si="147"/>
        <v>28/29</v>
      </c>
      <c r="B913" s="566" t="s">
        <v>152</v>
      </c>
      <c r="C913" s="567" t="str">
        <f t="shared" ca="1" si="148"/>
        <v>Green Star - Healthcare</v>
      </c>
      <c r="D913" s="958">
        <v>1</v>
      </c>
      <c r="E913" s="959" t="s">
        <v>306</v>
      </c>
      <c r="F913" s="558" t="s">
        <v>1454</v>
      </c>
      <c r="G913" s="558">
        <v>192</v>
      </c>
      <c r="H913" s="558" t="s">
        <v>1150</v>
      </c>
      <c r="I913" s="559" t="s">
        <v>1151</v>
      </c>
      <c r="J913" s="567" t="s">
        <v>1578</v>
      </c>
      <c r="K913" s="961" t="s">
        <v>1568</v>
      </c>
      <c r="L913" s="555" t="str">
        <f t="shared" ca="1" si="152"/>
        <v/>
      </c>
      <c r="M913" s="494" t="s">
        <v>1569</v>
      </c>
      <c r="N913" s="555" t="str">
        <f t="shared" ca="1" si="153"/>
        <v/>
      </c>
      <c r="O913" s="494" t="s">
        <v>1570</v>
      </c>
      <c r="P913" s="555" t="str">
        <f t="shared" ca="1" si="154"/>
        <v/>
      </c>
      <c r="Q913" s="494" t="s">
        <v>1579</v>
      </c>
      <c r="R913" s="494" t="str">
        <f t="shared" si="158"/>
        <v>I913</v>
      </c>
      <c r="S913" s="494" t="s">
        <v>1580</v>
      </c>
      <c r="T913" s="494">
        <v>6</v>
      </c>
      <c r="U913" s="556" t="str">
        <f t="shared" ca="1" si="150"/>
        <v/>
      </c>
      <c r="V913" s="494">
        <v>7</v>
      </c>
      <c r="W913" s="556" t="str">
        <f t="shared" ca="1" si="151"/>
        <v/>
      </c>
      <c r="X913" s="494" t="s">
        <v>1581</v>
      </c>
      <c r="Y913" s="547" t="str">
        <f t="shared" ca="1" si="155"/>
        <v/>
      </c>
      <c r="Z913" s="494" t="s">
        <v>1582</v>
      </c>
      <c r="AA913" s="547" t="str">
        <f t="shared" ca="1" si="156"/>
        <v/>
      </c>
      <c r="AB913" s="494" t="s">
        <v>1583</v>
      </c>
      <c r="AC913" s="547" t="str">
        <f t="shared" ca="1" si="157"/>
        <v/>
      </c>
      <c r="AD913" s="557"/>
      <c r="AE913" s="958"/>
    </row>
    <row r="914" spans="1:31" ht="15" customHeight="1">
      <c r="A914" s="957" t="str">
        <f t="shared" ca="1" si="147"/>
        <v>28/29</v>
      </c>
      <c r="B914" s="566" t="s">
        <v>152</v>
      </c>
      <c r="C914" s="567" t="str">
        <f t="shared" ca="1" si="148"/>
        <v>Green Star - Healthcare</v>
      </c>
      <c r="D914" s="958">
        <v>1</v>
      </c>
      <c r="E914" s="959" t="s">
        <v>335</v>
      </c>
      <c r="F914" s="558" t="s">
        <v>1455</v>
      </c>
      <c r="G914" s="558">
        <v>106</v>
      </c>
      <c r="H914" s="558" t="s">
        <v>1576</v>
      </c>
      <c r="I914" s="559" t="s">
        <v>338</v>
      </c>
      <c r="J914" s="567" t="s">
        <v>1578</v>
      </c>
      <c r="K914" s="961" t="s">
        <v>1568</v>
      </c>
      <c r="L914" s="555" t="str">
        <f t="shared" ca="1" si="152"/>
        <v/>
      </c>
      <c r="M914" s="494" t="s">
        <v>1569</v>
      </c>
      <c r="N914" s="555" t="str">
        <f t="shared" ca="1" si="153"/>
        <v/>
      </c>
      <c r="O914" s="494" t="s">
        <v>1570</v>
      </c>
      <c r="P914" s="555" t="str">
        <f t="shared" ca="1" si="154"/>
        <v/>
      </c>
      <c r="Q914" s="494" t="s">
        <v>1579</v>
      </c>
      <c r="R914" s="494" t="str">
        <f t="shared" si="149"/>
        <v>I914</v>
      </c>
      <c r="S914" s="494" t="s">
        <v>1580</v>
      </c>
      <c r="T914" s="494">
        <v>6</v>
      </c>
      <c r="U914" s="556" t="str">
        <f t="shared" ca="1" si="150"/>
        <v/>
      </c>
      <c r="V914" s="494">
        <v>7</v>
      </c>
      <c r="W914" s="556" t="str">
        <f t="shared" ca="1" si="151"/>
        <v/>
      </c>
      <c r="X914" s="494" t="s">
        <v>1581</v>
      </c>
      <c r="Y914" s="547" t="str">
        <f t="shared" ca="1" si="155"/>
        <v/>
      </c>
      <c r="Z914" s="494" t="s">
        <v>1582</v>
      </c>
      <c r="AA914" s="547" t="str">
        <f t="shared" ca="1" si="156"/>
        <v/>
      </c>
      <c r="AB914" s="494" t="s">
        <v>1583</v>
      </c>
      <c r="AC914" s="547" t="str">
        <f t="shared" ca="1" si="157"/>
        <v/>
      </c>
      <c r="AD914" s="557"/>
      <c r="AE914" s="958"/>
    </row>
    <row r="915" spans="1:31" ht="15" customHeight="1">
      <c r="A915" s="957" t="str">
        <f t="shared" ca="1" si="147"/>
        <v>28/29</v>
      </c>
      <c r="B915" s="566" t="s">
        <v>152</v>
      </c>
      <c r="C915" s="567" t="str">
        <f t="shared" ca="1" si="148"/>
        <v>Green Star - Healthcare</v>
      </c>
      <c r="D915" s="958">
        <v>1</v>
      </c>
      <c r="E915" s="959" t="s">
        <v>335</v>
      </c>
      <c r="F915" s="558" t="s">
        <v>1455</v>
      </c>
      <c r="G915" s="558">
        <v>130</v>
      </c>
      <c r="H915" s="558" t="s">
        <v>1153</v>
      </c>
      <c r="I915" s="559" t="s">
        <v>336</v>
      </c>
      <c r="J915" s="567" t="s">
        <v>1578</v>
      </c>
      <c r="K915" s="961" t="s">
        <v>1568</v>
      </c>
      <c r="L915" s="555" t="str">
        <f t="shared" ca="1" si="152"/>
        <v/>
      </c>
      <c r="M915" s="494" t="s">
        <v>1569</v>
      </c>
      <c r="N915" s="555" t="str">
        <f t="shared" ca="1" si="153"/>
        <v/>
      </c>
      <c r="O915" s="494" t="s">
        <v>1570</v>
      </c>
      <c r="P915" s="555" t="str">
        <f t="shared" ca="1" si="154"/>
        <v/>
      </c>
      <c r="Q915" s="494" t="s">
        <v>1579</v>
      </c>
      <c r="R915" s="494" t="str">
        <f t="shared" si="149"/>
        <v>I915</v>
      </c>
      <c r="S915" s="494" t="s">
        <v>1580</v>
      </c>
      <c r="T915" s="494">
        <v>6</v>
      </c>
      <c r="U915" s="556" t="str">
        <f t="shared" ca="1" si="150"/>
        <v/>
      </c>
      <c r="V915" s="494">
        <v>7</v>
      </c>
      <c r="W915" s="556" t="str">
        <f t="shared" ca="1" si="151"/>
        <v/>
      </c>
      <c r="X915" s="494" t="s">
        <v>1581</v>
      </c>
      <c r="Y915" s="547" t="str">
        <f t="shared" ca="1" si="155"/>
        <v/>
      </c>
      <c r="Z915" s="494" t="s">
        <v>1582</v>
      </c>
      <c r="AA915" s="547" t="str">
        <f t="shared" ca="1" si="156"/>
        <v/>
      </c>
      <c r="AB915" s="494" t="s">
        <v>1583</v>
      </c>
      <c r="AC915" s="547" t="str">
        <f t="shared" ca="1" si="157"/>
        <v/>
      </c>
      <c r="AD915" s="557"/>
      <c r="AE915" s="958"/>
    </row>
    <row r="916" spans="1:31" ht="15" customHeight="1">
      <c r="A916" s="957" t="str">
        <f t="shared" ca="1" si="147"/>
        <v>28/29</v>
      </c>
      <c r="B916" s="566" t="s">
        <v>152</v>
      </c>
      <c r="C916" s="567" t="str">
        <f t="shared" ca="1" si="148"/>
        <v>Green Star - Healthcare</v>
      </c>
      <c r="D916" s="958">
        <v>1</v>
      </c>
      <c r="E916" s="959" t="s">
        <v>335</v>
      </c>
      <c r="F916" s="558" t="s">
        <v>1455</v>
      </c>
      <c r="G916" s="558">
        <v>135</v>
      </c>
      <c r="H916" s="558" t="s">
        <v>1154</v>
      </c>
      <c r="I916" s="559" t="s">
        <v>1155</v>
      </c>
      <c r="J916" s="567" t="s">
        <v>1578</v>
      </c>
      <c r="K916" s="961" t="s">
        <v>1568</v>
      </c>
      <c r="L916" s="555" t="str">
        <f t="shared" ca="1" si="152"/>
        <v/>
      </c>
      <c r="M916" s="494" t="s">
        <v>1569</v>
      </c>
      <c r="N916" s="555" t="str">
        <f t="shared" ca="1" si="153"/>
        <v/>
      </c>
      <c r="O916" s="494" t="s">
        <v>1570</v>
      </c>
      <c r="P916" s="555" t="str">
        <f t="shared" ca="1" si="154"/>
        <v/>
      </c>
      <c r="Q916" s="494" t="s">
        <v>1579</v>
      </c>
      <c r="R916" s="494" t="str">
        <f t="shared" si="149"/>
        <v>I916</v>
      </c>
      <c r="S916" s="494" t="s">
        <v>1580</v>
      </c>
      <c r="T916" s="494">
        <v>6</v>
      </c>
      <c r="U916" s="556" t="str">
        <f t="shared" ca="1" si="150"/>
        <v/>
      </c>
      <c r="V916" s="494">
        <v>7</v>
      </c>
      <c r="W916" s="556" t="str">
        <f t="shared" ca="1" si="151"/>
        <v/>
      </c>
      <c r="X916" s="494" t="s">
        <v>1581</v>
      </c>
      <c r="Y916" s="547" t="str">
        <f t="shared" ca="1" si="155"/>
        <v/>
      </c>
      <c r="Z916" s="494" t="s">
        <v>1582</v>
      </c>
      <c r="AA916" s="547" t="str">
        <f t="shared" ca="1" si="156"/>
        <v/>
      </c>
      <c r="AB916" s="494" t="s">
        <v>1583</v>
      </c>
      <c r="AC916" s="547" t="str">
        <f t="shared" ca="1" si="157"/>
        <v/>
      </c>
      <c r="AD916" s="557"/>
      <c r="AE916" s="958"/>
    </row>
    <row r="917" spans="1:31" ht="15" customHeight="1">
      <c r="A917" s="957" t="str">
        <f t="shared" ca="1" si="147"/>
        <v>28/29</v>
      </c>
      <c r="B917" s="566" t="s">
        <v>152</v>
      </c>
      <c r="C917" s="567" t="str">
        <f t="shared" ca="1" si="148"/>
        <v>Green Star - Healthcare</v>
      </c>
      <c r="D917" s="958">
        <v>1</v>
      </c>
      <c r="E917" s="959" t="s">
        <v>335</v>
      </c>
      <c r="F917" s="558" t="s">
        <v>1455</v>
      </c>
      <c r="G917" s="558">
        <v>45</v>
      </c>
      <c r="H917" s="558" t="s">
        <v>1156</v>
      </c>
      <c r="I917" s="559" t="s">
        <v>1157</v>
      </c>
      <c r="J917" s="567" t="s">
        <v>1578</v>
      </c>
      <c r="K917" s="961" t="s">
        <v>1568</v>
      </c>
      <c r="L917" s="555" t="str">
        <f t="shared" ca="1" si="152"/>
        <v/>
      </c>
      <c r="M917" s="494" t="s">
        <v>1569</v>
      </c>
      <c r="N917" s="555" t="str">
        <f t="shared" ca="1" si="153"/>
        <v/>
      </c>
      <c r="O917" s="494" t="s">
        <v>1570</v>
      </c>
      <c r="P917" s="555" t="str">
        <f t="shared" ca="1" si="154"/>
        <v/>
      </c>
      <c r="Q917" s="494" t="s">
        <v>1579</v>
      </c>
      <c r="R917" s="494" t="str">
        <f t="shared" si="149"/>
        <v>I917</v>
      </c>
      <c r="S917" s="494" t="s">
        <v>1580</v>
      </c>
      <c r="T917" s="494">
        <v>6</v>
      </c>
      <c r="U917" s="556" t="str">
        <f t="shared" ca="1" si="150"/>
        <v/>
      </c>
      <c r="V917" s="494">
        <v>7</v>
      </c>
      <c r="W917" s="556" t="str">
        <f t="shared" ca="1" si="151"/>
        <v/>
      </c>
      <c r="X917" s="494" t="s">
        <v>1581</v>
      </c>
      <c r="Y917" s="547" t="str">
        <f t="shared" ca="1" si="155"/>
        <v/>
      </c>
      <c r="Z917" s="494" t="s">
        <v>1582</v>
      </c>
      <c r="AA917" s="547" t="str">
        <f t="shared" ca="1" si="156"/>
        <v/>
      </c>
      <c r="AB917" s="494" t="s">
        <v>1583</v>
      </c>
      <c r="AC917" s="547" t="str">
        <f t="shared" ca="1" si="157"/>
        <v/>
      </c>
      <c r="AD917" s="557"/>
      <c r="AE917" s="958"/>
    </row>
    <row r="918" spans="1:31" ht="15" customHeight="1">
      <c r="A918" s="957" t="str">
        <f t="shared" ca="1" si="147"/>
        <v>28/29</v>
      </c>
      <c r="B918" s="566" t="s">
        <v>152</v>
      </c>
      <c r="C918" s="567" t="str">
        <f t="shared" ca="1" si="148"/>
        <v>Green Star - Healthcare</v>
      </c>
      <c r="D918" s="958">
        <v>1</v>
      </c>
      <c r="E918" s="959" t="s">
        <v>335</v>
      </c>
      <c r="F918" s="558" t="s">
        <v>1455</v>
      </c>
      <c r="G918" s="558">
        <v>137</v>
      </c>
      <c r="H918" s="558" t="s">
        <v>1158</v>
      </c>
      <c r="I918" s="559" t="s">
        <v>1159</v>
      </c>
      <c r="J918" s="567" t="s">
        <v>1578</v>
      </c>
      <c r="K918" s="961" t="s">
        <v>1568</v>
      </c>
      <c r="L918" s="555" t="str">
        <f t="shared" ca="1" si="152"/>
        <v/>
      </c>
      <c r="M918" s="494" t="s">
        <v>1569</v>
      </c>
      <c r="N918" s="555" t="str">
        <f t="shared" ca="1" si="153"/>
        <v/>
      </c>
      <c r="O918" s="494" t="s">
        <v>1570</v>
      </c>
      <c r="P918" s="555" t="str">
        <f t="shared" ca="1" si="154"/>
        <v/>
      </c>
      <c r="Q918" s="494" t="s">
        <v>1579</v>
      </c>
      <c r="R918" s="494" t="str">
        <f t="shared" si="149"/>
        <v>I918</v>
      </c>
      <c r="S918" s="494" t="s">
        <v>1580</v>
      </c>
      <c r="T918" s="494">
        <v>6</v>
      </c>
      <c r="U918" s="556" t="str">
        <f t="shared" ca="1" si="150"/>
        <v/>
      </c>
      <c r="V918" s="494">
        <v>7</v>
      </c>
      <c r="W918" s="556" t="str">
        <f t="shared" ca="1" si="151"/>
        <v/>
      </c>
      <c r="X918" s="494" t="s">
        <v>1581</v>
      </c>
      <c r="Y918" s="547" t="str">
        <f t="shared" ca="1" si="155"/>
        <v/>
      </c>
      <c r="Z918" s="494" t="s">
        <v>1582</v>
      </c>
      <c r="AA918" s="547" t="str">
        <f t="shared" ca="1" si="156"/>
        <v/>
      </c>
      <c r="AB918" s="494" t="s">
        <v>1583</v>
      </c>
      <c r="AC918" s="547" t="str">
        <f t="shared" ca="1" si="157"/>
        <v/>
      </c>
      <c r="AD918" s="557"/>
      <c r="AE918" s="958"/>
    </row>
    <row r="919" spans="1:31" ht="15" customHeight="1">
      <c r="A919" s="957" t="str">
        <f t="shared" ca="1" si="147"/>
        <v>28/29</v>
      </c>
      <c r="B919" s="566" t="s">
        <v>152</v>
      </c>
      <c r="C919" s="567" t="str">
        <f t="shared" ca="1" si="148"/>
        <v>Green Star - Healthcare</v>
      </c>
      <c r="D919" s="958">
        <v>1</v>
      </c>
      <c r="E919" s="959" t="s">
        <v>335</v>
      </c>
      <c r="F919" s="558" t="s">
        <v>1455</v>
      </c>
      <c r="G919" s="558">
        <v>176</v>
      </c>
      <c r="H919" s="558" t="s">
        <v>1160</v>
      </c>
      <c r="I919" s="559" t="s">
        <v>1161</v>
      </c>
      <c r="J919" s="567" t="s">
        <v>1578</v>
      </c>
      <c r="K919" s="961" t="s">
        <v>1568</v>
      </c>
      <c r="L919" s="555" t="str">
        <f t="shared" ca="1" si="152"/>
        <v/>
      </c>
      <c r="M919" s="494" t="s">
        <v>1569</v>
      </c>
      <c r="N919" s="555" t="str">
        <f t="shared" ca="1" si="153"/>
        <v/>
      </c>
      <c r="O919" s="494" t="s">
        <v>1570</v>
      </c>
      <c r="P919" s="555" t="str">
        <f t="shared" ca="1" si="154"/>
        <v/>
      </c>
      <c r="Q919" s="494" t="s">
        <v>1579</v>
      </c>
      <c r="R919" s="494" t="str">
        <f t="shared" si="149"/>
        <v>I919</v>
      </c>
      <c r="S919" s="494" t="s">
        <v>1580</v>
      </c>
      <c r="T919" s="494">
        <v>6</v>
      </c>
      <c r="U919" s="556" t="str">
        <f t="shared" ca="1" si="150"/>
        <v/>
      </c>
      <c r="V919" s="494">
        <v>7</v>
      </c>
      <c r="W919" s="556" t="str">
        <f t="shared" ca="1" si="151"/>
        <v/>
      </c>
      <c r="X919" s="494" t="s">
        <v>1581</v>
      </c>
      <c r="Y919" s="547" t="str">
        <f t="shared" ca="1" si="155"/>
        <v/>
      </c>
      <c r="Z919" s="494" t="s">
        <v>1582</v>
      </c>
      <c r="AA919" s="547" t="str">
        <f t="shared" ca="1" si="156"/>
        <v/>
      </c>
      <c r="AB919" s="494" t="s">
        <v>1583</v>
      </c>
      <c r="AC919" s="547" t="str">
        <f t="shared" ca="1" si="157"/>
        <v/>
      </c>
      <c r="AD919" s="557"/>
      <c r="AE919" s="958"/>
    </row>
    <row r="920" spans="1:31" ht="15" customHeight="1">
      <c r="A920" s="957" t="str">
        <f t="shared" ca="1" si="147"/>
        <v>28/29</v>
      </c>
      <c r="B920" s="566" t="s">
        <v>152</v>
      </c>
      <c r="C920" s="567" t="str">
        <f t="shared" ca="1" si="148"/>
        <v>Green Star - Healthcare</v>
      </c>
      <c r="D920" s="958">
        <v>1</v>
      </c>
      <c r="E920" s="959" t="s">
        <v>335</v>
      </c>
      <c r="F920" s="558" t="s">
        <v>1455</v>
      </c>
      <c r="G920" s="558">
        <v>175</v>
      </c>
      <c r="H920" s="558" t="s">
        <v>1162</v>
      </c>
      <c r="I920" s="559" t="s">
        <v>1163</v>
      </c>
      <c r="J920" s="567" t="s">
        <v>1578</v>
      </c>
      <c r="K920" s="961" t="s">
        <v>1568</v>
      </c>
      <c r="L920" s="555" t="str">
        <f t="shared" ca="1" si="152"/>
        <v/>
      </c>
      <c r="M920" s="494" t="s">
        <v>1569</v>
      </c>
      <c r="N920" s="555" t="str">
        <f t="shared" ca="1" si="153"/>
        <v/>
      </c>
      <c r="O920" s="494" t="s">
        <v>1570</v>
      </c>
      <c r="P920" s="555" t="str">
        <f t="shared" ca="1" si="154"/>
        <v/>
      </c>
      <c r="Q920" s="494" t="s">
        <v>1579</v>
      </c>
      <c r="R920" s="494" t="str">
        <f t="shared" si="149"/>
        <v>I920</v>
      </c>
      <c r="S920" s="494" t="s">
        <v>1580</v>
      </c>
      <c r="T920" s="494">
        <v>6</v>
      </c>
      <c r="U920" s="556" t="str">
        <f t="shared" ca="1" si="150"/>
        <v/>
      </c>
      <c r="V920" s="494">
        <v>7</v>
      </c>
      <c r="W920" s="556" t="str">
        <f t="shared" ca="1" si="151"/>
        <v/>
      </c>
      <c r="X920" s="494" t="s">
        <v>1581</v>
      </c>
      <c r="Y920" s="547" t="str">
        <f t="shared" ca="1" si="155"/>
        <v/>
      </c>
      <c r="Z920" s="494" t="s">
        <v>1582</v>
      </c>
      <c r="AA920" s="547" t="str">
        <f t="shared" ca="1" si="156"/>
        <v/>
      </c>
      <c r="AB920" s="494" t="s">
        <v>1583</v>
      </c>
      <c r="AC920" s="547" t="str">
        <f t="shared" ca="1" si="157"/>
        <v/>
      </c>
      <c r="AD920" s="557"/>
      <c r="AE920" s="958"/>
    </row>
    <row r="921" spans="1:31" ht="15" customHeight="1">
      <c r="A921" s="957" t="str">
        <f t="shared" ca="1" si="147"/>
        <v>28/29</v>
      </c>
      <c r="B921" s="566" t="s">
        <v>152</v>
      </c>
      <c r="C921" s="567" t="str">
        <f t="shared" ca="1" si="148"/>
        <v>Green Star - Healthcare</v>
      </c>
      <c r="D921" s="958">
        <v>1</v>
      </c>
      <c r="E921" s="959" t="s">
        <v>345</v>
      </c>
      <c r="F921" s="558" t="s">
        <v>1484</v>
      </c>
      <c r="G921" s="558">
        <v>50</v>
      </c>
      <c r="H921" s="558" t="s">
        <v>1164</v>
      </c>
      <c r="I921" s="559" t="s">
        <v>1165</v>
      </c>
      <c r="J921" s="567" t="s">
        <v>1578</v>
      </c>
      <c r="K921" s="961" t="s">
        <v>1568</v>
      </c>
      <c r="L921" s="555" t="str">
        <f t="shared" ca="1" si="152"/>
        <v/>
      </c>
      <c r="M921" s="494" t="s">
        <v>1569</v>
      </c>
      <c r="N921" s="555" t="str">
        <f t="shared" ca="1" si="153"/>
        <v/>
      </c>
      <c r="O921" s="494" t="s">
        <v>1570</v>
      </c>
      <c r="P921" s="555" t="str">
        <f t="shared" ca="1" si="154"/>
        <v/>
      </c>
      <c r="Q921" s="494" t="s">
        <v>1579</v>
      </c>
      <c r="R921" s="494" t="str">
        <f t="shared" si="149"/>
        <v>I921</v>
      </c>
      <c r="S921" s="494" t="s">
        <v>1580</v>
      </c>
      <c r="T921" s="494">
        <v>6</v>
      </c>
      <c r="U921" s="556" t="str">
        <f t="shared" ca="1" si="150"/>
        <v/>
      </c>
      <c r="V921" s="494">
        <v>7</v>
      </c>
      <c r="W921" s="556" t="str">
        <f t="shared" ca="1" si="151"/>
        <v/>
      </c>
      <c r="X921" s="494" t="s">
        <v>1581</v>
      </c>
      <c r="Y921" s="547" t="str">
        <f t="shared" ca="1" si="155"/>
        <v/>
      </c>
      <c r="Z921" s="494" t="s">
        <v>1582</v>
      </c>
      <c r="AA921" s="547" t="str">
        <f t="shared" ca="1" si="156"/>
        <v/>
      </c>
      <c r="AB921" s="494" t="s">
        <v>1583</v>
      </c>
      <c r="AC921" s="547" t="str">
        <f t="shared" ca="1" si="157"/>
        <v/>
      </c>
      <c r="AD921" s="557"/>
      <c r="AE921" s="958"/>
    </row>
    <row r="922" spans="1:31" ht="15" customHeight="1">
      <c r="A922" s="957" t="str">
        <f t="shared" ca="1" si="147"/>
        <v>28/29</v>
      </c>
      <c r="B922" s="566" t="s">
        <v>152</v>
      </c>
      <c r="C922" s="567" t="str">
        <f t="shared" ca="1" si="148"/>
        <v>Green Star - Healthcare</v>
      </c>
      <c r="D922" s="958">
        <v>1</v>
      </c>
      <c r="E922" s="959" t="s">
        <v>345</v>
      </c>
      <c r="F922" s="558" t="s">
        <v>1484</v>
      </c>
      <c r="G922" s="558">
        <v>138</v>
      </c>
      <c r="H922" s="558" t="s">
        <v>1166</v>
      </c>
      <c r="I922" s="559" t="s">
        <v>1167</v>
      </c>
      <c r="J922" s="567" t="s">
        <v>1578</v>
      </c>
      <c r="K922" s="961" t="s">
        <v>1568</v>
      </c>
      <c r="L922" s="555" t="str">
        <f t="shared" ca="1" si="152"/>
        <v/>
      </c>
      <c r="M922" s="494" t="s">
        <v>1569</v>
      </c>
      <c r="N922" s="555" t="str">
        <f t="shared" ca="1" si="153"/>
        <v/>
      </c>
      <c r="O922" s="494" t="s">
        <v>1570</v>
      </c>
      <c r="P922" s="555" t="str">
        <f t="shared" ca="1" si="154"/>
        <v/>
      </c>
      <c r="Q922" s="494" t="s">
        <v>1579</v>
      </c>
      <c r="R922" s="494" t="str">
        <f t="shared" si="149"/>
        <v>I922</v>
      </c>
      <c r="S922" s="494" t="s">
        <v>1580</v>
      </c>
      <c r="T922" s="494">
        <v>6</v>
      </c>
      <c r="U922" s="556" t="str">
        <f t="shared" ca="1" si="150"/>
        <v/>
      </c>
      <c r="V922" s="494">
        <v>7</v>
      </c>
      <c r="W922" s="556" t="str">
        <f t="shared" ca="1" si="151"/>
        <v/>
      </c>
      <c r="X922" s="494" t="s">
        <v>1581</v>
      </c>
      <c r="Y922" s="547" t="str">
        <f t="shared" ca="1" si="155"/>
        <v/>
      </c>
      <c r="Z922" s="494" t="s">
        <v>1582</v>
      </c>
      <c r="AA922" s="547" t="str">
        <f t="shared" ca="1" si="156"/>
        <v/>
      </c>
      <c r="AB922" s="494" t="s">
        <v>1583</v>
      </c>
      <c r="AC922" s="547" t="str">
        <f t="shared" ca="1" si="157"/>
        <v/>
      </c>
      <c r="AD922" s="557"/>
      <c r="AE922" s="958"/>
    </row>
    <row r="923" spans="1:31" ht="15" customHeight="1">
      <c r="A923" s="957" t="str">
        <f t="shared" ca="1" si="147"/>
        <v>28/29</v>
      </c>
      <c r="B923" s="566" t="s">
        <v>152</v>
      </c>
      <c r="C923" s="567" t="str">
        <f t="shared" ca="1" si="148"/>
        <v>Green Star - Healthcare</v>
      </c>
      <c r="D923" s="958">
        <v>1</v>
      </c>
      <c r="E923" s="959" t="s">
        <v>345</v>
      </c>
      <c r="F923" s="558" t="s">
        <v>1484</v>
      </c>
      <c r="G923" s="558">
        <v>53</v>
      </c>
      <c r="H923" s="558" t="s">
        <v>1168</v>
      </c>
      <c r="I923" s="559" t="s">
        <v>1170</v>
      </c>
      <c r="J923" s="567" t="s">
        <v>1578</v>
      </c>
      <c r="K923" s="961" t="s">
        <v>1568</v>
      </c>
      <c r="L923" s="555" t="str">
        <f t="shared" ca="1" si="152"/>
        <v/>
      </c>
      <c r="M923" s="494" t="s">
        <v>1569</v>
      </c>
      <c r="N923" s="555" t="str">
        <f t="shared" ca="1" si="153"/>
        <v/>
      </c>
      <c r="O923" s="494" t="s">
        <v>1570</v>
      </c>
      <c r="P923" s="555" t="str">
        <f t="shared" ca="1" si="154"/>
        <v/>
      </c>
      <c r="Q923" s="494" t="s">
        <v>1579</v>
      </c>
      <c r="R923" s="494" t="str">
        <f t="shared" si="149"/>
        <v>I923</v>
      </c>
      <c r="S923" s="494" t="s">
        <v>1584</v>
      </c>
      <c r="T923" s="494">
        <v>6</v>
      </c>
      <c r="U923" s="556" t="str">
        <f t="shared" ca="1" si="150"/>
        <v/>
      </c>
      <c r="V923" s="494">
        <v>7</v>
      </c>
      <c r="W923" s="556" t="str">
        <f t="shared" ca="1" si="151"/>
        <v/>
      </c>
      <c r="X923" s="494" t="s">
        <v>1581</v>
      </c>
      <c r="Y923" s="547" t="str">
        <f t="shared" ca="1" si="155"/>
        <v/>
      </c>
      <c r="Z923" s="494" t="s">
        <v>1582</v>
      </c>
      <c r="AA923" s="547" t="str">
        <f t="shared" ca="1" si="156"/>
        <v/>
      </c>
      <c r="AB923" s="494" t="s">
        <v>1583</v>
      </c>
      <c r="AC923" s="547" t="str">
        <f t="shared" ca="1" si="157"/>
        <v/>
      </c>
      <c r="AD923" s="557"/>
      <c r="AE923" s="958"/>
    </row>
    <row r="924" spans="1:31" ht="15" customHeight="1">
      <c r="A924" s="957" t="str">
        <f t="shared" ca="1" si="147"/>
        <v>28/29</v>
      </c>
      <c r="B924" s="566" t="s">
        <v>152</v>
      </c>
      <c r="C924" s="567" t="str">
        <f t="shared" ca="1" si="148"/>
        <v>Green Star - Healthcare</v>
      </c>
      <c r="D924" s="958">
        <v>1</v>
      </c>
      <c r="E924" s="959" t="s">
        <v>345</v>
      </c>
      <c r="F924" s="558" t="s">
        <v>1484</v>
      </c>
      <c r="G924" s="558">
        <v>53</v>
      </c>
      <c r="H924" s="558" t="s">
        <v>1168</v>
      </c>
      <c r="I924" s="559" t="s">
        <v>1171</v>
      </c>
      <c r="J924" s="567" t="s">
        <v>1578</v>
      </c>
      <c r="K924" s="961" t="s">
        <v>1568</v>
      </c>
      <c r="L924" s="555" t="str">
        <f t="shared" ca="1" si="152"/>
        <v/>
      </c>
      <c r="M924" s="494" t="s">
        <v>1569</v>
      </c>
      <c r="N924" s="555" t="str">
        <f t="shared" ca="1" si="153"/>
        <v/>
      </c>
      <c r="O924" s="494" t="s">
        <v>1570</v>
      </c>
      <c r="P924" s="555" t="str">
        <f t="shared" ca="1" si="154"/>
        <v/>
      </c>
      <c r="Q924" s="494" t="s">
        <v>1579</v>
      </c>
      <c r="R924" s="494" t="str">
        <f t="shared" si="149"/>
        <v>I924</v>
      </c>
      <c r="S924" s="494" t="s">
        <v>1584</v>
      </c>
      <c r="T924" s="494">
        <v>6</v>
      </c>
      <c r="U924" s="556" t="str">
        <f t="shared" ca="1" si="150"/>
        <v/>
      </c>
      <c r="V924" s="494">
        <v>7</v>
      </c>
      <c r="W924" s="556" t="str">
        <f t="shared" ca="1" si="151"/>
        <v/>
      </c>
      <c r="X924" s="494" t="s">
        <v>1581</v>
      </c>
      <c r="Y924" s="547" t="str">
        <f t="shared" ca="1" si="155"/>
        <v/>
      </c>
      <c r="Z924" s="494" t="s">
        <v>1582</v>
      </c>
      <c r="AA924" s="547" t="str">
        <f t="shared" ca="1" si="156"/>
        <v/>
      </c>
      <c r="AB924" s="494" t="s">
        <v>1583</v>
      </c>
      <c r="AC924" s="547" t="str">
        <f t="shared" ca="1" si="157"/>
        <v/>
      </c>
      <c r="AD924" s="557"/>
      <c r="AE924" s="958"/>
    </row>
    <row r="925" spans="1:31" ht="15" customHeight="1">
      <c r="A925" s="957" t="str">
        <f t="shared" ca="1" si="147"/>
        <v>28/29</v>
      </c>
      <c r="B925" s="566" t="s">
        <v>152</v>
      </c>
      <c r="C925" s="567" t="str">
        <f t="shared" ca="1" si="148"/>
        <v>Green Star - Healthcare</v>
      </c>
      <c r="D925" s="958">
        <v>1</v>
      </c>
      <c r="E925" s="959" t="s">
        <v>345</v>
      </c>
      <c r="F925" s="558" t="s">
        <v>1484</v>
      </c>
      <c r="G925" s="558">
        <v>139</v>
      </c>
      <c r="H925" s="558" t="s">
        <v>1172</v>
      </c>
      <c r="I925" s="559" t="s">
        <v>985</v>
      </c>
      <c r="J925" s="567" t="s">
        <v>1578</v>
      </c>
      <c r="K925" s="961" t="s">
        <v>1568</v>
      </c>
      <c r="L925" s="555" t="str">
        <f t="shared" ca="1" si="152"/>
        <v/>
      </c>
      <c r="M925" s="494" t="s">
        <v>1569</v>
      </c>
      <c r="N925" s="555" t="str">
        <f t="shared" ca="1" si="153"/>
        <v/>
      </c>
      <c r="O925" s="494" t="s">
        <v>1570</v>
      </c>
      <c r="P925" s="555" t="str">
        <f t="shared" ca="1" si="154"/>
        <v/>
      </c>
      <c r="Q925" s="494" t="s">
        <v>1579</v>
      </c>
      <c r="R925" s="494" t="str">
        <f t="shared" si="149"/>
        <v>I925</v>
      </c>
      <c r="S925" s="494" t="s">
        <v>1580</v>
      </c>
      <c r="T925" s="494">
        <v>6</v>
      </c>
      <c r="U925" s="556" t="str">
        <f t="shared" ca="1" si="150"/>
        <v/>
      </c>
      <c r="V925" s="494">
        <v>7</v>
      </c>
      <c r="W925" s="556" t="str">
        <f t="shared" ca="1" si="151"/>
        <v/>
      </c>
      <c r="X925" s="494" t="s">
        <v>1581</v>
      </c>
      <c r="Y925" s="547" t="str">
        <f t="shared" ca="1" si="155"/>
        <v/>
      </c>
      <c r="Z925" s="494" t="s">
        <v>1582</v>
      </c>
      <c r="AA925" s="547" t="str">
        <f t="shared" ca="1" si="156"/>
        <v/>
      </c>
      <c r="AB925" s="494" t="s">
        <v>1583</v>
      </c>
      <c r="AC925" s="547" t="str">
        <f t="shared" ca="1" si="157"/>
        <v/>
      </c>
      <c r="AD925" s="557"/>
      <c r="AE925" s="958"/>
    </row>
    <row r="926" spans="1:31" ht="15" customHeight="1">
      <c r="A926" s="957" t="str">
        <f t="shared" ca="1" si="147"/>
        <v>28/29</v>
      </c>
      <c r="B926" s="566" t="s">
        <v>152</v>
      </c>
      <c r="C926" s="567" t="str">
        <f t="shared" ca="1" si="148"/>
        <v>Green Star - Healthcare</v>
      </c>
      <c r="D926" s="958">
        <v>1</v>
      </c>
      <c r="E926" s="959" t="s">
        <v>345</v>
      </c>
      <c r="F926" s="558" t="s">
        <v>1484</v>
      </c>
      <c r="G926" s="558">
        <v>230</v>
      </c>
      <c r="H926" s="558" t="s">
        <v>1173</v>
      </c>
      <c r="I926" s="559" t="s">
        <v>1174</v>
      </c>
      <c r="J926" s="567" t="s">
        <v>1578</v>
      </c>
      <c r="K926" s="961" t="s">
        <v>1568</v>
      </c>
      <c r="L926" s="555" t="str">
        <f t="shared" ca="1" si="152"/>
        <v/>
      </c>
      <c r="M926" s="494" t="s">
        <v>1569</v>
      </c>
      <c r="N926" s="555" t="str">
        <f t="shared" ca="1" si="153"/>
        <v/>
      </c>
      <c r="O926" s="494" t="s">
        <v>1570</v>
      </c>
      <c r="P926" s="555" t="str">
        <f t="shared" ca="1" si="154"/>
        <v/>
      </c>
      <c r="Q926" s="494" t="s">
        <v>1579</v>
      </c>
      <c r="R926" s="494" t="str">
        <f t="shared" si="149"/>
        <v>I926</v>
      </c>
      <c r="S926" s="494" t="s">
        <v>1580</v>
      </c>
      <c r="T926" s="494">
        <v>6</v>
      </c>
      <c r="U926" s="556" t="str">
        <f t="shared" ca="1" si="150"/>
        <v/>
      </c>
      <c r="V926" s="494">
        <v>7</v>
      </c>
      <c r="W926" s="556" t="str">
        <f t="shared" ca="1" si="151"/>
        <v/>
      </c>
      <c r="X926" s="494" t="s">
        <v>1581</v>
      </c>
      <c r="Y926" s="547" t="str">
        <f t="shared" ca="1" si="155"/>
        <v/>
      </c>
      <c r="Z926" s="494" t="s">
        <v>1582</v>
      </c>
      <c r="AA926" s="547" t="str">
        <f t="shared" ca="1" si="156"/>
        <v/>
      </c>
      <c r="AB926" s="494" t="s">
        <v>1583</v>
      </c>
      <c r="AC926" s="547" t="str">
        <f t="shared" ca="1" si="157"/>
        <v/>
      </c>
      <c r="AD926" s="557"/>
      <c r="AE926" s="958"/>
    </row>
    <row r="927" spans="1:31" ht="15" customHeight="1">
      <c r="A927" s="957" t="str">
        <f t="shared" ca="1" si="147"/>
        <v>28/29</v>
      </c>
      <c r="B927" s="566" t="s">
        <v>152</v>
      </c>
      <c r="C927" s="567" t="str">
        <f t="shared" ca="1" si="148"/>
        <v>Green Star - Healthcare</v>
      </c>
      <c r="D927" s="958">
        <v>1</v>
      </c>
      <c r="E927" s="959" t="s">
        <v>353</v>
      </c>
      <c r="F927" s="558" t="s">
        <v>1486</v>
      </c>
      <c r="G927" s="558">
        <v>140</v>
      </c>
      <c r="H927" s="558" t="s">
        <v>1175</v>
      </c>
      <c r="I927" s="559" t="s">
        <v>1176</v>
      </c>
      <c r="J927" s="567" t="s">
        <v>1578</v>
      </c>
      <c r="K927" s="961" t="s">
        <v>1568</v>
      </c>
      <c r="L927" s="555" t="str">
        <f t="shared" ca="1" si="152"/>
        <v/>
      </c>
      <c r="M927" s="494" t="s">
        <v>1569</v>
      </c>
      <c r="N927" s="555" t="str">
        <f t="shared" ca="1" si="153"/>
        <v/>
      </c>
      <c r="O927" s="494" t="s">
        <v>1570</v>
      </c>
      <c r="P927" s="555" t="str">
        <f t="shared" ca="1" si="154"/>
        <v/>
      </c>
      <c r="Q927" s="494" t="s">
        <v>1579</v>
      </c>
      <c r="R927" s="494" t="str">
        <f t="shared" si="149"/>
        <v>I927</v>
      </c>
      <c r="S927" s="494" t="s">
        <v>1580</v>
      </c>
      <c r="T927" s="494">
        <v>6</v>
      </c>
      <c r="U927" s="556" t="str">
        <f t="shared" ca="1" si="150"/>
        <v/>
      </c>
      <c r="V927" s="494">
        <v>7</v>
      </c>
      <c r="W927" s="556" t="str">
        <f t="shared" ca="1" si="151"/>
        <v/>
      </c>
      <c r="X927" s="494" t="s">
        <v>1581</v>
      </c>
      <c r="Y927" s="547" t="str">
        <f t="shared" ca="1" si="155"/>
        <v/>
      </c>
      <c r="Z927" s="494" t="s">
        <v>1582</v>
      </c>
      <c r="AA927" s="547" t="str">
        <f t="shared" ca="1" si="156"/>
        <v/>
      </c>
      <c r="AB927" s="494" t="s">
        <v>1583</v>
      </c>
      <c r="AC927" s="547" t="str">
        <f t="shared" ca="1" si="157"/>
        <v/>
      </c>
      <c r="AD927" s="557"/>
      <c r="AE927" s="958"/>
    </row>
    <row r="928" spans="1:31" ht="15" customHeight="1">
      <c r="A928" s="957" t="str">
        <f t="shared" ca="1" si="147"/>
        <v>28/29</v>
      </c>
      <c r="B928" s="566" t="s">
        <v>152</v>
      </c>
      <c r="C928" s="567" t="str">
        <f t="shared" ca="1" si="148"/>
        <v>Green Star - Healthcare</v>
      </c>
      <c r="D928" s="958">
        <v>1</v>
      </c>
      <c r="E928" s="959" t="s">
        <v>353</v>
      </c>
      <c r="F928" s="558" t="s">
        <v>1486</v>
      </c>
      <c r="G928" s="558">
        <v>68</v>
      </c>
      <c r="H928" s="558" t="s">
        <v>1177</v>
      </c>
      <c r="I928" s="559" t="s">
        <v>1178</v>
      </c>
      <c r="J928" s="567" t="s">
        <v>1578</v>
      </c>
      <c r="K928" s="961" t="s">
        <v>1568</v>
      </c>
      <c r="L928" s="555" t="str">
        <f t="shared" ca="1" si="152"/>
        <v/>
      </c>
      <c r="M928" s="494" t="s">
        <v>1569</v>
      </c>
      <c r="N928" s="555" t="str">
        <f t="shared" ca="1" si="153"/>
        <v/>
      </c>
      <c r="O928" s="494" t="s">
        <v>1570</v>
      </c>
      <c r="P928" s="555" t="str">
        <f t="shared" ca="1" si="154"/>
        <v/>
      </c>
      <c r="Q928" s="494" t="s">
        <v>1579</v>
      </c>
      <c r="R928" s="494" t="str">
        <f t="shared" si="149"/>
        <v>I928</v>
      </c>
      <c r="S928" s="494" t="s">
        <v>1580</v>
      </c>
      <c r="T928" s="494">
        <v>6</v>
      </c>
      <c r="U928" s="556" t="str">
        <f t="shared" ca="1" si="150"/>
        <v/>
      </c>
      <c r="V928" s="494">
        <v>7</v>
      </c>
      <c r="W928" s="556" t="str">
        <f t="shared" ca="1" si="151"/>
        <v/>
      </c>
      <c r="X928" s="494" t="s">
        <v>1581</v>
      </c>
      <c r="Y928" s="547" t="str">
        <f t="shared" ca="1" si="155"/>
        <v/>
      </c>
      <c r="Z928" s="494" t="s">
        <v>1582</v>
      </c>
      <c r="AA928" s="547" t="str">
        <f t="shared" ca="1" si="156"/>
        <v/>
      </c>
      <c r="AB928" s="494" t="s">
        <v>1583</v>
      </c>
      <c r="AC928" s="547" t="str">
        <f t="shared" ca="1" si="157"/>
        <v/>
      </c>
      <c r="AD928" s="557"/>
      <c r="AE928" s="958"/>
    </row>
    <row r="929" spans="1:31" ht="15" customHeight="1">
      <c r="A929" s="957" t="str">
        <f t="shared" ca="1" si="147"/>
        <v>28/29</v>
      </c>
      <c r="B929" s="566" t="s">
        <v>152</v>
      </c>
      <c r="C929" s="567" t="str">
        <f t="shared" ca="1" si="148"/>
        <v>Green Star - Healthcare</v>
      </c>
      <c r="D929" s="958">
        <v>1</v>
      </c>
      <c r="E929" s="959" t="s">
        <v>353</v>
      </c>
      <c r="F929" s="558" t="s">
        <v>1486</v>
      </c>
      <c r="G929" s="558">
        <v>141</v>
      </c>
      <c r="H929" s="558" t="s">
        <v>1179</v>
      </c>
      <c r="I929" s="559" t="s">
        <v>364</v>
      </c>
      <c r="J929" s="567" t="s">
        <v>1578</v>
      </c>
      <c r="K929" s="961" t="s">
        <v>1568</v>
      </c>
      <c r="L929" s="555" t="str">
        <f t="shared" ca="1" si="152"/>
        <v/>
      </c>
      <c r="M929" s="494" t="s">
        <v>1569</v>
      </c>
      <c r="N929" s="555" t="str">
        <f t="shared" ca="1" si="153"/>
        <v/>
      </c>
      <c r="O929" s="494" t="s">
        <v>1570</v>
      </c>
      <c r="P929" s="555" t="str">
        <f t="shared" ca="1" si="154"/>
        <v/>
      </c>
      <c r="Q929" s="494" t="s">
        <v>1579</v>
      </c>
      <c r="R929" s="494" t="str">
        <f t="shared" si="149"/>
        <v>I929</v>
      </c>
      <c r="S929" s="494" t="s">
        <v>1580</v>
      </c>
      <c r="T929" s="494">
        <v>6</v>
      </c>
      <c r="U929" s="556" t="str">
        <f t="shared" ca="1" si="150"/>
        <v/>
      </c>
      <c r="V929" s="494">
        <v>7</v>
      </c>
      <c r="W929" s="556" t="str">
        <f t="shared" ca="1" si="151"/>
        <v/>
      </c>
      <c r="X929" s="494" t="s">
        <v>1581</v>
      </c>
      <c r="Y929" s="547" t="str">
        <f t="shared" ca="1" si="155"/>
        <v/>
      </c>
      <c r="Z929" s="494" t="s">
        <v>1582</v>
      </c>
      <c r="AA929" s="547" t="str">
        <f t="shared" ca="1" si="156"/>
        <v/>
      </c>
      <c r="AB929" s="494" t="s">
        <v>1583</v>
      </c>
      <c r="AC929" s="547" t="str">
        <f t="shared" ca="1" si="157"/>
        <v/>
      </c>
      <c r="AD929" s="557"/>
      <c r="AE929" s="958"/>
    </row>
    <row r="930" spans="1:31" ht="15" customHeight="1">
      <c r="A930" s="957" t="str">
        <f t="shared" ca="1" si="147"/>
        <v>28/29</v>
      </c>
      <c r="B930" s="566" t="s">
        <v>152</v>
      </c>
      <c r="C930" s="567" t="str">
        <f t="shared" ca="1" si="148"/>
        <v>Green Star - Healthcare</v>
      </c>
      <c r="D930" s="958">
        <v>1</v>
      </c>
      <c r="E930" s="959" t="s">
        <v>353</v>
      </c>
      <c r="F930" s="558" t="s">
        <v>1486</v>
      </c>
      <c r="G930" s="558">
        <v>142</v>
      </c>
      <c r="H930" s="558" t="s">
        <v>1180</v>
      </c>
      <c r="I930" s="559" t="s">
        <v>1181</v>
      </c>
      <c r="J930" s="567" t="s">
        <v>1578</v>
      </c>
      <c r="K930" s="961" t="s">
        <v>1568</v>
      </c>
      <c r="L930" s="555" t="str">
        <f t="shared" ca="1" si="152"/>
        <v/>
      </c>
      <c r="M930" s="494" t="s">
        <v>1569</v>
      </c>
      <c r="N930" s="555" t="str">
        <f t="shared" ca="1" si="153"/>
        <v/>
      </c>
      <c r="O930" s="494" t="s">
        <v>1570</v>
      </c>
      <c r="P930" s="555" t="str">
        <f t="shared" ca="1" si="154"/>
        <v/>
      </c>
      <c r="Q930" s="494" t="s">
        <v>1579</v>
      </c>
      <c r="R930" s="494" t="str">
        <f t="shared" si="149"/>
        <v>I930</v>
      </c>
      <c r="S930" s="494" t="s">
        <v>1580</v>
      </c>
      <c r="T930" s="494">
        <v>6</v>
      </c>
      <c r="U930" s="556" t="str">
        <f t="shared" ca="1" si="150"/>
        <v/>
      </c>
      <c r="V930" s="494">
        <v>7</v>
      </c>
      <c r="W930" s="556" t="str">
        <f t="shared" ca="1" si="151"/>
        <v/>
      </c>
      <c r="X930" s="494" t="s">
        <v>1581</v>
      </c>
      <c r="Y930" s="547" t="str">
        <f t="shared" ca="1" si="155"/>
        <v/>
      </c>
      <c r="Z930" s="494" t="s">
        <v>1582</v>
      </c>
      <c r="AA930" s="547" t="str">
        <f t="shared" ca="1" si="156"/>
        <v/>
      </c>
      <c r="AB930" s="494" t="s">
        <v>1583</v>
      </c>
      <c r="AC930" s="547" t="str">
        <f t="shared" ca="1" si="157"/>
        <v/>
      </c>
      <c r="AD930" s="557"/>
      <c r="AE930" s="958"/>
    </row>
    <row r="931" spans="1:31" ht="15" customHeight="1">
      <c r="A931" s="957" t="str">
        <f t="shared" ca="1" si="147"/>
        <v>28/29</v>
      </c>
      <c r="B931" s="566" t="s">
        <v>152</v>
      </c>
      <c r="C931" s="567" t="str">
        <f t="shared" ca="1" si="148"/>
        <v>Green Star - Healthcare</v>
      </c>
      <c r="D931" s="958">
        <v>1</v>
      </c>
      <c r="E931" s="959" t="s">
        <v>353</v>
      </c>
      <c r="F931" s="558" t="s">
        <v>1486</v>
      </c>
      <c r="G931" s="558">
        <v>213</v>
      </c>
      <c r="H931" s="558" t="s">
        <v>1182</v>
      </c>
      <c r="I931" s="559" t="s">
        <v>1183</v>
      </c>
      <c r="J931" s="567" t="s">
        <v>1578</v>
      </c>
      <c r="K931" s="961" t="s">
        <v>1568</v>
      </c>
      <c r="L931" s="555" t="str">
        <f t="shared" ca="1" si="152"/>
        <v/>
      </c>
      <c r="M931" s="494" t="s">
        <v>1569</v>
      </c>
      <c r="N931" s="555" t="str">
        <f t="shared" ca="1" si="153"/>
        <v/>
      </c>
      <c r="O931" s="494" t="s">
        <v>1570</v>
      </c>
      <c r="P931" s="555" t="str">
        <f t="shared" ca="1" si="154"/>
        <v/>
      </c>
      <c r="Q931" s="494" t="s">
        <v>1579</v>
      </c>
      <c r="R931" s="494" t="str">
        <f t="shared" si="149"/>
        <v>I931</v>
      </c>
      <c r="S931" s="494" t="s">
        <v>1580</v>
      </c>
      <c r="T931" s="494">
        <v>6</v>
      </c>
      <c r="U931" s="556" t="str">
        <f t="shared" ca="1" si="150"/>
        <v/>
      </c>
      <c r="V931" s="494">
        <v>7</v>
      </c>
      <c r="W931" s="556" t="str">
        <f t="shared" ca="1" si="151"/>
        <v/>
      </c>
      <c r="X931" s="494" t="s">
        <v>1581</v>
      </c>
      <c r="Y931" s="547" t="str">
        <f t="shared" ca="1" si="155"/>
        <v/>
      </c>
      <c r="Z931" s="494" t="s">
        <v>1582</v>
      </c>
      <c r="AA931" s="547" t="str">
        <f t="shared" ca="1" si="156"/>
        <v/>
      </c>
      <c r="AB931" s="494" t="s">
        <v>1583</v>
      </c>
      <c r="AC931" s="547" t="str">
        <f t="shared" ca="1" si="157"/>
        <v/>
      </c>
      <c r="AD931" s="557"/>
      <c r="AE931" s="958"/>
    </row>
    <row r="932" spans="1:31" ht="15" customHeight="1">
      <c r="A932" s="957" t="str">
        <f t="shared" ca="1" si="147"/>
        <v>28/29</v>
      </c>
      <c r="B932" s="566" t="s">
        <v>152</v>
      </c>
      <c r="C932" s="567" t="str">
        <f t="shared" ca="1" si="148"/>
        <v>Green Star - Healthcare</v>
      </c>
      <c r="D932" s="958">
        <v>1</v>
      </c>
      <c r="E932" s="959" t="s">
        <v>353</v>
      </c>
      <c r="F932" s="558" t="s">
        <v>1486</v>
      </c>
      <c r="G932" s="558">
        <v>255</v>
      </c>
      <c r="H932" s="558" t="s">
        <v>1184</v>
      </c>
      <c r="I932" s="559" t="s">
        <v>1185</v>
      </c>
      <c r="J932" s="567" t="s">
        <v>1578</v>
      </c>
      <c r="K932" s="961" t="s">
        <v>1568</v>
      </c>
      <c r="L932" s="555" t="str">
        <f t="shared" ca="1" si="152"/>
        <v/>
      </c>
      <c r="M932" s="494" t="s">
        <v>1569</v>
      </c>
      <c r="N932" s="555" t="str">
        <f t="shared" ca="1" si="153"/>
        <v/>
      </c>
      <c r="O932" s="494" t="s">
        <v>1570</v>
      </c>
      <c r="P932" s="555" t="str">
        <f t="shared" ca="1" si="154"/>
        <v/>
      </c>
      <c r="Q932" s="494" t="s">
        <v>1579</v>
      </c>
      <c r="R932" s="494" t="str">
        <f t="shared" si="149"/>
        <v>I932</v>
      </c>
      <c r="S932" s="494" t="s">
        <v>1580</v>
      </c>
      <c r="T932" s="494">
        <v>6</v>
      </c>
      <c r="U932" s="556" t="str">
        <f t="shared" ca="1" si="150"/>
        <v/>
      </c>
      <c r="V932" s="494">
        <v>7</v>
      </c>
      <c r="W932" s="556" t="str">
        <f t="shared" ca="1" si="151"/>
        <v/>
      </c>
      <c r="X932" s="494" t="s">
        <v>1581</v>
      </c>
      <c r="Y932" s="547" t="str">
        <f t="shared" ca="1" si="155"/>
        <v/>
      </c>
      <c r="Z932" s="494" t="s">
        <v>1582</v>
      </c>
      <c r="AA932" s="547" t="str">
        <f t="shared" ca="1" si="156"/>
        <v/>
      </c>
      <c r="AB932" s="494" t="s">
        <v>1583</v>
      </c>
      <c r="AC932" s="547" t="str">
        <f t="shared" ca="1" si="157"/>
        <v/>
      </c>
      <c r="AD932" s="557"/>
      <c r="AE932" s="958"/>
    </row>
    <row r="933" spans="1:31" ht="15" customHeight="1">
      <c r="A933" s="957" t="str">
        <f t="shared" ca="1" si="147"/>
        <v>28/29</v>
      </c>
      <c r="B933" s="566" t="s">
        <v>152</v>
      </c>
      <c r="C933" s="567" t="str">
        <f t="shared" ca="1" si="148"/>
        <v>Green Star - Healthcare</v>
      </c>
      <c r="D933" s="958">
        <v>1</v>
      </c>
      <c r="E933" s="959" t="s">
        <v>367</v>
      </c>
      <c r="F933" s="558" t="s">
        <v>1488</v>
      </c>
      <c r="G933" s="558">
        <v>46</v>
      </c>
      <c r="H933" s="558" t="s">
        <v>1186</v>
      </c>
      <c r="I933" s="559" t="s">
        <v>1187</v>
      </c>
      <c r="J933" s="567" t="s">
        <v>1578</v>
      </c>
      <c r="K933" s="961" t="s">
        <v>1568</v>
      </c>
      <c r="L933" s="555" t="str">
        <f t="shared" ca="1" si="152"/>
        <v/>
      </c>
      <c r="M933" s="494" t="s">
        <v>1569</v>
      </c>
      <c r="N933" s="555" t="str">
        <f t="shared" ca="1" si="153"/>
        <v/>
      </c>
      <c r="O933" s="494" t="s">
        <v>1570</v>
      </c>
      <c r="P933" s="555" t="str">
        <f t="shared" ca="1" si="154"/>
        <v/>
      </c>
      <c r="Q933" s="494" t="s">
        <v>1579</v>
      </c>
      <c r="R933" s="494" t="str">
        <f t="shared" si="149"/>
        <v>I933</v>
      </c>
      <c r="S933" s="494" t="s">
        <v>1580</v>
      </c>
      <c r="T933" s="494">
        <v>6</v>
      </c>
      <c r="U933" s="556" t="str">
        <f t="shared" ca="1" si="150"/>
        <v/>
      </c>
      <c r="V933" s="494">
        <v>7</v>
      </c>
      <c r="W933" s="556" t="str">
        <f t="shared" ca="1" si="151"/>
        <v/>
      </c>
      <c r="X933" s="494" t="s">
        <v>1581</v>
      </c>
      <c r="Y933" s="547" t="str">
        <f t="shared" ca="1" si="155"/>
        <v/>
      </c>
      <c r="Z933" s="494" t="s">
        <v>1582</v>
      </c>
      <c r="AA933" s="547" t="str">
        <f t="shared" ca="1" si="156"/>
        <v/>
      </c>
      <c r="AB933" s="494" t="s">
        <v>1583</v>
      </c>
      <c r="AC933" s="547" t="str">
        <f t="shared" ca="1" si="157"/>
        <v/>
      </c>
      <c r="AD933" s="557"/>
      <c r="AE933" s="958"/>
    </row>
    <row r="934" spans="1:31" ht="15" customHeight="1">
      <c r="A934" s="957" t="str">
        <f t="shared" ca="1" si="147"/>
        <v>28/29</v>
      </c>
      <c r="B934" s="566" t="s">
        <v>152</v>
      </c>
      <c r="C934" s="567" t="str">
        <f t="shared" ca="1" si="148"/>
        <v>Green Star - Healthcare</v>
      </c>
      <c r="D934" s="958">
        <v>1</v>
      </c>
      <c r="E934" s="959" t="s">
        <v>367</v>
      </c>
      <c r="F934" s="558" t="s">
        <v>1488</v>
      </c>
      <c r="G934" s="558">
        <v>143</v>
      </c>
      <c r="H934" s="558" t="s">
        <v>1188</v>
      </c>
      <c r="I934" s="559" t="s">
        <v>1189</v>
      </c>
      <c r="J934" s="567" t="s">
        <v>1578</v>
      </c>
      <c r="K934" s="961" t="s">
        <v>1568</v>
      </c>
      <c r="L934" s="555" t="str">
        <f t="shared" ca="1" si="152"/>
        <v/>
      </c>
      <c r="M934" s="494" t="s">
        <v>1569</v>
      </c>
      <c r="N934" s="555" t="str">
        <f t="shared" ca="1" si="153"/>
        <v/>
      </c>
      <c r="O934" s="494" t="s">
        <v>1570</v>
      </c>
      <c r="P934" s="555" t="str">
        <f t="shared" ca="1" si="154"/>
        <v/>
      </c>
      <c r="Q934" s="494" t="s">
        <v>1579</v>
      </c>
      <c r="R934" s="494" t="str">
        <f t="shared" si="149"/>
        <v>I934</v>
      </c>
      <c r="S934" s="494" t="s">
        <v>1584</v>
      </c>
      <c r="T934" s="494">
        <v>6</v>
      </c>
      <c r="U934" s="556" t="str">
        <f t="shared" ca="1" si="150"/>
        <v/>
      </c>
      <c r="V934" s="494">
        <v>7</v>
      </c>
      <c r="W934" s="556" t="str">
        <f t="shared" ca="1" si="151"/>
        <v/>
      </c>
      <c r="X934" s="494" t="s">
        <v>1581</v>
      </c>
      <c r="Y934" s="547" t="str">
        <f t="shared" ca="1" si="155"/>
        <v/>
      </c>
      <c r="Z934" s="494" t="s">
        <v>1582</v>
      </c>
      <c r="AA934" s="547" t="str">
        <f t="shared" ca="1" si="156"/>
        <v/>
      </c>
      <c r="AB934" s="494" t="s">
        <v>1583</v>
      </c>
      <c r="AC934" s="547" t="str">
        <f t="shared" ca="1" si="157"/>
        <v/>
      </c>
      <c r="AD934" s="557"/>
      <c r="AE934" s="958"/>
    </row>
    <row r="935" spans="1:31" ht="15" customHeight="1">
      <c r="A935" s="957" t="str">
        <f t="shared" ca="1" si="147"/>
        <v>28/29</v>
      </c>
      <c r="B935" s="566" t="s">
        <v>152</v>
      </c>
      <c r="C935" s="567" t="str">
        <f t="shared" ca="1" si="148"/>
        <v>Green Star - Healthcare</v>
      </c>
      <c r="D935" s="958">
        <v>1</v>
      </c>
      <c r="E935" s="959" t="s">
        <v>367</v>
      </c>
      <c r="F935" s="558" t="s">
        <v>1488</v>
      </c>
      <c r="G935" s="558">
        <v>143</v>
      </c>
      <c r="H935" s="558" t="s">
        <v>1188</v>
      </c>
      <c r="I935" s="559" t="s">
        <v>1190</v>
      </c>
      <c r="J935" s="567" t="s">
        <v>1578</v>
      </c>
      <c r="K935" s="961" t="s">
        <v>1568</v>
      </c>
      <c r="L935" s="555" t="str">
        <f t="shared" ca="1" si="152"/>
        <v/>
      </c>
      <c r="M935" s="494" t="s">
        <v>1569</v>
      </c>
      <c r="N935" s="555" t="str">
        <f t="shared" ca="1" si="153"/>
        <v/>
      </c>
      <c r="O935" s="494" t="s">
        <v>1570</v>
      </c>
      <c r="P935" s="555" t="str">
        <f t="shared" ca="1" si="154"/>
        <v/>
      </c>
      <c r="Q935" s="494" t="s">
        <v>1579</v>
      </c>
      <c r="R935" s="494" t="str">
        <f t="shared" si="149"/>
        <v>I935</v>
      </c>
      <c r="S935" s="494" t="s">
        <v>1584</v>
      </c>
      <c r="T935" s="494">
        <v>6</v>
      </c>
      <c r="U935" s="556" t="str">
        <f t="shared" ca="1" si="150"/>
        <v/>
      </c>
      <c r="V935" s="494">
        <v>7</v>
      </c>
      <c r="W935" s="556" t="str">
        <f t="shared" ca="1" si="151"/>
        <v/>
      </c>
      <c r="X935" s="494" t="s">
        <v>1581</v>
      </c>
      <c r="Y935" s="547" t="str">
        <f t="shared" ca="1" si="155"/>
        <v/>
      </c>
      <c r="Z935" s="494" t="s">
        <v>1582</v>
      </c>
      <c r="AA935" s="547" t="str">
        <f t="shared" ca="1" si="156"/>
        <v/>
      </c>
      <c r="AB935" s="494" t="s">
        <v>1583</v>
      </c>
      <c r="AC935" s="547" t="str">
        <f t="shared" ca="1" si="157"/>
        <v/>
      </c>
      <c r="AD935" s="557"/>
      <c r="AE935" s="958"/>
    </row>
    <row r="936" spans="1:31" ht="15" customHeight="1">
      <c r="A936" s="957" t="str">
        <f t="shared" ca="1" si="147"/>
        <v>28/29</v>
      </c>
      <c r="B936" s="566" t="s">
        <v>152</v>
      </c>
      <c r="C936" s="567" t="str">
        <f t="shared" ca="1" si="148"/>
        <v>Green Star - Healthcare</v>
      </c>
      <c r="D936" s="958">
        <v>1</v>
      </c>
      <c r="E936" s="959" t="s">
        <v>367</v>
      </c>
      <c r="F936" s="558" t="s">
        <v>1488</v>
      </c>
      <c r="G936" s="558">
        <v>182</v>
      </c>
      <c r="H936" s="558" t="s">
        <v>1191</v>
      </c>
      <c r="I936" s="559" t="s">
        <v>1192</v>
      </c>
      <c r="J936" s="567" t="s">
        <v>1578</v>
      </c>
      <c r="K936" s="961" t="s">
        <v>1568</v>
      </c>
      <c r="L936" s="555" t="str">
        <f t="shared" ca="1" si="152"/>
        <v/>
      </c>
      <c r="M936" s="494" t="s">
        <v>1569</v>
      </c>
      <c r="N936" s="555" t="str">
        <f t="shared" ca="1" si="153"/>
        <v/>
      </c>
      <c r="O936" s="494" t="s">
        <v>1570</v>
      </c>
      <c r="P936" s="555" t="str">
        <f t="shared" ca="1" si="154"/>
        <v/>
      </c>
      <c r="Q936" s="494" t="s">
        <v>1579</v>
      </c>
      <c r="R936" s="494" t="str">
        <f t="shared" si="149"/>
        <v>I936</v>
      </c>
      <c r="S936" s="494" t="s">
        <v>1580</v>
      </c>
      <c r="T936" s="494">
        <v>6</v>
      </c>
      <c r="U936" s="556" t="str">
        <f t="shared" ca="1" si="150"/>
        <v/>
      </c>
      <c r="V936" s="494">
        <v>7</v>
      </c>
      <c r="W936" s="556" t="str">
        <f t="shared" ca="1" si="151"/>
        <v/>
      </c>
      <c r="X936" s="494" t="s">
        <v>1581</v>
      </c>
      <c r="Y936" s="547" t="str">
        <f t="shared" ca="1" si="155"/>
        <v/>
      </c>
      <c r="Z936" s="494" t="s">
        <v>1582</v>
      </c>
      <c r="AA936" s="547" t="str">
        <f t="shared" ca="1" si="156"/>
        <v/>
      </c>
      <c r="AB936" s="494" t="s">
        <v>1583</v>
      </c>
      <c r="AC936" s="547" t="str">
        <f t="shared" ca="1" si="157"/>
        <v/>
      </c>
      <c r="AD936" s="557"/>
      <c r="AE936" s="958"/>
    </row>
    <row r="937" spans="1:31" ht="15" customHeight="1">
      <c r="A937" s="957" t="str">
        <f t="shared" ca="1" si="147"/>
        <v>28/29</v>
      </c>
      <c r="B937" s="566" t="s">
        <v>152</v>
      </c>
      <c r="C937" s="567" t="str">
        <f t="shared" ca="1" si="148"/>
        <v>Green Star - Healthcare</v>
      </c>
      <c r="D937" s="958">
        <v>1</v>
      </c>
      <c r="E937" s="959" t="s">
        <v>367</v>
      </c>
      <c r="F937" s="558" t="s">
        <v>1488</v>
      </c>
      <c r="G937" s="558">
        <v>145</v>
      </c>
      <c r="H937" s="558" t="s">
        <v>1193</v>
      </c>
      <c r="I937" s="559" t="s">
        <v>1195</v>
      </c>
      <c r="J937" s="567" t="s">
        <v>1578</v>
      </c>
      <c r="K937" s="961" t="s">
        <v>1568</v>
      </c>
      <c r="L937" s="555" t="str">
        <f t="shared" ca="1" si="152"/>
        <v/>
      </c>
      <c r="M937" s="494" t="s">
        <v>1569</v>
      </c>
      <c r="N937" s="555" t="str">
        <f t="shared" ca="1" si="153"/>
        <v/>
      </c>
      <c r="O937" s="494" t="s">
        <v>1570</v>
      </c>
      <c r="P937" s="555" t="str">
        <f t="shared" ca="1" si="154"/>
        <v/>
      </c>
      <c r="Q937" s="494" t="s">
        <v>1579</v>
      </c>
      <c r="R937" s="494" t="str">
        <f t="shared" si="149"/>
        <v>I937</v>
      </c>
      <c r="S937" s="494" t="s">
        <v>1584</v>
      </c>
      <c r="T937" s="494">
        <v>6</v>
      </c>
      <c r="U937" s="556" t="str">
        <f t="shared" ca="1" si="150"/>
        <v/>
      </c>
      <c r="V937" s="494">
        <v>7</v>
      </c>
      <c r="W937" s="556" t="str">
        <f t="shared" ca="1" si="151"/>
        <v/>
      </c>
      <c r="X937" s="494" t="s">
        <v>1581</v>
      </c>
      <c r="Y937" s="547" t="str">
        <f t="shared" ca="1" si="155"/>
        <v/>
      </c>
      <c r="Z937" s="494" t="s">
        <v>1582</v>
      </c>
      <c r="AA937" s="547" t="str">
        <f t="shared" ca="1" si="156"/>
        <v/>
      </c>
      <c r="AB937" s="494" t="s">
        <v>1583</v>
      </c>
      <c r="AC937" s="547" t="str">
        <f t="shared" ca="1" si="157"/>
        <v/>
      </c>
      <c r="AD937" s="557"/>
      <c r="AE937" s="958"/>
    </row>
    <row r="938" spans="1:31" ht="15" customHeight="1">
      <c r="A938" s="957" t="str">
        <f t="shared" ca="1" si="147"/>
        <v>28/29</v>
      </c>
      <c r="B938" s="566" t="s">
        <v>152</v>
      </c>
      <c r="C938" s="567" t="str">
        <f t="shared" ca="1" si="148"/>
        <v>Green Star - Healthcare</v>
      </c>
      <c r="D938" s="958">
        <v>1</v>
      </c>
      <c r="E938" s="959" t="s">
        <v>367</v>
      </c>
      <c r="F938" s="558" t="s">
        <v>1488</v>
      </c>
      <c r="G938" s="558">
        <v>145</v>
      </c>
      <c r="H938" s="558" t="s">
        <v>1193</v>
      </c>
      <c r="I938" s="559" t="s">
        <v>1196</v>
      </c>
      <c r="J938" s="567" t="s">
        <v>1578</v>
      </c>
      <c r="K938" s="961" t="s">
        <v>1568</v>
      </c>
      <c r="L938" s="555" t="str">
        <f t="shared" ca="1" si="152"/>
        <v/>
      </c>
      <c r="M938" s="494" t="s">
        <v>1569</v>
      </c>
      <c r="N938" s="555" t="str">
        <f t="shared" ca="1" si="153"/>
        <v/>
      </c>
      <c r="O938" s="494" t="s">
        <v>1570</v>
      </c>
      <c r="P938" s="555" t="str">
        <f t="shared" ca="1" si="154"/>
        <v/>
      </c>
      <c r="Q938" s="494" t="s">
        <v>1579</v>
      </c>
      <c r="R938" s="494" t="str">
        <f t="shared" si="149"/>
        <v>I938</v>
      </c>
      <c r="S938" s="494" t="s">
        <v>1584</v>
      </c>
      <c r="T938" s="494">
        <v>6</v>
      </c>
      <c r="U938" s="556" t="str">
        <f t="shared" ca="1" si="150"/>
        <v/>
      </c>
      <c r="V938" s="494">
        <v>7</v>
      </c>
      <c r="W938" s="556" t="str">
        <f t="shared" ca="1" si="151"/>
        <v/>
      </c>
      <c r="X938" s="494" t="s">
        <v>1581</v>
      </c>
      <c r="Y938" s="547" t="str">
        <f t="shared" ca="1" si="155"/>
        <v/>
      </c>
      <c r="Z938" s="494" t="s">
        <v>1582</v>
      </c>
      <c r="AA938" s="547" t="str">
        <f t="shared" ca="1" si="156"/>
        <v/>
      </c>
      <c r="AB938" s="494" t="s">
        <v>1583</v>
      </c>
      <c r="AC938" s="547" t="str">
        <f t="shared" ca="1" si="157"/>
        <v/>
      </c>
      <c r="AD938" s="557"/>
      <c r="AE938" s="958"/>
    </row>
    <row r="939" spans="1:31" ht="15" customHeight="1">
      <c r="A939" s="957" t="str">
        <f t="shared" ca="1" si="147"/>
        <v>28/29</v>
      </c>
      <c r="B939" s="566" t="s">
        <v>152</v>
      </c>
      <c r="C939" s="567" t="str">
        <f t="shared" ca="1" si="148"/>
        <v>Green Star - Healthcare</v>
      </c>
      <c r="D939" s="958">
        <v>1</v>
      </c>
      <c r="E939" s="959" t="s">
        <v>367</v>
      </c>
      <c r="F939" s="558" t="s">
        <v>1488</v>
      </c>
      <c r="G939" s="558">
        <v>146</v>
      </c>
      <c r="H939" s="558" t="s">
        <v>1197</v>
      </c>
      <c r="I939" s="559" t="s">
        <v>1199</v>
      </c>
      <c r="J939" s="567" t="s">
        <v>1578</v>
      </c>
      <c r="K939" s="961" t="s">
        <v>1568</v>
      </c>
      <c r="L939" s="555" t="str">
        <f t="shared" ca="1" si="152"/>
        <v/>
      </c>
      <c r="M939" s="494" t="s">
        <v>1569</v>
      </c>
      <c r="N939" s="555" t="str">
        <f t="shared" ca="1" si="153"/>
        <v/>
      </c>
      <c r="O939" s="494" t="s">
        <v>1570</v>
      </c>
      <c r="P939" s="555" t="str">
        <f t="shared" ca="1" si="154"/>
        <v/>
      </c>
      <c r="Q939" s="494" t="s">
        <v>1579</v>
      </c>
      <c r="R939" s="494" t="str">
        <f t="shared" si="149"/>
        <v>I939</v>
      </c>
      <c r="S939" s="494" t="s">
        <v>1584</v>
      </c>
      <c r="T939" s="494">
        <v>6</v>
      </c>
      <c r="U939" s="556" t="str">
        <f t="shared" ca="1" si="150"/>
        <v/>
      </c>
      <c r="V939" s="494">
        <v>7</v>
      </c>
      <c r="W939" s="556" t="str">
        <f t="shared" ca="1" si="151"/>
        <v/>
      </c>
      <c r="X939" s="494" t="s">
        <v>1581</v>
      </c>
      <c r="Y939" s="547" t="str">
        <f t="shared" ca="1" si="155"/>
        <v/>
      </c>
      <c r="Z939" s="494" t="s">
        <v>1582</v>
      </c>
      <c r="AA939" s="547" t="str">
        <f t="shared" ca="1" si="156"/>
        <v/>
      </c>
      <c r="AB939" s="494" t="s">
        <v>1583</v>
      </c>
      <c r="AC939" s="547" t="str">
        <f t="shared" ca="1" si="157"/>
        <v/>
      </c>
      <c r="AD939" s="557"/>
      <c r="AE939" s="958"/>
    </row>
    <row r="940" spans="1:31" ht="15" customHeight="1">
      <c r="A940" s="957" t="str">
        <f t="shared" ca="1" si="147"/>
        <v>28/29</v>
      </c>
      <c r="B940" s="566" t="s">
        <v>152</v>
      </c>
      <c r="C940" s="567" t="str">
        <f t="shared" ca="1" si="148"/>
        <v>Green Star - Healthcare</v>
      </c>
      <c r="D940" s="958">
        <v>1</v>
      </c>
      <c r="E940" s="959" t="s">
        <v>367</v>
      </c>
      <c r="F940" s="558" t="s">
        <v>1488</v>
      </c>
      <c r="G940" s="558">
        <v>146</v>
      </c>
      <c r="H940" s="558" t="s">
        <v>1197</v>
      </c>
      <c r="I940" s="559" t="s">
        <v>1200</v>
      </c>
      <c r="J940" s="567" t="s">
        <v>1578</v>
      </c>
      <c r="K940" s="961" t="s">
        <v>1568</v>
      </c>
      <c r="L940" s="555" t="str">
        <f t="shared" ca="1" si="152"/>
        <v/>
      </c>
      <c r="M940" s="494" t="s">
        <v>1569</v>
      </c>
      <c r="N940" s="555" t="str">
        <f t="shared" ca="1" si="153"/>
        <v/>
      </c>
      <c r="O940" s="494" t="s">
        <v>1570</v>
      </c>
      <c r="P940" s="555" t="str">
        <f t="shared" ca="1" si="154"/>
        <v/>
      </c>
      <c r="Q940" s="494" t="s">
        <v>1579</v>
      </c>
      <c r="R940" s="494" t="str">
        <f t="shared" ref="R940:R964" si="159">CONCATENATE("I",ROW(J940))</f>
        <v>I940</v>
      </c>
      <c r="S940" s="494" t="s">
        <v>1584</v>
      </c>
      <c r="T940" s="494">
        <v>6</v>
      </c>
      <c r="U940" s="556" t="str">
        <f t="shared" ca="1" si="150"/>
        <v/>
      </c>
      <c r="V940" s="494">
        <v>7</v>
      </c>
      <c r="W940" s="556" t="str">
        <f t="shared" ca="1" si="151"/>
        <v/>
      </c>
      <c r="X940" s="494" t="s">
        <v>1581</v>
      </c>
      <c r="Y940" s="547" t="str">
        <f t="shared" ca="1" si="155"/>
        <v/>
      </c>
      <c r="Z940" s="494" t="s">
        <v>1582</v>
      </c>
      <c r="AA940" s="547" t="str">
        <f t="shared" ca="1" si="156"/>
        <v/>
      </c>
      <c r="AB940" s="494" t="s">
        <v>1583</v>
      </c>
      <c r="AC940" s="547" t="str">
        <f t="shared" ca="1" si="157"/>
        <v/>
      </c>
      <c r="AD940" s="557"/>
      <c r="AE940" s="958"/>
    </row>
    <row r="941" spans="1:31" ht="15" customHeight="1">
      <c r="A941" s="957" t="str">
        <f t="shared" ca="1" si="147"/>
        <v>28/29</v>
      </c>
      <c r="B941" s="566" t="s">
        <v>152</v>
      </c>
      <c r="C941" s="567" t="str">
        <f t="shared" ca="1" si="148"/>
        <v>Green Star - Healthcare</v>
      </c>
      <c r="D941" s="958">
        <v>1</v>
      </c>
      <c r="E941" s="959" t="s">
        <v>367</v>
      </c>
      <c r="F941" s="558" t="s">
        <v>1488</v>
      </c>
      <c r="G941" s="558">
        <v>63</v>
      </c>
      <c r="H941" s="558" t="s">
        <v>1201</v>
      </c>
      <c r="I941" s="559" t="s">
        <v>1202</v>
      </c>
      <c r="J941" s="567" t="s">
        <v>1578</v>
      </c>
      <c r="K941" s="961" t="s">
        <v>1568</v>
      </c>
      <c r="L941" s="555" t="str">
        <f t="shared" ca="1" si="152"/>
        <v/>
      </c>
      <c r="M941" s="494" t="s">
        <v>1569</v>
      </c>
      <c r="N941" s="555" t="str">
        <f t="shared" ca="1" si="153"/>
        <v/>
      </c>
      <c r="O941" s="494" t="s">
        <v>1570</v>
      </c>
      <c r="P941" s="555" t="str">
        <f t="shared" ca="1" si="154"/>
        <v/>
      </c>
      <c r="Q941" s="494" t="s">
        <v>1579</v>
      </c>
      <c r="R941" s="494" t="str">
        <f t="shared" si="159"/>
        <v>I941</v>
      </c>
      <c r="S941" s="494" t="s">
        <v>1580</v>
      </c>
      <c r="T941" s="494">
        <v>6</v>
      </c>
      <c r="U941" s="556" t="str">
        <f t="shared" ca="1" si="150"/>
        <v/>
      </c>
      <c r="V941" s="494">
        <v>7</v>
      </c>
      <c r="W941" s="556" t="str">
        <f t="shared" ca="1" si="151"/>
        <v/>
      </c>
      <c r="X941" s="494" t="s">
        <v>1581</v>
      </c>
      <c r="Y941" s="547" t="str">
        <f t="shared" ca="1" si="155"/>
        <v/>
      </c>
      <c r="Z941" s="494" t="s">
        <v>1582</v>
      </c>
      <c r="AA941" s="547" t="str">
        <f t="shared" ca="1" si="156"/>
        <v/>
      </c>
      <c r="AB941" s="494" t="s">
        <v>1583</v>
      </c>
      <c r="AC941" s="547" t="str">
        <f t="shared" ca="1" si="157"/>
        <v/>
      </c>
      <c r="AD941" s="557"/>
      <c r="AE941" s="958"/>
    </row>
    <row r="942" spans="1:31" ht="15" customHeight="1">
      <c r="A942" s="957" t="str">
        <f t="shared" ca="1" si="147"/>
        <v>28/29</v>
      </c>
      <c r="B942" s="566" t="s">
        <v>152</v>
      </c>
      <c r="C942" s="567" t="str">
        <f t="shared" ca="1" si="148"/>
        <v>Green Star - Healthcare</v>
      </c>
      <c r="D942" s="958">
        <v>1</v>
      </c>
      <c r="E942" s="959" t="s">
        <v>367</v>
      </c>
      <c r="F942" s="558" t="s">
        <v>1488</v>
      </c>
      <c r="G942" s="558">
        <v>64</v>
      </c>
      <c r="H942" s="558" t="s">
        <v>1203</v>
      </c>
      <c r="I942" s="559" t="s">
        <v>1204</v>
      </c>
      <c r="J942" s="567" t="s">
        <v>1578</v>
      </c>
      <c r="K942" s="961" t="s">
        <v>1568</v>
      </c>
      <c r="L942" s="555" t="str">
        <f t="shared" ca="1" si="152"/>
        <v/>
      </c>
      <c r="M942" s="494" t="s">
        <v>1569</v>
      </c>
      <c r="N942" s="555" t="str">
        <f t="shared" ca="1" si="153"/>
        <v/>
      </c>
      <c r="O942" s="494" t="s">
        <v>1570</v>
      </c>
      <c r="P942" s="555" t="str">
        <f t="shared" ca="1" si="154"/>
        <v/>
      </c>
      <c r="Q942" s="494" t="s">
        <v>1579</v>
      </c>
      <c r="R942" s="494" t="str">
        <f t="shared" si="159"/>
        <v>I942</v>
      </c>
      <c r="S942" s="494" t="s">
        <v>1580</v>
      </c>
      <c r="T942" s="494">
        <v>6</v>
      </c>
      <c r="U942" s="556" t="str">
        <f t="shared" ca="1" si="150"/>
        <v/>
      </c>
      <c r="V942" s="494">
        <v>7</v>
      </c>
      <c r="W942" s="556" t="str">
        <f t="shared" ca="1" si="151"/>
        <v/>
      </c>
      <c r="X942" s="494" t="s">
        <v>1581</v>
      </c>
      <c r="Y942" s="547" t="str">
        <f t="shared" ca="1" si="155"/>
        <v/>
      </c>
      <c r="Z942" s="494" t="s">
        <v>1582</v>
      </c>
      <c r="AA942" s="547" t="str">
        <f t="shared" ca="1" si="156"/>
        <v/>
      </c>
      <c r="AB942" s="494" t="s">
        <v>1583</v>
      </c>
      <c r="AC942" s="547" t="str">
        <f t="shared" ca="1" si="157"/>
        <v/>
      </c>
      <c r="AD942" s="557"/>
      <c r="AE942" s="958"/>
    </row>
    <row r="943" spans="1:31" ht="15" customHeight="1">
      <c r="A943" s="957" t="str">
        <f t="shared" ca="1" si="147"/>
        <v>28/29</v>
      </c>
      <c r="B943" s="566" t="s">
        <v>152</v>
      </c>
      <c r="C943" s="567" t="str">
        <f t="shared" ca="1" si="148"/>
        <v>Green Star - Healthcare</v>
      </c>
      <c r="D943" s="958">
        <v>1</v>
      </c>
      <c r="E943" s="959" t="s">
        <v>367</v>
      </c>
      <c r="F943" s="558" t="s">
        <v>1488</v>
      </c>
      <c r="G943" s="558">
        <v>147</v>
      </c>
      <c r="H943" s="558" t="s">
        <v>1205</v>
      </c>
      <c r="I943" s="559" t="s">
        <v>1206</v>
      </c>
      <c r="J943" s="567" t="s">
        <v>1578</v>
      </c>
      <c r="K943" s="961" t="s">
        <v>1568</v>
      </c>
      <c r="L943" s="555" t="str">
        <f t="shared" ca="1" si="152"/>
        <v/>
      </c>
      <c r="M943" s="494" t="s">
        <v>1569</v>
      </c>
      <c r="N943" s="555" t="str">
        <f t="shared" ca="1" si="153"/>
        <v/>
      </c>
      <c r="O943" s="494" t="s">
        <v>1570</v>
      </c>
      <c r="P943" s="555" t="str">
        <f t="shared" ca="1" si="154"/>
        <v/>
      </c>
      <c r="Q943" s="494" t="s">
        <v>1579</v>
      </c>
      <c r="R943" s="494" t="str">
        <f t="shared" si="159"/>
        <v>I943</v>
      </c>
      <c r="S943" s="494" t="s">
        <v>1580</v>
      </c>
      <c r="T943" s="494">
        <v>6</v>
      </c>
      <c r="U943" s="556" t="str">
        <f t="shared" ca="1" si="150"/>
        <v/>
      </c>
      <c r="V943" s="494">
        <v>7</v>
      </c>
      <c r="W943" s="556" t="str">
        <f t="shared" ca="1" si="151"/>
        <v/>
      </c>
      <c r="X943" s="494" t="s">
        <v>1581</v>
      </c>
      <c r="Y943" s="547" t="str">
        <f t="shared" ca="1" si="155"/>
        <v/>
      </c>
      <c r="Z943" s="494" t="s">
        <v>1582</v>
      </c>
      <c r="AA943" s="547" t="str">
        <f t="shared" ca="1" si="156"/>
        <v/>
      </c>
      <c r="AB943" s="494" t="s">
        <v>1583</v>
      </c>
      <c r="AC943" s="547" t="str">
        <f t="shared" ca="1" si="157"/>
        <v/>
      </c>
      <c r="AD943" s="557"/>
      <c r="AE943" s="958"/>
    </row>
    <row r="944" spans="1:31" ht="15" customHeight="1">
      <c r="A944" s="957" t="str">
        <f t="shared" ref="A944:A967" ca="1" si="160">IF(N944="Design Review",28,IF(N944="As Built",29,"28/29"))</f>
        <v>28/29</v>
      </c>
      <c r="B944" s="566" t="s">
        <v>152</v>
      </c>
      <c r="C944" s="567" t="str">
        <f t="shared" ref="C944:C967" ca="1" si="161">IF(N944="Design Review","Green Star - Healthcare Design",IF(N944="As Built", "Green Star - Healthcare As Built","Green Star - Healthcare"))</f>
        <v>Green Star - Healthcare</v>
      </c>
      <c r="D944" s="958">
        <v>1</v>
      </c>
      <c r="E944" s="959" t="s">
        <v>367</v>
      </c>
      <c r="F944" s="558" t="s">
        <v>1488</v>
      </c>
      <c r="G944" s="558">
        <v>148</v>
      </c>
      <c r="H944" s="558" t="s">
        <v>1207</v>
      </c>
      <c r="I944" s="559" t="s">
        <v>1209</v>
      </c>
      <c r="J944" s="567" t="s">
        <v>1578</v>
      </c>
      <c r="K944" s="961" t="s">
        <v>1568</v>
      </c>
      <c r="L944" s="555" t="str">
        <f t="shared" ca="1" si="152"/>
        <v/>
      </c>
      <c r="M944" s="494" t="s">
        <v>1569</v>
      </c>
      <c r="N944" s="555" t="str">
        <f t="shared" ca="1" si="153"/>
        <v/>
      </c>
      <c r="O944" s="494" t="s">
        <v>1570</v>
      </c>
      <c r="P944" s="555" t="str">
        <f t="shared" ca="1" si="154"/>
        <v/>
      </c>
      <c r="Q944" s="494" t="s">
        <v>1579</v>
      </c>
      <c r="R944" s="494" t="str">
        <f t="shared" si="159"/>
        <v>I944</v>
      </c>
      <c r="S944" s="494" t="s">
        <v>1584</v>
      </c>
      <c r="T944" s="494">
        <v>6</v>
      </c>
      <c r="U944" s="556" t="str">
        <f t="shared" ca="1" si="150"/>
        <v/>
      </c>
      <c r="V944" s="494">
        <v>7</v>
      </c>
      <c r="W944" s="556" t="str">
        <f t="shared" ca="1" si="151"/>
        <v/>
      </c>
      <c r="X944" s="494" t="s">
        <v>1581</v>
      </c>
      <c r="Y944" s="547" t="str">
        <f t="shared" ca="1" si="155"/>
        <v/>
      </c>
      <c r="Z944" s="494" t="s">
        <v>1582</v>
      </c>
      <c r="AA944" s="547" t="str">
        <f t="shared" ca="1" si="156"/>
        <v/>
      </c>
      <c r="AB944" s="494" t="s">
        <v>1583</v>
      </c>
      <c r="AC944" s="547" t="str">
        <f t="shared" ca="1" si="157"/>
        <v/>
      </c>
      <c r="AD944" s="557"/>
      <c r="AE944" s="958"/>
    </row>
    <row r="945" spans="1:31" ht="15" customHeight="1">
      <c r="A945" s="957" t="str">
        <f t="shared" ca="1" si="160"/>
        <v>28/29</v>
      </c>
      <c r="B945" s="566" t="s">
        <v>152</v>
      </c>
      <c r="C945" s="567" t="str">
        <f t="shared" ca="1" si="161"/>
        <v>Green Star - Healthcare</v>
      </c>
      <c r="D945" s="958">
        <v>1</v>
      </c>
      <c r="E945" s="959" t="s">
        <v>367</v>
      </c>
      <c r="F945" s="558" t="s">
        <v>1488</v>
      </c>
      <c r="G945" s="558">
        <v>148</v>
      </c>
      <c r="H945" s="558" t="s">
        <v>1207</v>
      </c>
      <c r="I945" s="559" t="s">
        <v>1210</v>
      </c>
      <c r="J945" s="567" t="s">
        <v>1578</v>
      </c>
      <c r="K945" s="961" t="s">
        <v>1568</v>
      </c>
      <c r="L945" s="555" t="str">
        <f t="shared" ca="1" si="152"/>
        <v/>
      </c>
      <c r="M945" s="494" t="s">
        <v>1569</v>
      </c>
      <c r="N945" s="555" t="str">
        <f t="shared" ca="1" si="153"/>
        <v/>
      </c>
      <c r="O945" s="494" t="s">
        <v>1570</v>
      </c>
      <c r="P945" s="555" t="str">
        <f t="shared" ca="1" si="154"/>
        <v/>
      </c>
      <c r="Q945" s="494" t="s">
        <v>1579</v>
      </c>
      <c r="R945" s="494" t="str">
        <f t="shared" si="159"/>
        <v>I945</v>
      </c>
      <c r="S945" s="494" t="s">
        <v>1584</v>
      </c>
      <c r="T945" s="494">
        <v>6</v>
      </c>
      <c r="U945" s="556" t="str">
        <f t="shared" ca="1" si="150"/>
        <v/>
      </c>
      <c r="V945" s="494">
        <v>7</v>
      </c>
      <c r="W945" s="556" t="str">
        <f t="shared" ca="1" si="151"/>
        <v/>
      </c>
      <c r="X945" s="494" t="s">
        <v>1581</v>
      </c>
      <c r="Y945" s="547" t="str">
        <f t="shared" ca="1" si="155"/>
        <v/>
      </c>
      <c r="Z945" s="494" t="s">
        <v>1582</v>
      </c>
      <c r="AA945" s="547" t="str">
        <f t="shared" ca="1" si="156"/>
        <v/>
      </c>
      <c r="AB945" s="494" t="s">
        <v>1583</v>
      </c>
      <c r="AC945" s="547" t="str">
        <f t="shared" ca="1" si="157"/>
        <v/>
      </c>
      <c r="AD945" s="557"/>
      <c r="AE945" s="958"/>
    </row>
    <row r="946" spans="1:31" ht="15" customHeight="1">
      <c r="A946" s="957" t="str">
        <f t="shared" ca="1" si="160"/>
        <v>28/29</v>
      </c>
      <c r="B946" s="566" t="s">
        <v>152</v>
      </c>
      <c r="C946" s="567" t="str">
        <f t="shared" ca="1" si="161"/>
        <v>Green Star - Healthcare</v>
      </c>
      <c r="D946" s="958">
        <v>1</v>
      </c>
      <c r="E946" s="959" t="s">
        <v>367</v>
      </c>
      <c r="F946" s="558" t="s">
        <v>1488</v>
      </c>
      <c r="G946" s="558">
        <v>89</v>
      </c>
      <c r="H946" s="558" t="s">
        <v>1211</v>
      </c>
      <c r="I946" s="559" t="s">
        <v>991</v>
      </c>
      <c r="J946" s="567" t="s">
        <v>1578</v>
      </c>
      <c r="K946" s="961" t="s">
        <v>1568</v>
      </c>
      <c r="L946" s="555" t="str">
        <f t="shared" ca="1" si="152"/>
        <v/>
      </c>
      <c r="M946" s="494" t="s">
        <v>1569</v>
      </c>
      <c r="N946" s="555" t="str">
        <f t="shared" ca="1" si="153"/>
        <v/>
      </c>
      <c r="O946" s="494" t="s">
        <v>1570</v>
      </c>
      <c r="P946" s="555" t="str">
        <f t="shared" ca="1" si="154"/>
        <v/>
      </c>
      <c r="Q946" s="494" t="s">
        <v>1579</v>
      </c>
      <c r="R946" s="494" t="str">
        <f>CONCATENATE("I",ROW(J946))</f>
        <v>I946</v>
      </c>
      <c r="S946" s="494" t="s">
        <v>1580</v>
      </c>
      <c r="T946" s="494">
        <v>6</v>
      </c>
      <c r="U946" s="556" t="str">
        <f t="shared" ca="1" si="150"/>
        <v/>
      </c>
      <c r="V946" s="494">
        <v>7</v>
      </c>
      <c r="W946" s="556" t="str">
        <f t="shared" ca="1" si="151"/>
        <v/>
      </c>
      <c r="X946" s="494" t="s">
        <v>1581</v>
      </c>
      <c r="Y946" s="547" t="str">
        <f t="shared" ca="1" si="155"/>
        <v/>
      </c>
      <c r="Z946" s="494" t="s">
        <v>1582</v>
      </c>
      <c r="AA946" s="547" t="str">
        <f t="shared" ca="1" si="156"/>
        <v/>
      </c>
      <c r="AB946" s="494" t="s">
        <v>1583</v>
      </c>
      <c r="AC946" s="547" t="str">
        <f t="shared" ca="1" si="157"/>
        <v/>
      </c>
      <c r="AD946" s="557"/>
      <c r="AE946" s="958"/>
    </row>
    <row r="947" spans="1:31" ht="15" customHeight="1">
      <c r="A947" s="957" t="str">
        <f t="shared" ca="1" si="160"/>
        <v>28/29</v>
      </c>
      <c r="B947" s="566" t="s">
        <v>152</v>
      </c>
      <c r="C947" s="567" t="str">
        <f t="shared" ca="1" si="161"/>
        <v>Green Star - Healthcare</v>
      </c>
      <c r="D947" s="958">
        <v>1</v>
      </c>
      <c r="E947" s="959" t="s">
        <v>367</v>
      </c>
      <c r="F947" s="558" t="s">
        <v>1488</v>
      </c>
      <c r="G947" s="558">
        <v>96</v>
      </c>
      <c r="H947" s="558" t="s">
        <v>1212</v>
      </c>
      <c r="I947" s="559" t="s">
        <v>1213</v>
      </c>
      <c r="J947" s="567" t="s">
        <v>1578</v>
      </c>
      <c r="K947" s="961" t="s">
        <v>1568</v>
      </c>
      <c r="L947" s="555" t="str">
        <f t="shared" ca="1" si="152"/>
        <v/>
      </c>
      <c r="M947" s="494" t="s">
        <v>1569</v>
      </c>
      <c r="N947" s="555" t="str">
        <f t="shared" ca="1" si="153"/>
        <v/>
      </c>
      <c r="O947" s="494" t="s">
        <v>1570</v>
      </c>
      <c r="P947" s="555" t="str">
        <f t="shared" ca="1" si="154"/>
        <v/>
      </c>
      <c r="Q947" s="494" t="s">
        <v>1579</v>
      </c>
      <c r="R947" s="494" t="str">
        <f>CONCATENATE("I",ROW(J947))</f>
        <v>I947</v>
      </c>
      <c r="S947" s="494" t="s">
        <v>1580</v>
      </c>
      <c r="T947" s="494">
        <v>6</v>
      </c>
      <c r="U947" s="556" t="str">
        <f t="shared" ca="1" si="150"/>
        <v/>
      </c>
      <c r="V947" s="494">
        <v>7</v>
      </c>
      <c r="W947" s="556" t="str">
        <f t="shared" ca="1" si="151"/>
        <v/>
      </c>
      <c r="X947" s="494" t="s">
        <v>1581</v>
      </c>
      <c r="Y947" s="547" t="str">
        <f t="shared" ca="1" si="155"/>
        <v/>
      </c>
      <c r="Z947" s="494" t="s">
        <v>1582</v>
      </c>
      <c r="AA947" s="547" t="str">
        <f t="shared" ca="1" si="156"/>
        <v/>
      </c>
      <c r="AB947" s="494" t="s">
        <v>1583</v>
      </c>
      <c r="AC947" s="547" t="str">
        <f t="shared" ca="1" si="157"/>
        <v/>
      </c>
      <c r="AD947" s="557"/>
      <c r="AE947" s="958"/>
    </row>
    <row r="948" spans="1:31" ht="15" customHeight="1">
      <c r="A948" s="957" t="str">
        <f t="shared" ca="1" si="160"/>
        <v>28/29</v>
      </c>
      <c r="B948" s="566" t="s">
        <v>152</v>
      </c>
      <c r="C948" s="567" t="str">
        <f t="shared" ca="1" si="161"/>
        <v>Green Star - Healthcare</v>
      </c>
      <c r="D948" s="958">
        <v>1</v>
      </c>
      <c r="E948" s="959" t="s">
        <v>367</v>
      </c>
      <c r="F948" s="558" t="s">
        <v>1488</v>
      </c>
      <c r="G948" s="558">
        <v>181</v>
      </c>
      <c r="H948" s="558" t="s">
        <v>1214</v>
      </c>
      <c r="I948" s="559" t="s">
        <v>1215</v>
      </c>
      <c r="J948" s="567" t="s">
        <v>1578</v>
      </c>
      <c r="K948" s="961" t="s">
        <v>1568</v>
      </c>
      <c r="L948" s="555" t="str">
        <f t="shared" ca="1" si="152"/>
        <v/>
      </c>
      <c r="M948" s="494" t="s">
        <v>1569</v>
      </c>
      <c r="N948" s="555" t="str">
        <f t="shared" ca="1" si="153"/>
        <v/>
      </c>
      <c r="O948" s="494" t="s">
        <v>1570</v>
      </c>
      <c r="P948" s="555" t="str">
        <f t="shared" ca="1" si="154"/>
        <v/>
      </c>
      <c r="Q948" s="494" t="s">
        <v>1579</v>
      </c>
      <c r="R948" s="494" t="str">
        <f>CONCATENATE("I",ROW(J948))</f>
        <v>I948</v>
      </c>
      <c r="S948" s="494" t="s">
        <v>1580</v>
      </c>
      <c r="T948" s="494">
        <v>6</v>
      </c>
      <c r="U948" s="556" t="str">
        <f t="shared" ca="1" si="150"/>
        <v/>
      </c>
      <c r="V948" s="494">
        <v>7</v>
      </c>
      <c r="W948" s="556" t="str">
        <f t="shared" ca="1" si="151"/>
        <v/>
      </c>
      <c r="X948" s="494" t="s">
        <v>1581</v>
      </c>
      <c r="Y948" s="547" t="str">
        <f t="shared" ca="1" si="155"/>
        <v/>
      </c>
      <c r="Z948" s="494" t="s">
        <v>1582</v>
      </c>
      <c r="AA948" s="547" t="str">
        <f t="shared" ca="1" si="156"/>
        <v/>
      </c>
      <c r="AB948" s="494" t="s">
        <v>1583</v>
      </c>
      <c r="AC948" s="547" t="str">
        <f t="shared" ca="1" si="157"/>
        <v/>
      </c>
      <c r="AD948" s="557"/>
      <c r="AE948" s="958"/>
    </row>
    <row r="949" spans="1:31" ht="15" customHeight="1">
      <c r="A949" s="957" t="str">
        <f t="shared" ca="1" si="160"/>
        <v>28/29</v>
      </c>
      <c r="B949" s="566" t="s">
        <v>152</v>
      </c>
      <c r="C949" s="567" t="str">
        <f t="shared" ca="1" si="161"/>
        <v>Green Star - Healthcare</v>
      </c>
      <c r="D949" s="958">
        <v>1</v>
      </c>
      <c r="E949" s="959" t="s">
        <v>367</v>
      </c>
      <c r="F949" s="558" t="s">
        <v>1488</v>
      </c>
      <c r="G949" s="558">
        <v>198</v>
      </c>
      <c r="H949" s="558" t="s">
        <v>1216</v>
      </c>
      <c r="I949" s="559" t="s">
        <v>1217</v>
      </c>
      <c r="J949" s="567" t="s">
        <v>1578</v>
      </c>
      <c r="K949" s="961" t="s">
        <v>1568</v>
      </c>
      <c r="L949" s="555" t="str">
        <f t="shared" ca="1" si="152"/>
        <v/>
      </c>
      <c r="M949" s="494" t="s">
        <v>1569</v>
      </c>
      <c r="N949" s="555" t="str">
        <f t="shared" ca="1" si="153"/>
        <v/>
      </c>
      <c r="O949" s="494" t="s">
        <v>1570</v>
      </c>
      <c r="P949" s="555" t="str">
        <f t="shared" ca="1" si="154"/>
        <v/>
      </c>
      <c r="Q949" s="494" t="s">
        <v>1579</v>
      </c>
      <c r="R949" s="494" t="str">
        <f>CONCATENATE("I",ROW(J949))</f>
        <v>I949</v>
      </c>
      <c r="S949" s="494" t="s">
        <v>1580</v>
      </c>
      <c r="T949" s="494">
        <v>6</v>
      </c>
      <c r="U949" s="556" t="str">
        <f t="shared" ca="1" si="150"/>
        <v/>
      </c>
      <c r="V949" s="494">
        <v>7</v>
      </c>
      <c r="W949" s="556" t="str">
        <f t="shared" ca="1" si="151"/>
        <v/>
      </c>
      <c r="X949" s="494" t="s">
        <v>1581</v>
      </c>
      <c r="Y949" s="547" t="str">
        <f t="shared" ca="1" si="155"/>
        <v/>
      </c>
      <c r="Z949" s="494" t="s">
        <v>1582</v>
      </c>
      <c r="AA949" s="547" t="str">
        <f t="shared" ca="1" si="156"/>
        <v/>
      </c>
      <c r="AB949" s="494" t="s">
        <v>1583</v>
      </c>
      <c r="AC949" s="547" t="str">
        <f t="shared" ca="1" si="157"/>
        <v/>
      </c>
      <c r="AD949" s="557"/>
      <c r="AE949" s="958"/>
    </row>
    <row r="950" spans="1:31" ht="15" customHeight="1">
      <c r="A950" s="957" t="str">
        <f t="shared" ca="1" si="160"/>
        <v>28/29</v>
      </c>
      <c r="B950" s="566" t="s">
        <v>152</v>
      </c>
      <c r="C950" s="567" t="str">
        <f t="shared" ca="1" si="161"/>
        <v>Green Star - Healthcare</v>
      </c>
      <c r="D950" s="958">
        <v>1</v>
      </c>
      <c r="E950" s="959" t="s">
        <v>396</v>
      </c>
      <c r="F950" s="558" t="s">
        <v>1498</v>
      </c>
      <c r="G950" s="558">
        <v>149</v>
      </c>
      <c r="H950" s="558" t="s">
        <v>1577</v>
      </c>
      <c r="I950" s="559" t="s">
        <v>1219</v>
      </c>
      <c r="J950" s="567" t="s">
        <v>1578</v>
      </c>
      <c r="K950" s="961" t="s">
        <v>1568</v>
      </c>
      <c r="L950" s="555" t="str">
        <f t="shared" ca="1" si="152"/>
        <v/>
      </c>
      <c r="M950" s="494" t="s">
        <v>1569</v>
      </c>
      <c r="N950" s="555" t="str">
        <f t="shared" ca="1" si="153"/>
        <v/>
      </c>
      <c r="O950" s="494" t="s">
        <v>1570</v>
      </c>
      <c r="P950" s="555" t="str">
        <f t="shared" ca="1" si="154"/>
        <v/>
      </c>
      <c r="Q950" s="494" t="s">
        <v>1579</v>
      </c>
      <c r="R950" s="494" t="str">
        <f t="shared" si="159"/>
        <v>I950</v>
      </c>
      <c r="S950" s="494" t="s">
        <v>1580</v>
      </c>
      <c r="T950" s="494">
        <v>6</v>
      </c>
      <c r="U950" s="556" t="str">
        <f t="shared" ca="1" si="150"/>
        <v/>
      </c>
      <c r="V950" s="494">
        <v>7</v>
      </c>
      <c r="W950" s="556" t="str">
        <f t="shared" ca="1" si="151"/>
        <v/>
      </c>
      <c r="X950" s="494" t="s">
        <v>1581</v>
      </c>
      <c r="Y950" s="547" t="str">
        <f t="shared" ca="1" si="155"/>
        <v/>
      </c>
      <c r="Z950" s="494" t="s">
        <v>1582</v>
      </c>
      <c r="AA950" s="547" t="str">
        <f t="shared" ca="1" si="156"/>
        <v/>
      </c>
      <c r="AB950" s="494" t="s">
        <v>1583</v>
      </c>
      <c r="AC950" s="547" t="str">
        <f t="shared" ca="1" si="157"/>
        <v/>
      </c>
      <c r="AD950" s="557"/>
      <c r="AE950" s="958"/>
    </row>
    <row r="951" spans="1:31" ht="15" customHeight="1">
      <c r="A951" s="957" t="str">
        <f t="shared" ca="1" si="160"/>
        <v>28/29</v>
      </c>
      <c r="B951" s="566" t="s">
        <v>152</v>
      </c>
      <c r="C951" s="567" t="str">
        <f t="shared" ca="1" si="161"/>
        <v>Green Star - Healthcare</v>
      </c>
      <c r="D951" s="958">
        <v>1</v>
      </c>
      <c r="E951" s="959" t="s">
        <v>396</v>
      </c>
      <c r="F951" s="558" t="s">
        <v>1498</v>
      </c>
      <c r="G951" s="558">
        <v>150</v>
      </c>
      <c r="H951" s="558" t="s">
        <v>1039</v>
      </c>
      <c r="I951" s="559" t="s">
        <v>1220</v>
      </c>
      <c r="J951" s="567" t="s">
        <v>1578</v>
      </c>
      <c r="K951" s="961" t="s">
        <v>1568</v>
      </c>
      <c r="L951" s="555" t="str">
        <f t="shared" ca="1" si="152"/>
        <v/>
      </c>
      <c r="M951" s="494" t="s">
        <v>1569</v>
      </c>
      <c r="N951" s="555" t="str">
        <f t="shared" ca="1" si="153"/>
        <v/>
      </c>
      <c r="O951" s="494" t="s">
        <v>1570</v>
      </c>
      <c r="P951" s="555" t="str">
        <f t="shared" ca="1" si="154"/>
        <v/>
      </c>
      <c r="Q951" s="494" t="s">
        <v>1579</v>
      </c>
      <c r="R951" s="494" t="str">
        <f t="shared" si="159"/>
        <v>I951</v>
      </c>
      <c r="S951" s="494" t="s">
        <v>1580</v>
      </c>
      <c r="T951" s="494">
        <v>6</v>
      </c>
      <c r="U951" s="556" t="str">
        <f t="shared" ca="1" si="150"/>
        <v/>
      </c>
      <c r="V951" s="494">
        <v>7</v>
      </c>
      <c r="W951" s="556" t="str">
        <f t="shared" ca="1" si="151"/>
        <v/>
      </c>
      <c r="X951" s="494" t="s">
        <v>1581</v>
      </c>
      <c r="Y951" s="547" t="str">
        <f t="shared" ca="1" si="155"/>
        <v/>
      </c>
      <c r="Z951" s="494" t="s">
        <v>1582</v>
      </c>
      <c r="AA951" s="547" t="str">
        <f t="shared" ca="1" si="156"/>
        <v/>
      </c>
      <c r="AB951" s="494" t="s">
        <v>1583</v>
      </c>
      <c r="AC951" s="547" t="str">
        <f t="shared" ca="1" si="157"/>
        <v/>
      </c>
      <c r="AD951" s="557"/>
      <c r="AE951" s="958"/>
    </row>
    <row r="952" spans="1:31" ht="15" customHeight="1">
      <c r="A952" s="957" t="str">
        <f t="shared" ca="1" si="160"/>
        <v>28/29</v>
      </c>
      <c r="B952" s="566" t="s">
        <v>152</v>
      </c>
      <c r="C952" s="567" t="str">
        <f t="shared" ca="1" si="161"/>
        <v>Green Star - Healthcare</v>
      </c>
      <c r="D952" s="958">
        <v>1</v>
      </c>
      <c r="E952" s="959" t="s">
        <v>396</v>
      </c>
      <c r="F952" s="558" t="s">
        <v>1498</v>
      </c>
      <c r="G952" s="558">
        <v>35</v>
      </c>
      <c r="H952" s="558" t="s">
        <v>1045</v>
      </c>
      <c r="I952" s="559" t="s">
        <v>1221</v>
      </c>
      <c r="J952" s="567" t="s">
        <v>1578</v>
      </c>
      <c r="K952" s="961" t="s">
        <v>1568</v>
      </c>
      <c r="L952" s="555" t="str">
        <f t="shared" ca="1" si="152"/>
        <v/>
      </c>
      <c r="M952" s="494" t="s">
        <v>1569</v>
      </c>
      <c r="N952" s="555" t="str">
        <f t="shared" ca="1" si="153"/>
        <v/>
      </c>
      <c r="O952" s="494" t="s">
        <v>1570</v>
      </c>
      <c r="P952" s="555" t="str">
        <f t="shared" ca="1" si="154"/>
        <v/>
      </c>
      <c r="Q952" s="494" t="s">
        <v>1579</v>
      </c>
      <c r="R952" s="494" t="str">
        <f t="shared" si="159"/>
        <v>I952</v>
      </c>
      <c r="S952" s="494" t="s">
        <v>1580</v>
      </c>
      <c r="T952" s="494">
        <v>6</v>
      </c>
      <c r="U952" s="556" t="str">
        <f t="shared" ca="1" si="150"/>
        <v/>
      </c>
      <c r="V952" s="494">
        <v>7</v>
      </c>
      <c r="W952" s="556" t="str">
        <f t="shared" ca="1" si="151"/>
        <v/>
      </c>
      <c r="X952" s="494" t="s">
        <v>1581</v>
      </c>
      <c r="Y952" s="547" t="str">
        <f t="shared" ca="1" si="155"/>
        <v/>
      </c>
      <c r="Z952" s="494" t="s">
        <v>1582</v>
      </c>
      <c r="AA952" s="547" t="str">
        <f t="shared" ca="1" si="156"/>
        <v/>
      </c>
      <c r="AB952" s="494" t="s">
        <v>1583</v>
      </c>
      <c r="AC952" s="547" t="str">
        <f t="shared" ca="1" si="157"/>
        <v/>
      </c>
      <c r="AD952" s="557"/>
      <c r="AE952" s="958"/>
    </row>
    <row r="953" spans="1:31" ht="15" customHeight="1">
      <c r="A953" s="957" t="str">
        <f t="shared" ca="1" si="160"/>
        <v>28/29</v>
      </c>
      <c r="B953" s="566" t="s">
        <v>152</v>
      </c>
      <c r="C953" s="567" t="str">
        <f t="shared" ca="1" si="161"/>
        <v>Green Star - Healthcare</v>
      </c>
      <c r="D953" s="958">
        <v>1</v>
      </c>
      <c r="E953" s="959" t="s">
        <v>396</v>
      </c>
      <c r="F953" s="558" t="s">
        <v>1498</v>
      </c>
      <c r="G953" s="558">
        <v>37</v>
      </c>
      <c r="H953" s="558" t="s">
        <v>1046</v>
      </c>
      <c r="I953" s="559" t="s">
        <v>1222</v>
      </c>
      <c r="J953" s="567" t="s">
        <v>1578</v>
      </c>
      <c r="K953" s="961" t="s">
        <v>1568</v>
      </c>
      <c r="L953" s="555" t="str">
        <f t="shared" ca="1" si="152"/>
        <v/>
      </c>
      <c r="M953" s="494" t="s">
        <v>1569</v>
      </c>
      <c r="N953" s="555" t="str">
        <f t="shared" ca="1" si="153"/>
        <v/>
      </c>
      <c r="O953" s="494" t="s">
        <v>1570</v>
      </c>
      <c r="P953" s="555" t="str">
        <f t="shared" ca="1" si="154"/>
        <v/>
      </c>
      <c r="Q953" s="494" t="s">
        <v>1579</v>
      </c>
      <c r="R953" s="494" t="str">
        <f t="shared" si="159"/>
        <v>I953</v>
      </c>
      <c r="S953" s="494" t="s">
        <v>1580</v>
      </c>
      <c r="T953" s="494">
        <v>6</v>
      </c>
      <c r="U953" s="556" t="str">
        <f t="shared" ca="1" si="150"/>
        <v/>
      </c>
      <c r="V953" s="494">
        <v>7</v>
      </c>
      <c r="W953" s="556" t="str">
        <f t="shared" ca="1" si="151"/>
        <v/>
      </c>
      <c r="X953" s="494" t="s">
        <v>1581</v>
      </c>
      <c r="Y953" s="547" t="str">
        <f t="shared" ca="1" si="155"/>
        <v/>
      </c>
      <c r="Z953" s="494" t="s">
        <v>1582</v>
      </c>
      <c r="AA953" s="547" t="str">
        <f t="shared" ca="1" si="156"/>
        <v/>
      </c>
      <c r="AB953" s="494" t="s">
        <v>1583</v>
      </c>
      <c r="AC953" s="547" t="str">
        <f t="shared" ca="1" si="157"/>
        <v/>
      </c>
      <c r="AD953" s="557"/>
      <c r="AE953" s="958"/>
    </row>
    <row r="954" spans="1:31" ht="15" customHeight="1">
      <c r="A954" s="957" t="str">
        <f t="shared" ca="1" si="160"/>
        <v>28/29</v>
      </c>
      <c r="B954" s="566" t="s">
        <v>152</v>
      </c>
      <c r="C954" s="567" t="str">
        <f t="shared" ca="1" si="161"/>
        <v>Green Star - Healthcare</v>
      </c>
      <c r="D954" s="958">
        <v>1</v>
      </c>
      <c r="E954" s="959" t="s">
        <v>396</v>
      </c>
      <c r="F954" s="558" t="s">
        <v>1498</v>
      </c>
      <c r="G954" s="558">
        <v>39</v>
      </c>
      <c r="H954" s="558" t="s">
        <v>1047</v>
      </c>
      <c r="I954" s="559" t="s">
        <v>783</v>
      </c>
      <c r="J954" s="567" t="s">
        <v>1578</v>
      </c>
      <c r="K954" s="961" t="s">
        <v>1568</v>
      </c>
      <c r="L954" s="555" t="str">
        <f t="shared" ca="1" si="152"/>
        <v/>
      </c>
      <c r="M954" s="494" t="s">
        <v>1569</v>
      </c>
      <c r="N954" s="555" t="str">
        <f t="shared" ca="1" si="153"/>
        <v/>
      </c>
      <c r="O954" s="494" t="s">
        <v>1570</v>
      </c>
      <c r="P954" s="555" t="str">
        <f t="shared" ca="1" si="154"/>
        <v/>
      </c>
      <c r="Q954" s="494" t="s">
        <v>1579</v>
      </c>
      <c r="R954" s="494" t="str">
        <f t="shared" si="159"/>
        <v>I954</v>
      </c>
      <c r="S954" s="494" t="s">
        <v>1580</v>
      </c>
      <c r="T954" s="494">
        <v>6</v>
      </c>
      <c r="U954" s="556" t="str">
        <f t="shared" ca="1" si="150"/>
        <v/>
      </c>
      <c r="V954" s="494">
        <v>7</v>
      </c>
      <c r="W954" s="556" t="str">
        <f t="shared" ca="1" si="151"/>
        <v/>
      </c>
      <c r="X954" s="494" t="s">
        <v>1581</v>
      </c>
      <c r="Y954" s="547" t="str">
        <f t="shared" ca="1" si="155"/>
        <v/>
      </c>
      <c r="Z954" s="494" t="s">
        <v>1582</v>
      </c>
      <c r="AA954" s="547" t="str">
        <f t="shared" ca="1" si="156"/>
        <v/>
      </c>
      <c r="AB954" s="494" t="s">
        <v>1583</v>
      </c>
      <c r="AC954" s="547" t="str">
        <f t="shared" ca="1" si="157"/>
        <v/>
      </c>
      <c r="AD954" s="557"/>
      <c r="AE954" s="958"/>
    </row>
    <row r="955" spans="1:31" ht="15" customHeight="1">
      <c r="A955" s="957" t="str">
        <f t="shared" ca="1" si="160"/>
        <v>28/29</v>
      </c>
      <c r="B955" s="566" t="s">
        <v>152</v>
      </c>
      <c r="C955" s="567" t="str">
        <f t="shared" ca="1" si="161"/>
        <v>Green Star - Healthcare</v>
      </c>
      <c r="D955" s="958">
        <v>1</v>
      </c>
      <c r="E955" s="959" t="s">
        <v>404</v>
      </c>
      <c r="F955" s="558" t="s">
        <v>1499</v>
      </c>
      <c r="G955" s="558">
        <v>13</v>
      </c>
      <c r="H955" s="558" t="s">
        <v>1223</v>
      </c>
      <c r="I955" s="559" t="s">
        <v>1224</v>
      </c>
      <c r="J955" s="567" t="s">
        <v>1578</v>
      </c>
      <c r="K955" s="961" t="s">
        <v>1568</v>
      </c>
      <c r="L955" s="555" t="str">
        <f t="shared" ca="1" si="152"/>
        <v/>
      </c>
      <c r="M955" s="494" t="s">
        <v>1569</v>
      </c>
      <c r="N955" s="555" t="str">
        <f t="shared" ca="1" si="153"/>
        <v/>
      </c>
      <c r="O955" s="494" t="s">
        <v>1570</v>
      </c>
      <c r="P955" s="555" t="str">
        <f t="shared" ca="1" si="154"/>
        <v/>
      </c>
      <c r="Q955" s="494" t="s">
        <v>1579</v>
      </c>
      <c r="R955" s="494" t="str">
        <f t="shared" si="159"/>
        <v>I955</v>
      </c>
      <c r="S955" s="494" t="s">
        <v>1580</v>
      </c>
      <c r="T955" s="494">
        <v>6</v>
      </c>
      <c r="U955" s="556" t="str">
        <f t="shared" ca="1" si="150"/>
        <v/>
      </c>
      <c r="V955" s="494">
        <v>7</v>
      </c>
      <c r="W955" s="556" t="str">
        <f t="shared" ca="1" si="151"/>
        <v/>
      </c>
      <c r="X955" s="494" t="s">
        <v>1581</v>
      </c>
      <c r="Y955" s="547" t="str">
        <f t="shared" ca="1" si="155"/>
        <v/>
      </c>
      <c r="Z955" s="494" t="s">
        <v>1582</v>
      </c>
      <c r="AA955" s="547" t="str">
        <f t="shared" ca="1" si="156"/>
        <v/>
      </c>
      <c r="AB955" s="494" t="s">
        <v>1583</v>
      </c>
      <c r="AC955" s="547" t="str">
        <f t="shared" ca="1" si="157"/>
        <v/>
      </c>
      <c r="AD955" s="557"/>
      <c r="AE955" s="958"/>
    </row>
    <row r="956" spans="1:31" ht="15" customHeight="1">
      <c r="A956" s="957" t="str">
        <f t="shared" ca="1" si="160"/>
        <v>28/29</v>
      </c>
      <c r="B956" s="566" t="s">
        <v>152</v>
      </c>
      <c r="C956" s="567" t="str">
        <f t="shared" ca="1" si="161"/>
        <v>Green Star - Healthcare</v>
      </c>
      <c r="D956" s="958">
        <v>1</v>
      </c>
      <c r="E956" s="959" t="s">
        <v>404</v>
      </c>
      <c r="F956" s="558" t="s">
        <v>1499</v>
      </c>
      <c r="G956" s="558">
        <v>14</v>
      </c>
      <c r="H956" s="558" t="s">
        <v>1225</v>
      </c>
      <c r="I956" s="559" t="s">
        <v>1226</v>
      </c>
      <c r="J956" s="567" t="s">
        <v>1578</v>
      </c>
      <c r="K956" s="961" t="s">
        <v>1568</v>
      </c>
      <c r="L956" s="555" t="str">
        <f t="shared" ca="1" si="152"/>
        <v/>
      </c>
      <c r="M956" s="494" t="s">
        <v>1569</v>
      </c>
      <c r="N956" s="555" t="str">
        <f t="shared" ca="1" si="153"/>
        <v/>
      </c>
      <c r="O956" s="494" t="s">
        <v>1570</v>
      </c>
      <c r="P956" s="555" t="str">
        <f t="shared" ca="1" si="154"/>
        <v/>
      </c>
      <c r="Q956" s="494" t="s">
        <v>1579</v>
      </c>
      <c r="R956" s="494" t="str">
        <f t="shared" si="159"/>
        <v>I956</v>
      </c>
      <c r="S956" s="494" t="s">
        <v>1580</v>
      </c>
      <c r="T956" s="494">
        <v>6</v>
      </c>
      <c r="U956" s="556" t="str">
        <f t="shared" ca="1" si="150"/>
        <v/>
      </c>
      <c r="V956" s="494">
        <v>7</v>
      </c>
      <c r="W956" s="556" t="str">
        <f t="shared" ca="1" si="151"/>
        <v/>
      </c>
      <c r="X956" s="494" t="s">
        <v>1581</v>
      </c>
      <c r="Y956" s="547" t="str">
        <f t="shared" ca="1" si="155"/>
        <v/>
      </c>
      <c r="Z956" s="494" t="s">
        <v>1582</v>
      </c>
      <c r="AA956" s="547" t="str">
        <f t="shared" ca="1" si="156"/>
        <v/>
      </c>
      <c r="AB956" s="494" t="s">
        <v>1583</v>
      </c>
      <c r="AC956" s="547" t="str">
        <f t="shared" ca="1" si="157"/>
        <v/>
      </c>
      <c r="AD956" s="557"/>
      <c r="AE956" s="958"/>
    </row>
    <row r="957" spans="1:31" ht="15" customHeight="1">
      <c r="A957" s="957" t="str">
        <f t="shared" ca="1" si="160"/>
        <v>28/29</v>
      </c>
      <c r="B957" s="566" t="s">
        <v>152</v>
      </c>
      <c r="C957" s="567" t="str">
        <f t="shared" ca="1" si="161"/>
        <v>Green Star - Healthcare</v>
      </c>
      <c r="D957" s="958">
        <v>1</v>
      </c>
      <c r="E957" s="959" t="s">
        <v>404</v>
      </c>
      <c r="F957" s="558" t="s">
        <v>1499</v>
      </c>
      <c r="G957" s="558">
        <v>151</v>
      </c>
      <c r="H957" s="558" t="s">
        <v>1227</v>
      </c>
      <c r="I957" s="559" t="s">
        <v>1228</v>
      </c>
      <c r="J957" s="567" t="s">
        <v>1578</v>
      </c>
      <c r="K957" s="961" t="s">
        <v>1568</v>
      </c>
      <c r="L957" s="555" t="str">
        <f t="shared" ca="1" si="152"/>
        <v/>
      </c>
      <c r="M957" s="494" t="s">
        <v>1569</v>
      </c>
      <c r="N957" s="555" t="str">
        <f t="shared" ca="1" si="153"/>
        <v/>
      </c>
      <c r="O957" s="494" t="s">
        <v>1570</v>
      </c>
      <c r="P957" s="555" t="str">
        <f t="shared" ca="1" si="154"/>
        <v/>
      </c>
      <c r="Q957" s="494" t="s">
        <v>1579</v>
      </c>
      <c r="R957" s="494" t="str">
        <f t="shared" si="159"/>
        <v>I957</v>
      </c>
      <c r="S957" s="494" t="s">
        <v>1580</v>
      </c>
      <c r="T957" s="494">
        <v>6</v>
      </c>
      <c r="U957" s="556" t="str">
        <f t="shared" ca="1" si="150"/>
        <v/>
      </c>
      <c r="V957" s="494">
        <v>7</v>
      </c>
      <c r="W957" s="556" t="str">
        <f t="shared" ca="1" si="151"/>
        <v/>
      </c>
      <c r="X957" s="494" t="s">
        <v>1581</v>
      </c>
      <c r="Y957" s="547" t="str">
        <f t="shared" ca="1" si="155"/>
        <v/>
      </c>
      <c r="Z957" s="494" t="s">
        <v>1582</v>
      </c>
      <c r="AA957" s="547" t="str">
        <f t="shared" ca="1" si="156"/>
        <v/>
      </c>
      <c r="AB957" s="494" t="s">
        <v>1583</v>
      </c>
      <c r="AC957" s="547" t="str">
        <f t="shared" ca="1" si="157"/>
        <v/>
      </c>
      <c r="AD957" s="557"/>
      <c r="AE957" s="958"/>
    </row>
    <row r="958" spans="1:31" ht="15" customHeight="1">
      <c r="A958" s="957" t="str">
        <f t="shared" ca="1" si="160"/>
        <v>28/29</v>
      </c>
      <c r="B958" s="566" t="s">
        <v>152</v>
      </c>
      <c r="C958" s="567" t="str">
        <f t="shared" ca="1" si="161"/>
        <v>Green Star - Healthcare</v>
      </c>
      <c r="D958" s="958">
        <v>1</v>
      </c>
      <c r="E958" s="959" t="s">
        <v>404</v>
      </c>
      <c r="F958" s="558" t="s">
        <v>1499</v>
      </c>
      <c r="G958" s="558">
        <v>27</v>
      </c>
      <c r="H958" s="558" t="s">
        <v>1229</v>
      </c>
      <c r="I958" s="559" t="s">
        <v>1230</v>
      </c>
      <c r="J958" s="567" t="s">
        <v>1578</v>
      </c>
      <c r="K958" s="961" t="s">
        <v>1568</v>
      </c>
      <c r="L958" s="555" t="str">
        <f t="shared" ca="1" si="152"/>
        <v/>
      </c>
      <c r="M958" s="494" t="s">
        <v>1569</v>
      </c>
      <c r="N958" s="555" t="str">
        <f t="shared" ca="1" si="153"/>
        <v/>
      </c>
      <c r="O958" s="494" t="s">
        <v>1570</v>
      </c>
      <c r="P958" s="555" t="str">
        <f t="shared" ca="1" si="154"/>
        <v/>
      </c>
      <c r="Q958" s="494" t="s">
        <v>1579</v>
      </c>
      <c r="R958" s="494" t="str">
        <f t="shared" si="159"/>
        <v>I958</v>
      </c>
      <c r="S958" s="494" t="s">
        <v>1580</v>
      </c>
      <c r="T958" s="494">
        <v>6</v>
      </c>
      <c r="U958" s="556" t="str">
        <f t="shared" ca="1" si="150"/>
        <v/>
      </c>
      <c r="V958" s="494">
        <v>7</v>
      </c>
      <c r="W958" s="556" t="str">
        <f t="shared" ca="1" si="151"/>
        <v/>
      </c>
      <c r="X958" s="494" t="s">
        <v>1581</v>
      </c>
      <c r="Y958" s="547" t="str">
        <f t="shared" ca="1" si="155"/>
        <v/>
      </c>
      <c r="Z958" s="494" t="s">
        <v>1582</v>
      </c>
      <c r="AA958" s="547" t="str">
        <f t="shared" ca="1" si="156"/>
        <v/>
      </c>
      <c r="AB958" s="494" t="s">
        <v>1583</v>
      </c>
      <c r="AC958" s="547" t="str">
        <f t="shared" ca="1" si="157"/>
        <v/>
      </c>
      <c r="AD958" s="557"/>
      <c r="AE958" s="958"/>
    </row>
    <row r="959" spans="1:31" ht="15" customHeight="1">
      <c r="A959" s="957" t="str">
        <f t="shared" ca="1" si="160"/>
        <v>28/29</v>
      </c>
      <c r="B959" s="566" t="s">
        <v>152</v>
      </c>
      <c r="C959" s="567" t="str">
        <f t="shared" ca="1" si="161"/>
        <v>Green Star - Healthcare</v>
      </c>
      <c r="D959" s="958">
        <v>1</v>
      </c>
      <c r="E959" s="959" t="s">
        <v>404</v>
      </c>
      <c r="F959" s="558" t="s">
        <v>1499</v>
      </c>
      <c r="G959" s="558">
        <v>19</v>
      </c>
      <c r="H959" s="558" t="s">
        <v>1231</v>
      </c>
      <c r="I959" s="559" t="s">
        <v>1232</v>
      </c>
      <c r="J959" s="567" t="s">
        <v>1578</v>
      </c>
      <c r="K959" s="961" t="s">
        <v>1568</v>
      </c>
      <c r="L959" s="555" t="str">
        <f t="shared" ca="1" si="152"/>
        <v/>
      </c>
      <c r="M959" s="494" t="s">
        <v>1569</v>
      </c>
      <c r="N959" s="555" t="str">
        <f t="shared" ca="1" si="153"/>
        <v/>
      </c>
      <c r="O959" s="494" t="s">
        <v>1570</v>
      </c>
      <c r="P959" s="555" t="str">
        <f t="shared" ca="1" si="154"/>
        <v/>
      </c>
      <c r="Q959" s="494" t="s">
        <v>1579</v>
      </c>
      <c r="R959" s="494" t="str">
        <f t="shared" si="159"/>
        <v>I959</v>
      </c>
      <c r="S959" s="494" t="s">
        <v>1580</v>
      </c>
      <c r="T959" s="494">
        <v>6</v>
      </c>
      <c r="U959" s="556" t="str">
        <f t="shared" ref="U959:U1022" ca="1" si="162">IF(AND($B959=INDIRECT(CONCATENATE($J959,$K959,5)),ISBLANK(INDEX(INDIRECT(CONCATENATE($J959,$Q959)),MATCH(INDIRECT($R959),INDIRECT(CONCATENATE($J959,$S959)),0),T959))=FALSE),INDEX(INDIRECT(CONCATENATE($J959,$Q959)),MATCH(INDIRECT($R959),INDIRECT(CONCATENATE($J959,$S959)),0),T959),"")</f>
        <v/>
      </c>
      <c r="V959" s="494">
        <v>7</v>
      </c>
      <c r="W959" s="556" t="str">
        <f t="shared" ref="W959:W1022" ca="1" si="163">IF(AND($B959=INDIRECT(CONCATENATE($J959,$K959,5)),ISBLANK(INDEX(INDIRECT(CONCATENATE($J959,$Q959)),MATCH(INDIRECT($R959),INDIRECT(CONCATENATE($J959,$S959)),0),V959))=FALSE),INDEX(INDIRECT(CONCATENATE($J959,$Q959)),MATCH(INDIRECT($R959),INDIRECT(CONCATENATE($J959,$S959)),0),V959),"")</f>
        <v/>
      </c>
      <c r="X959" s="494" t="s">
        <v>1581</v>
      </c>
      <c r="Y959" s="547" t="str">
        <f t="shared" ca="1" si="155"/>
        <v/>
      </c>
      <c r="Z959" s="494" t="s">
        <v>1582</v>
      </c>
      <c r="AA959" s="547" t="str">
        <f t="shared" ca="1" si="156"/>
        <v/>
      </c>
      <c r="AB959" s="494" t="s">
        <v>1583</v>
      </c>
      <c r="AC959" s="547" t="str">
        <f t="shared" ca="1" si="157"/>
        <v/>
      </c>
      <c r="AD959" s="557"/>
      <c r="AE959" s="958"/>
    </row>
    <row r="960" spans="1:31" ht="15" customHeight="1">
      <c r="A960" s="957" t="str">
        <f t="shared" ca="1" si="160"/>
        <v>28/29</v>
      </c>
      <c r="B960" s="566" t="s">
        <v>152</v>
      </c>
      <c r="C960" s="567" t="str">
        <f t="shared" ca="1" si="161"/>
        <v>Green Star - Healthcare</v>
      </c>
      <c r="D960" s="958">
        <v>1</v>
      </c>
      <c r="E960" s="959" t="s">
        <v>404</v>
      </c>
      <c r="F960" s="558" t="s">
        <v>1499</v>
      </c>
      <c r="G960" s="558">
        <v>598</v>
      </c>
      <c r="H960" s="558" t="s">
        <v>1233</v>
      </c>
      <c r="I960" s="559" t="s">
        <v>1235</v>
      </c>
      <c r="J960" s="567" t="s">
        <v>1578</v>
      </c>
      <c r="K960" s="961" t="s">
        <v>1568</v>
      </c>
      <c r="L960" s="555" t="str">
        <f t="shared" ca="1" si="152"/>
        <v/>
      </c>
      <c r="M960" s="494" t="s">
        <v>1569</v>
      </c>
      <c r="N960" s="555" t="str">
        <f t="shared" ca="1" si="153"/>
        <v/>
      </c>
      <c r="O960" s="494" t="s">
        <v>1570</v>
      </c>
      <c r="P960" s="555" t="str">
        <f t="shared" ca="1" si="154"/>
        <v/>
      </c>
      <c r="Q960" s="494" t="s">
        <v>1579</v>
      </c>
      <c r="R960" s="494" t="str">
        <f t="shared" si="159"/>
        <v>I960</v>
      </c>
      <c r="S960" s="494" t="s">
        <v>1584</v>
      </c>
      <c r="T960" s="494">
        <v>6</v>
      </c>
      <c r="U960" s="556" t="str">
        <f t="shared" ca="1" si="162"/>
        <v/>
      </c>
      <c r="V960" s="494">
        <v>7</v>
      </c>
      <c r="W960" s="556" t="str">
        <f t="shared" ca="1" si="163"/>
        <v/>
      </c>
      <c r="X960" s="494" t="s">
        <v>1581</v>
      </c>
      <c r="Y960" s="547" t="str">
        <f t="shared" ca="1" si="155"/>
        <v/>
      </c>
      <c r="Z960" s="494" t="s">
        <v>1582</v>
      </c>
      <c r="AA960" s="547" t="str">
        <f t="shared" ca="1" si="156"/>
        <v/>
      </c>
      <c r="AB960" s="494" t="s">
        <v>1583</v>
      </c>
      <c r="AC960" s="547" t="str">
        <f t="shared" ca="1" si="157"/>
        <v/>
      </c>
      <c r="AD960" s="557"/>
      <c r="AE960" s="958"/>
    </row>
    <row r="961" spans="1:31" ht="15" customHeight="1">
      <c r="A961" s="957" t="str">
        <f t="shared" ca="1" si="160"/>
        <v>28/29</v>
      </c>
      <c r="B961" s="566" t="s">
        <v>152</v>
      </c>
      <c r="C961" s="567" t="str">
        <f t="shared" ca="1" si="161"/>
        <v>Green Star - Healthcare</v>
      </c>
      <c r="D961" s="958">
        <v>1</v>
      </c>
      <c r="E961" s="959" t="s">
        <v>404</v>
      </c>
      <c r="F961" s="558" t="s">
        <v>1499</v>
      </c>
      <c r="G961" s="558">
        <v>598</v>
      </c>
      <c r="H961" s="558" t="s">
        <v>1233</v>
      </c>
      <c r="I961" s="559" t="s">
        <v>1236</v>
      </c>
      <c r="J961" s="567" t="s">
        <v>1578</v>
      </c>
      <c r="K961" s="961" t="s">
        <v>1568</v>
      </c>
      <c r="L961" s="555" t="str">
        <f t="shared" ca="1" si="152"/>
        <v/>
      </c>
      <c r="M961" s="494" t="s">
        <v>1569</v>
      </c>
      <c r="N961" s="555" t="str">
        <f t="shared" ca="1" si="153"/>
        <v/>
      </c>
      <c r="O961" s="494" t="s">
        <v>1570</v>
      </c>
      <c r="P961" s="555" t="str">
        <f t="shared" ca="1" si="154"/>
        <v/>
      </c>
      <c r="Q961" s="494" t="s">
        <v>1579</v>
      </c>
      <c r="R961" s="494" t="str">
        <f t="shared" si="159"/>
        <v>I961</v>
      </c>
      <c r="S961" s="494" t="s">
        <v>1584</v>
      </c>
      <c r="T961" s="494">
        <v>6</v>
      </c>
      <c r="U961" s="556" t="str">
        <f t="shared" ca="1" si="162"/>
        <v/>
      </c>
      <c r="V961" s="494">
        <v>7</v>
      </c>
      <c r="W961" s="556" t="str">
        <f t="shared" ca="1" si="163"/>
        <v/>
      </c>
      <c r="X961" s="494" t="s">
        <v>1581</v>
      </c>
      <c r="Y961" s="547" t="str">
        <f t="shared" ca="1" si="155"/>
        <v/>
      </c>
      <c r="Z961" s="494" t="s">
        <v>1582</v>
      </c>
      <c r="AA961" s="547" t="str">
        <f t="shared" ca="1" si="156"/>
        <v/>
      </c>
      <c r="AB961" s="494" t="s">
        <v>1583</v>
      </c>
      <c r="AC961" s="547" t="str">
        <f t="shared" ca="1" si="157"/>
        <v/>
      </c>
      <c r="AD961" s="557"/>
      <c r="AE961" s="958"/>
    </row>
    <row r="962" spans="1:31" ht="15" customHeight="1">
      <c r="A962" s="957" t="str">
        <f t="shared" ca="1" si="160"/>
        <v>28/29</v>
      </c>
      <c r="B962" s="566" t="s">
        <v>152</v>
      </c>
      <c r="C962" s="567" t="str">
        <f t="shared" ca="1" si="161"/>
        <v>Green Star - Healthcare</v>
      </c>
      <c r="D962" s="958">
        <v>1</v>
      </c>
      <c r="E962" s="959" t="s">
        <v>404</v>
      </c>
      <c r="F962" s="558" t="s">
        <v>1499</v>
      </c>
      <c r="G962" s="558">
        <v>22</v>
      </c>
      <c r="H962" s="558" t="s">
        <v>1237</v>
      </c>
      <c r="I962" s="559" t="s">
        <v>409</v>
      </c>
      <c r="J962" s="567" t="s">
        <v>1578</v>
      </c>
      <c r="K962" s="961" t="s">
        <v>1568</v>
      </c>
      <c r="L962" s="555" t="str">
        <f t="shared" ref="L962:L1025" ca="1" si="164">IF(AND(INDIRECT(CONCATENATE($J962,$K962,5))=$B962,ISNUMBER(SEARCH("Please",INDIRECT(CONCATENATE($J962,$K962,2)),1))=FALSE),SUMPRODUCT(MID(0&amp;INDIRECT(CONCATENATE($J962,$K962,2)), LARGE(INDEX(ISNUMBER(--MID(INDIRECT(CONCATENATE($J962,$K962,2)), ROW(INDIRECT("1:"&amp;LEN(INDIRECT(CONCATENATE($J962,$K962,2))))),1))*ROW(INDIRECT("1:"&amp;LEN(INDIRECT(CONCATENATE($J962,$K962,2))))),0), ROW(INDIRECT("1:"&amp;LEN(INDIRECT(CONCATENATE($J962,$K962,2))))))+1,1)*10^ROW(INDIRECT("1:"&amp;LEN(INDIRECT(CONCATENATE($J962,$K962,2)))))/10),"")</f>
        <v/>
      </c>
      <c r="M962" s="494" t="s">
        <v>1569</v>
      </c>
      <c r="N962" s="555" t="str">
        <f t="shared" ref="N962:N1025" ca="1" si="165">IF(AND(INDIRECT(CONCATENATE($J962,$K962,5))=$B962,ISNUMBER(SEARCH("Select",INDIRECT(CONCATENATE($J962,$M962,6)),1))=FALSE),INDIRECT(CONCATENATE($J962,$M962,6)),"")</f>
        <v/>
      </c>
      <c r="O962" s="494" t="s">
        <v>1570</v>
      </c>
      <c r="P962" s="555" t="str">
        <f t="shared" ref="P962:P1025" ca="1" si="166">IF(AND(INDIRECT(CONCATENATE($J962,$K962,5))=$B962,ISNUMBER(SEARCH("Select",INDIRECT(CONCATENATE($J962,$O962,6)),1))=FALSE),INDIRECT(CONCATENATE($J962,$O962,6)),"")</f>
        <v/>
      </c>
      <c r="Q962" s="494" t="s">
        <v>1579</v>
      </c>
      <c r="R962" s="494" t="str">
        <f t="shared" si="159"/>
        <v>I962</v>
      </c>
      <c r="S962" s="494" t="s">
        <v>1580</v>
      </c>
      <c r="T962" s="494">
        <v>6</v>
      </c>
      <c r="U962" s="556" t="str">
        <f t="shared" ca="1" si="162"/>
        <v/>
      </c>
      <c r="V962" s="494">
        <v>7</v>
      </c>
      <c r="W962" s="556" t="str">
        <f t="shared" ca="1" si="163"/>
        <v/>
      </c>
      <c r="X962" s="494" t="s">
        <v>1581</v>
      </c>
      <c r="Y962" s="547" t="str">
        <f t="shared" ref="Y962:Y1025" ca="1" si="167">IF(AND(INDIRECT(CONCATENATE($J962,$K962,5))=$B962,ISBLANK(INDIRECT(CONCATENATE($J962,X962)))=FALSE),INDIRECT(CONCATENATE($J962,X962)),"")</f>
        <v/>
      </c>
      <c r="Z962" s="494" t="s">
        <v>1582</v>
      </c>
      <c r="AA962" s="547" t="str">
        <f t="shared" ref="AA962:AA1025" ca="1" si="168">IF(AND(INDIRECT(CONCATENATE($J962,$K962,"5"))=$B962,ISBLANK(INDIRECT(CONCATENATE($J962,Z962)))=FALSE),INDIRECT(CONCATENATE($J962,Z962)),"")</f>
        <v/>
      </c>
      <c r="AB962" s="494" t="s">
        <v>1583</v>
      </c>
      <c r="AC962" s="547" t="str">
        <f t="shared" ref="AC962:AC1025" ca="1" si="169">IF(AND(INDIRECT(CONCATENATE($J962,$K962,"5"))=$B962,ISBLANK(INDIRECT(CONCATENATE($J962,AB962)))=FALSE),INDIRECT(CONCATENATE($J962,AB962)),"")</f>
        <v/>
      </c>
      <c r="AD962" s="557"/>
      <c r="AE962" s="958"/>
    </row>
    <row r="963" spans="1:31" ht="15" customHeight="1">
      <c r="A963" s="957" t="str">
        <f t="shared" ca="1" si="160"/>
        <v>28/29</v>
      </c>
      <c r="B963" s="566" t="s">
        <v>152</v>
      </c>
      <c r="C963" s="567" t="str">
        <f t="shared" ca="1" si="161"/>
        <v>Green Star - Healthcare</v>
      </c>
      <c r="D963" s="958">
        <v>1</v>
      </c>
      <c r="E963" s="959" t="s">
        <v>404</v>
      </c>
      <c r="F963" s="558" t="s">
        <v>1499</v>
      </c>
      <c r="G963" s="558">
        <v>153</v>
      </c>
      <c r="H963" s="558" t="s">
        <v>1238</v>
      </c>
      <c r="I963" s="559" t="s">
        <v>1239</v>
      </c>
      <c r="J963" s="567" t="s">
        <v>1578</v>
      </c>
      <c r="K963" s="961" t="s">
        <v>1568</v>
      </c>
      <c r="L963" s="555" t="str">
        <f t="shared" ca="1" si="164"/>
        <v/>
      </c>
      <c r="M963" s="494" t="s">
        <v>1569</v>
      </c>
      <c r="N963" s="555" t="str">
        <f t="shared" ca="1" si="165"/>
        <v/>
      </c>
      <c r="O963" s="494" t="s">
        <v>1570</v>
      </c>
      <c r="P963" s="555" t="str">
        <f t="shared" ca="1" si="166"/>
        <v/>
      </c>
      <c r="Q963" s="494" t="s">
        <v>1579</v>
      </c>
      <c r="R963" s="494" t="str">
        <f t="shared" si="159"/>
        <v>I963</v>
      </c>
      <c r="S963" s="494" t="s">
        <v>1580</v>
      </c>
      <c r="T963" s="494">
        <v>6</v>
      </c>
      <c r="U963" s="556" t="str">
        <f t="shared" ca="1" si="162"/>
        <v/>
      </c>
      <c r="V963" s="494">
        <v>7</v>
      </c>
      <c r="W963" s="556" t="str">
        <f t="shared" ca="1" si="163"/>
        <v/>
      </c>
      <c r="X963" s="494" t="s">
        <v>1581</v>
      </c>
      <c r="Y963" s="547" t="str">
        <f t="shared" ca="1" si="167"/>
        <v/>
      </c>
      <c r="Z963" s="494" t="s">
        <v>1582</v>
      </c>
      <c r="AA963" s="547" t="str">
        <f t="shared" ca="1" si="168"/>
        <v/>
      </c>
      <c r="AB963" s="494" t="s">
        <v>1583</v>
      </c>
      <c r="AC963" s="547" t="str">
        <f t="shared" ca="1" si="169"/>
        <v/>
      </c>
      <c r="AD963" s="557"/>
      <c r="AE963" s="958"/>
    </row>
    <row r="964" spans="1:31" ht="15" customHeight="1">
      <c r="A964" s="957" t="str">
        <f t="shared" ca="1" si="160"/>
        <v>28/29</v>
      </c>
      <c r="B964" s="566" t="s">
        <v>152</v>
      </c>
      <c r="C964" s="567" t="str">
        <f t="shared" ca="1" si="161"/>
        <v>Green Star - Healthcare</v>
      </c>
      <c r="D964" s="958">
        <v>1</v>
      </c>
      <c r="E964" s="959" t="s">
        <v>404</v>
      </c>
      <c r="F964" s="558" t="s">
        <v>1499</v>
      </c>
      <c r="G964" s="558">
        <v>199</v>
      </c>
      <c r="H964" s="558" t="s">
        <v>1240</v>
      </c>
      <c r="I964" s="559" t="s">
        <v>1241</v>
      </c>
      <c r="J964" s="567" t="s">
        <v>1578</v>
      </c>
      <c r="K964" s="961" t="s">
        <v>1568</v>
      </c>
      <c r="L964" s="555" t="str">
        <f t="shared" ca="1" si="164"/>
        <v/>
      </c>
      <c r="M964" s="494" t="s">
        <v>1569</v>
      </c>
      <c r="N964" s="555" t="str">
        <f t="shared" ca="1" si="165"/>
        <v/>
      </c>
      <c r="O964" s="494" t="s">
        <v>1570</v>
      </c>
      <c r="P964" s="555" t="str">
        <f t="shared" ca="1" si="166"/>
        <v/>
      </c>
      <c r="Q964" s="494" t="s">
        <v>1579</v>
      </c>
      <c r="R964" s="494" t="str">
        <f t="shared" si="159"/>
        <v>I964</v>
      </c>
      <c r="S964" s="494" t="s">
        <v>1580</v>
      </c>
      <c r="T964" s="494">
        <v>6</v>
      </c>
      <c r="U964" s="556" t="str">
        <f t="shared" ca="1" si="162"/>
        <v/>
      </c>
      <c r="V964" s="494">
        <v>7</v>
      </c>
      <c r="W964" s="556" t="str">
        <f t="shared" ca="1" si="163"/>
        <v/>
      </c>
      <c r="X964" s="494" t="s">
        <v>1581</v>
      </c>
      <c r="Y964" s="547" t="str">
        <f t="shared" ca="1" si="167"/>
        <v/>
      </c>
      <c r="Z964" s="494" t="s">
        <v>1582</v>
      </c>
      <c r="AA964" s="547" t="str">
        <f t="shared" ca="1" si="168"/>
        <v/>
      </c>
      <c r="AB964" s="494" t="s">
        <v>1583</v>
      </c>
      <c r="AC964" s="547" t="str">
        <f t="shared" ca="1" si="169"/>
        <v/>
      </c>
      <c r="AD964" s="557"/>
      <c r="AE964" s="958"/>
    </row>
    <row r="965" spans="1:31" ht="15" customHeight="1">
      <c r="A965" s="957" t="str">
        <f t="shared" ca="1" si="160"/>
        <v>28/29</v>
      </c>
      <c r="B965" s="566" t="s">
        <v>152</v>
      </c>
      <c r="C965" s="567" t="str">
        <f t="shared" ca="1" si="161"/>
        <v>Green Star - Healthcare</v>
      </c>
      <c r="D965" s="958">
        <v>1</v>
      </c>
      <c r="E965" s="959" t="s">
        <v>419</v>
      </c>
      <c r="F965" s="558" t="s">
        <v>1501</v>
      </c>
      <c r="G965" s="558">
        <v>18</v>
      </c>
      <c r="H965" s="558" t="s">
        <v>1585</v>
      </c>
      <c r="I965" s="559" t="s">
        <v>1242</v>
      </c>
      <c r="J965" s="567" t="s">
        <v>1578</v>
      </c>
      <c r="K965" s="961" t="s">
        <v>1568</v>
      </c>
      <c r="L965" s="555" t="str">
        <f t="shared" ca="1" si="164"/>
        <v/>
      </c>
      <c r="M965" s="494" t="s">
        <v>1569</v>
      </c>
      <c r="N965" s="555" t="str">
        <f t="shared" ca="1" si="165"/>
        <v/>
      </c>
      <c r="O965" s="494" t="s">
        <v>1570</v>
      </c>
      <c r="P965" s="555" t="str">
        <f t="shared" ca="1" si="166"/>
        <v/>
      </c>
      <c r="Q965" s="494" t="s">
        <v>1579</v>
      </c>
      <c r="R965" s="494" t="str">
        <f>CONCATENATE("I",ROW(J965))</f>
        <v>I965</v>
      </c>
      <c r="S965" s="494" t="s">
        <v>1580</v>
      </c>
      <c r="T965" s="494">
        <v>6</v>
      </c>
      <c r="U965" s="556" t="str">
        <f t="shared" ca="1" si="162"/>
        <v/>
      </c>
      <c r="V965" s="494">
        <v>7</v>
      </c>
      <c r="W965" s="556" t="str">
        <f t="shared" ca="1" si="163"/>
        <v/>
      </c>
      <c r="X965" s="494" t="s">
        <v>1581</v>
      </c>
      <c r="Y965" s="547" t="str">
        <f t="shared" ca="1" si="167"/>
        <v/>
      </c>
      <c r="Z965" s="494" t="s">
        <v>1582</v>
      </c>
      <c r="AA965" s="547" t="str">
        <f t="shared" ca="1" si="168"/>
        <v/>
      </c>
      <c r="AB965" s="494" t="s">
        <v>1583</v>
      </c>
      <c r="AC965" s="547" t="str">
        <f t="shared" ca="1" si="169"/>
        <v/>
      </c>
      <c r="AD965" s="557"/>
      <c r="AE965" s="958"/>
    </row>
    <row r="966" spans="1:31" ht="15" customHeight="1">
      <c r="A966" s="957" t="str">
        <f t="shared" ca="1" si="160"/>
        <v>28/29</v>
      </c>
      <c r="B966" s="566" t="s">
        <v>152</v>
      </c>
      <c r="C966" s="567" t="str">
        <f t="shared" ca="1" si="161"/>
        <v>Green Star - Healthcare</v>
      </c>
      <c r="D966" s="958">
        <v>1</v>
      </c>
      <c r="E966" s="959" t="s">
        <v>419</v>
      </c>
      <c r="F966" s="558" t="s">
        <v>1501</v>
      </c>
      <c r="G966" s="558">
        <v>24</v>
      </c>
      <c r="H966" s="558" t="s">
        <v>1586</v>
      </c>
      <c r="I966" s="559" t="s">
        <v>1244</v>
      </c>
      <c r="J966" s="567" t="s">
        <v>1578</v>
      </c>
      <c r="K966" s="961" t="s">
        <v>1568</v>
      </c>
      <c r="L966" s="555" t="str">
        <f t="shared" ca="1" si="164"/>
        <v/>
      </c>
      <c r="M966" s="494" t="s">
        <v>1569</v>
      </c>
      <c r="N966" s="555" t="str">
        <f t="shared" ca="1" si="165"/>
        <v/>
      </c>
      <c r="O966" s="494" t="s">
        <v>1570</v>
      </c>
      <c r="P966" s="555" t="str">
        <f t="shared" ca="1" si="166"/>
        <v/>
      </c>
      <c r="Q966" s="494" t="s">
        <v>1579</v>
      </c>
      <c r="R966" s="494" t="str">
        <f>CONCATENATE("I",ROW(J966))</f>
        <v>I966</v>
      </c>
      <c r="S966" s="494" t="s">
        <v>1580</v>
      </c>
      <c r="T966" s="494">
        <v>6</v>
      </c>
      <c r="U966" s="556" t="str">
        <f t="shared" ca="1" si="162"/>
        <v/>
      </c>
      <c r="V966" s="494">
        <v>7</v>
      </c>
      <c r="W966" s="556" t="str">
        <f t="shared" ca="1" si="163"/>
        <v/>
      </c>
      <c r="X966" s="494" t="s">
        <v>1581</v>
      </c>
      <c r="Y966" s="547" t="str">
        <f t="shared" ca="1" si="167"/>
        <v/>
      </c>
      <c r="Z966" s="494" t="s">
        <v>1582</v>
      </c>
      <c r="AA966" s="547" t="str">
        <f t="shared" ca="1" si="168"/>
        <v/>
      </c>
      <c r="AB966" s="494" t="s">
        <v>1583</v>
      </c>
      <c r="AC966" s="547" t="str">
        <f t="shared" ca="1" si="169"/>
        <v/>
      </c>
      <c r="AD966" s="557"/>
      <c r="AE966" s="958"/>
    </row>
    <row r="967" spans="1:31" ht="15" customHeight="1">
      <c r="A967" s="957" t="str">
        <f t="shared" ca="1" si="160"/>
        <v>28/29</v>
      </c>
      <c r="B967" s="566" t="s">
        <v>152</v>
      </c>
      <c r="C967" s="567" t="str">
        <f t="shared" ca="1" si="161"/>
        <v>Green Star - Healthcare</v>
      </c>
      <c r="D967" s="958">
        <v>1</v>
      </c>
      <c r="E967" s="959" t="s">
        <v>419</v>
      </c>
      <c r="F967" s="558" t="s">
        <v>1501</v>
      </c>
      <c r="G967" s="558">
        <v>28</v>
      </c>
      <c r="H967" s="558" t="s">
        <v>1587</v>
      </c>
      <c r="I967" s="559" t="s">
        <v>1246</v>
      </c>
      <c r="J967" s="567" t="s">
        <v>1578</v>
      </c>
      <c r="K967" s="961" t="s">
        <v>1568</v>
      </c>
      <c r="L967" s="555" t="str">
        <f t="shared" ca="1" si="164"/>
        <v/>
      </c>
      <c r="M967" s="494" t="s">
        <v>1569</v>
      </c>
      <c r="N967" s="555" t="str">
        <f t="shared" ca="1" si="165"/>
        <v/>
      </c>
      <c r="O967" s="494" t="s">
        <v>1570</v>
      </c>
      <c r="P967" s="555" t="str">
        <f t="shared" ca="1" si="166"/>
        <v/>
      </c>
      <c r="Q967" s="494" t="s">
        <v>1579</v>
      </c>
      <c r="R967" s="494" t="str">
        <f>CONCATENATE("I",ROW(J967))</f>
        <v>I967</v>
      </c>
      <c r="S967" s="494" t="s">
        <v>1580</v>
      </c>
      <c r="T967" s="494">
        <v>6</v>
      </c>
      <c r="U967" s="556" t="str">
        <f t="shared" ca="1" si="162"/>
        <v/>
      </c>
      <c r="V967" s="494">
        <v>7</v>
      </c>
      <c r="W967" s="556" t="str">
        <f t="shared" ca="1" si="163"/>
        <v/>
      </c>
      <c r="X967" s="494" t="s">
        <v>1581</v>
      </c>
      <c r="Y967" s="547" t="str">
        <f t="shared" ca="1" si="167"/>
        <v/>
      </c>
      <c r="Z967" s="494" t="s">
        <v>1582</v>
      </c>
      <c r="AA967" s="547" t="str">
        <f t="shared" ca="1" si="168"/>
        <v/>
      </c>
      <c r="AB967" s="494" t="s">
        <v>1583</v>
      </c>
      <c r="AC967" s="547" t="str">
        <f t="shared" ca="1" si="169"/>
        <v/>
      </c>
      <c r="AD967" s="557"/>
      <c r="AE967" s="958"/>
    </row>
    <row r="968" spans="1:31" ht="15" customHeight="1">
      <c r="A968" s="957" t="str">
        <f ca="1">IF(N968="Design Review",31,IF(N968="As Built",32,"31/32"))</f>
        <v>31/32</v>
      </c>
      <c r="B968" s="566" t="s">
        <v>167</v>
      </c>
      <c r="C968" s="567" t="str">
        <f ca="1">IF(N968="Design Review","Green Star - Industrial Design",IF(N968="As Built","Green Star - Industrial As Built","Green Star - Industrial"))</f>
        <v>Green Star - Industrial</v>
      </c>
      <c r="D968" s="958">
        <v>1</v>
      </c>
      <c r="E968" s="959" t="s">
        <v>254</v>
      </c>
      <c r="F968" s="558" t="s">
        <v>1444</v>
      </c>
      <c r="G968" s="558">
        <v>16</v>
      </c>
      <c r="H968" s="558" t="s">
        <v>1091</v>
      </c>
      <c r="I968" s="559" t="s">
        <v>257</v>
      </c>
      <c r="J968" s="567" t="s">
        <v>1588</v>
      </c>
      <c r="K968" s="961" t="s">
        <v>1568</v>
      </c>
      <c r="L968" s="555" t="str">
        <f t="shared" ca="1" si="164"/>
        <v/>
      </c>
      <c r="M968" s="494" t="s">
        <v>1569</v>
      </c>
      <c r="N968" s="555" t="str">
        <f t="shared" ca="1" si="165"/>
        <v/>
      </c>
      <c r="O968" s="494" t="s">
        <v>1570</v>
      </c>
      <c r="P968" s="555" t="str">
        <f t="shared" ca="1" si="166"/>
        <v/>
      </c>
      <c r="Q968" s="494" t="s">
        <v>1589</v>
      </c>
      <c r="R968" s="494" t="str">
        <f>CONCATENATE("I",ROW(J968))</f>
        <v>I968</v>
      </c>
      <c r="S968" s="494" t="s">
        <v>1590</v>
      </c>
      <c r="T968" s="494">
        <v>6</v>
      </c>
      <c r="U968" s="556" t="str">
        <f t="shared" ca="1" si="162"/>
        <v/>
      </c>
      <c r="V968" s="494">
        <v>7</v>
      </c>
      <c r="W968" s="556" t="str">
        <f t="shared" ca="1" si="163"/>
        <v/>
      </c>
      <c r="X968" s="494" t="s">
        <v>1591</v>
      </c>
      <c r="Y968" s="547" t="str">
        <f t="shared" ca="1" si="167"/>
        <v/>
      </c>
      <c r="Z968" s="494" t="s">
        <v>1592</v>
      </c>
      <c r="AA968" s="547" t="str">
        <f t="shared" ca="1" si="168"/>
        <v/>
      </c>
      <c r="AB968" s="494" t="s">
        <v>1593</v>
      </c>
      <c r="AC968" s="547" t="str">
        <f t="shared" ca="1" si="169"/>
        <v/>
      </c>
      <c r="AD968" s="557"/>
      <c r="AE968" s="958"/>
    </row>
    <row r="969" spans="1:31" ht="15" customHeight="1">
      <c r="A969" s="957" t="str">
        <f t="shared" ref="A969:A1032" ca="1" si="170">IF(N969="Design Review",31,IF(N969="As Built",32,"31/32"))</f>
        <v>31/32</v>
      </c>
      <c r="B969" s="566" t="s">
        <v>167</v>
      </c>
      <c r="C969" s="567" t="str">
        <f t="shared" ref="C969:C1032" ca="1" si="171">IF(N969="Design Review","Green Star - Industrial Design",IF(N969="As Built","Green Star - Industrial As Built","Green Star - Industrial"))</f>
        <v>Green Star - Industrial</v>
      </c>
      <c r="D969" s="958">
        <v>1</v>
      </c>
      <c r="E969" s="959" t="s">
        <v>254</v>
      </c>
      <c r="F969" s="558" t="s">
        <v>1444</v>
      </c>
      <c r="G969" s="558">
        <v>12</v>
      </c>
      <c r="H969" s="558" t="s">
        <v>1093</v>
      </c>
      <c r="I969" s="559" t="s">
        <v>1095</v>
      </c>
      <c r="J969" s="567" t="s">
        <v>1588</v>
      </c>
      <c r="K969" s="961" t="s">
        <v>1568</v>
      </c>
      <c r="L969" s="555" t="str">
        <f t="shared" ca="1" si="164"/>
        <v/>
      </c>
      <c r="M969" s="494" t="s">
        <v>1569</v>
      </c>
      <c r="N969" s="555" t="str">
        <f t="shared" ca="1" si="165"/>
        <v/>
      </c>
      <c r="O969" s="494" t="s">
        <v>1570</v>
      </c>
      <c r="P969" s="555" t="str">
        <f t="shared" ca="1" si="166"/>
        <v/>
      </c>
      <c r="Q969" s="494" t="s">
        <v>1589</v>
      </c>
      <c r="R969" s="494" t="str">
        <f t="shared" ref="R969:R1031" si="172">CONCATENATE("I",ROW(J969))</f>
        <v>I969</v>
      </c>
      <c r="S969" s="494" t="s">
        <v>1594</v>
      </c>
      <c r="T969" s="494">
        <v>6</v>
      </c>
      <c r="U969" s="556" t="str">
        <f t="shared" ca="1" si="162"/>
        <v/>
      </c>
      <c r="V969" s="494">
        <v>7</v>
      </c>
      <c r="W969" s="556" t="str">
        <f t="shared" ca="1" si="163"/>
        <v/>
      </c>
      <c r="X969" s="494" t="s">
        <v>1591</v>
      </c>
      <c r="Y969" s="547" t="str">
        <f t="shared" ca="1" si="167"/>
        <v/>
      </c>
      <c r="Z969" s="494" t="s">
        <v>1592</v>
      </c>
      <c r="AA969" s="547" t="str">
        <f t="shared" ca="1" si="168"/>
        <v/>
      </c>
      <c r="AB969" s="494" t="s">
        <v>1593</v>
      </c>
      <c r="AC969" s="547" t="str">
        <f t="shared" ca="1" si="169"/>
        <v/>
      </c>
      <c r="AD969" s="557"/>
      <c r="AE969" s="958"/>
    </row>
    <row r="970" spans="1:31" ht="15" customHeight="1">
      <c r="A970" s="957" t="str">
        <f t="shared" ca="1" si="170"/>
        <v>31/32</v>
      </c>
      <c r="B970" s="566" t="s">
        <v>167</v>
      </c>
      <c r="C970" s="567" t="str">
        <f t="shared" ca="1" si="171"/>
        <v>Green Star - Industrial</v>
      </c>
      <c r="D970" s="958">
        <v>1</v>
      </c>
      <c r="E970" s="959" t="s">
        <v>254</v>
      </c>
      <c r="F970" s="558" t="s">
        <v>1444</v>
      </c>
      <c r="G970" s="558">
        <v>12</v>
      </c>
      <c r="H970" s="558" t="s">
        <v>1093</v>
      </c>
      <c r="I970" s="559" t="s">
        <v>1097</v>
      </c>
      <c r="J970" s="567" t="s">
        <v>1588</v>
      </c>
      <c r="K970" s="961" t="s">
        <v>1568</v>
      </c>
      <c r="L970" s="555" t="str">
        <f t="shared" ca="1" si="164"/>
        <v/>
      </c>
      <c r="M970" s="494" t="s">
        <v>1569</v>
      </c>
      <c r="N970" s="555" t="str">
        <f t="shared" ca="1" si="165"/>
        <v/>
      </c>
      <c r="O970" s="494" t="s">
        <v>1570</v>
      </c>
      <c r="P970" s="555" t="str">
        <f t="shared" ca="1" si="166"/>
        <v/>
      </c>
      <c r="Q970" s="494" t="s">
        <v>1589</v>
      </c>
      <c r="R970" s="494" t="str">
        <f t="shared" si="172"/>
        <v>I970</v>
      </c>
      <c r="S970" s="494" t="s">
        <v>1594</v>
      </c>
      <c r="T970" s="494">
        <v>6</v>
      </c>
      <c r="U970" s="556" t="str">
        <f t="shared" ca="1" si="162"/>
        <v/>
      </c>
      <c r="V970" s="494">
        <v>7</v>
      </c>
      <c r="W970" s="556" t="str">
        <f t="shared" ca="1" si="163"/>
        <v/>
      </c>
      <c r="X970" s="494" t="s">
        <v>1591</v>
      </c>
      <c r="Y970" s="547" t="str">
        <f t="shared" ca="1" si="167"/>
        <v/>
      </c>
      <c r="Z970" s="494" t="s">
        <v>1592</v>
      </c>
      <c r="AA970" s="547" t="str">
        <f t="shared" ca="1" si="168"/>
        <v/>
      </c>
      <c r="AB970" s="494" t="s">
        <v>1593</v>
      </c>
      <c r="AC970" s="547" t="str">
        <f t="shared" ca="1" si="169"/>
        <v/>
      </c>
      <c r="AD970" s="557"/>
      <c r="AE970" s="958"/>
    </row>
    <row r="971" spans="1:31" ht="15" customHeight="1">
      <c r="A971" s="957" t="str">
        <f t="shared" ca="1" si="170"/>
        <v>31/32</v>
      </c>
      <c r="B971" s="566" t="s">
        <v>167</v>
      </c>
      <c r="C971" s="567" t="str">
        <f t="shared" ca="1" si="171"/>
        <v>Green Star - Industrial</v>
      </c>
      <c r="D971" s="958">
        <v>1</v>
      </c>
      <c r="E971" s="959" t="s">
        <v>254</v>
      </c>
      <c r="F971" s="558" t="s">
        <v>1444</v>
      </c>
      <c r="G971" s="558">
        <v>132</v>
      </c>
      <c r="H971" s="558" t="s">
        <v>1098</v>
      </c>
      <c r="I971" s="559" t="s">
        <v>1099</v>
      </c>
      <c r="J971" s="567" t="s">
        <v>1588</v>
      </c>
      <c r="K971" s="961" t="s">
        <v>1568</v>
      </c>
      <c r="L971" s="555" t="str">
        <f t="shared" ca="1" si="164"/>
        <v/>
      </c>
      <c r="M971" s="494" t="s">
        <v>1569</v>
      </c>
      <c r="N971" s="555" t="str">
        <f t="shared" ca="1" si="165"/>
        <v/>
      </c>
      <c r="O971" s="494" t="s">
        <v>1570</v>
      </c>
      <c r="P971" s="555" t="str">
        <f t="shared" ca="1" si="166"/>
        <v/>
      </c>
      <c r="Q971" s="494" t="s">
        <v>1589</v>
      </c>
      <c r="R971" s="494" t="str">
        <f t="shared" si="172"/>
        <v>I971</v>
      </c>
      <c r="S971" s="494" t="s">
        <v>1590</v>
      </c>
      <c r="T971" s="494">
        <v>6</v>
      </c>
      <c r="U971" s="556" t="str">
        <f t="shared" ca="1" si="162"/>
        <v/>
      </c>
      <c r="V971" s="494">
        <v>7</v>
      </c>
      <c r="W971" s="556" t="str">
        <f t="shared" ca="1" si="163"/>
        <v/>
      </c>
      <c r="X971" s="494" t="s">
        <v>1591</v>
      </c>
      <c r="Y971" s="547" t="str">
        <f t="shared" ca="1" si="167"/>
        <v/>
      </c>
      <c r="Z971" s="494" t="s">
        <v>1592</v>
      </c>
      <c r="AA971" s="547" t="str">
        <f t="shared" ca="1" si="168"/>
        <v/>
      </c>
      <c r="AB971" s="494" t="s">
        <v>1593</v>
      </c>
      <c r="AC971" s="547" t="str">
        <f t="shared" ca="1" si="169"/>
        <v/>
      </c>
      <c r="AD971" s="557"/>
      <c r="AE971" s="958"/>
    </row>
    <row r="972" spans="1:31" ht="15" customHeight="1">
      <c r="A972" s="957" t="str">
        <f t="shared" ca="1" si="170"/>
        <v>31/32</v>
      </c>
      <c r="B972" s="566" t="s">
        <v>167</v>
      </c>
      <c r="C972" s="567" t="str">
        <f t="shared" ca="1" si="171"/>
        <v>Green Star - Industrial</v>
      </c>
      <c r="D972" s="958">
        <v>1</v>
      </c>
      <c r="E972" s="959" t="s">
        <v>254</v>
      </c>
      <c r="F972" s="558" t="s">
        <v>1444</v>
      </c>
      <c r="G972" s="558">
        <v>133</v>
      </c>
      <c r="H972" s="558" t="s">
        <v>1100</v>
      </c>
      <c r="I972" s="559" t="s">
        <v>281</v>
      </c>
      <c r="J972" s="567" t="s">
        <v>1588</v>
      </c>
      <c r="K972" s="961" t="s">
        <v>1568</v>
      </c>
      <c r="L972" s="555" t="str">
        <f t="shared" ca="1" si="164"/>
        <v/>
      </c>
      <c r="M972" s="494" t="s">
        <v>1569</v>
      </c>
      <c r="N972" s="555" t="str">
        <f t="shared" ca="1" si="165"/>
        <v/>
      </c>
      <c r="O972" s="494" t="s">
        <v>1570</v>
      </c>
      <c r="P972" s="555" t="str">
        <f t="shared" ca="1" si="166"/>
        <v/>
      </c>
      <c r="Q972" s="494" t="s">
        <v>1589</v>
      </c>
      <c r="R972" s="494" t="str">
        <f t="shared" si="172"/>
        <v>I972</v>
      </c>
      <c r="S972" s="494" t="s">
        <v>1590</v>
      </c>
      <c r="T972" s="494">
        <v>6</v>
      </c>
      <c r="U972" s="556" t="str">
        <f t="shared" ca="1" si="162"/>
        <v/>
      </c>
      <c r="V972" s="494">
        <v>7</v>
      </c>
      <c r="W972" s="556" t="str">
        <f t="shared" ca="1" si="163"/>
        <v/>
      </c>
      <c r="X972" s="494" t="s">
        <v>1591</v>
      </c>
      <c r="Y972" s="547" t="str">
        <f t="shared" ca="1" si="167"/>
        <v/>
      </c>
      <c r="Z972" s="494" t="s">
        <v>1592</v>
      </c>
      <c r="AA972" s="547" t="str">
        <f t="shared" ca="1" si="168"/>
        <v/>
      </c>
      <c r="AB972" s="494" t="s">
        <v>1593</v>
      </c>
      <c r="AC972" s="547" t="str">
        <f t="shared" ca="1" si="169"/>
        <v/>
      </c>
      <c r="AD972" s="557"/>
      <c r="AE972" s="958"/>
    </row>
    <row r="973" spans="1:31" ht="15" customHeight="1">
      <c r="A973" s="957" t="str">
        <f t="shared" ca="1" si="170"/>
        <v>31/32</v>
      </c>
      <c r="B973" s="566" t="s">
        <v>167</v>
      </c>
      <c r="C973" s="567" t="str">
        <f t="shared" ca="1" si="171"/>
        <v>Green Star - Industrial</v>
      </c>
      <c r="D973" s="958">
        <v>1</v>
      </c>
      <c r="E973" s="959" t="s">
        <v>254</v>
      </c>
      <c r="F973" s="558" t="s">
        <v>1444</v>
      </c>
      <c r="G973" s="558">
        <v>91</v>
      </c>
      <c r="H973" s="558" t="s">
        <v>1101</v>
      </c>
      <c r="I973" s="559" t="s">
        <v>1272</v>
      </c>
      <c r="J973" s="567" t="s">
        <v>1588</v>
      </c>
      <c r="K973" s="961" t="s">
        <v>1568</v>
      </c>
      <c r="L973" s="555" t="str">
        <f t="shared" ca="1" si="164"/>
        <v/>
      </c>
      <c r="M973" s="494" t="s">
        <v>1569</v>
      </c>
      <c r="N973" s="555" t="str">
        <f t="shared" ca="1" si="165"/>
        <v/>
      </c>
      <c r="O973" s="494" t="s">
        <v>1570</v>
      </c>
      <c r="P973" s="555" t="str">
        <f t="shared" ca="1" si="166"/>
        <v/>
      </c>
      <c r="Q973" s="494" t="s">
        <v>1589</v>
      </c>
      <c r="R973" s="494" t="str">
        <f t="shared" si="172"/>
        <v>I973</v>
      </c>
      <c r="S973" s="494" t="s">
        <v>1590</v>
      </c>
      <c r="T973" s="494">
        <v>6</v>
      </c>
      <c r="U973" s="556" t="str">
        <f t="shared" ca="1" si="162"/>
        <v/>
      </c>
      <c r="V973" s="494">
        <v>7</v>
      </c>
      <c r="W973" s="556" t="str">
        <f t="shared" ca="1" si="163"/>
        <v/>
      </c>
      <c r="X973" s="494" t="s">
        <v>1591</v>
      </c>
      <c r="Y973" s="547" t="str">
        <f t="shared" ca="1" si="167"/>
        <v/>
      </c>
      <c r="Z973" s="494" t="s">
        <v>1592</v>
      </c>
      <c r="AA973" s="547" t="str">
        <f t="shared" ca="1" si="168"/>
        <v/>
      </c>
      <c r="AB973" s="494" t="s">
        <v>1593</v>
      </c>
      <c r="AC973" s="547" t="str">
        <f t="shared" ca="1" si="169"/>
        <v/>
      </c>
      <c r="AD973" s="557"/>
      <c r="AE973" s="958"/>
    </row>
    <row r="974" spans="1:31" ht="15" customHeight="1">
      <c r="A974" s="957" t="str">
        <f t="shared" ca="1" si="170"/>
        <v>31/32</v>
      </c>
      <c r="B974" s="566" t="s">
        <v>167</v>
      </c>
      <c r="C974" s="567" t="str">
        <f t="shared" ca="1" si="171"/>
        <v>Green Star - Industrial</v>
      </c>
      <c r="D974" s="958">
        <v>1</v>
      </c>
      <c r="E974" s="959" t="s">
        <v>254</v>
      </c>
      <c r="F974" s="558" t="s">
        <v>1444</v>
      </c>
      <c r="G974" s="558">
        <v>30</v>
      </c>
      <c r="H974" s="558" t="s">
        <v>1103</v>
      </c>
      <c r="I974" s="559" t="s">
        <v>680</v>
      </c>
      <c r="J974" s="567" t="s">
        <v>1588</v>
      </c>
      <c r="K974" s="961" t="s">
        <v>1568</v>
      </c>
      <c r="L974" s="555" t="str">
        <f t="shared" ca="1" si="164"/>
        <v/>
      </c>
      <c r="M974" s="494" t="s">
        <v>1569</v>
      </c>
      <c r="N974" s="555" t="str">
        <f t="shared" ca="1" si="165"/>
        <v/>
      </c>
      <c r="O974" s="494" t="s">
        <v>1570</v>
      </c>
      <c r="P974" s="555" t="str">
        <f t="shared" ca="1" si="166"/>
        <v/>
      </c>
      <c r="Q974" s="494" t="s">
        <v>1589</v>
      </c>
      <c r="R974" s="494" t="str">
        <f t="shared" si="172"/>
        <v>I974</v>
      </c>
      <c r="S974" s="494" t="s">
        <v>1590</v>
      </c>
      <c r="T974" s="494">
        <v>6</v>
      </c>
      <c r="U974" s="556" t="str">
        <f t="shared" ca="1" si="162"/>
        <v/>
      </c>
      <c r="V974" s="494">
        <v>7</v>
      </c>
      <c r="W974" s="556" t="str">
        <f t="shared" ca="1" si="163"/>
        <v/>
      </c>
      <c r="X974" s="494" t="s">
        <v>1591</v>
      </c>
      <c r="Y974" s="547" t="str">
        <f t="shared" ca="1" si="167"/>
        <v/>
      </c>
      <c r="Z974" s="494" t="s">
        <v>1592</v>
      </c>
      <c r="AA974" s="547" t="str">
        <f t="shared" ca="1" si="168"/>
        <v/>
      </c>
      <c r="AB974" s="494" t="s">
        <v>1593</v>
      </c>
      <c r="AC974" s="547" t="str">
        <f t="shared" ca="1" si="169"/>
        <v/>
      </c>
      <c r="AD974" s="557"/>
      <c r="AE974" s="958"/>
    </row>
    <row r="975" spans="1:31" ht="15" customHeight="1">
      <c r="A975" s="957" t="str">
        <f t="shared" ca="1" si="170"/>
        <v>31/32</v>
      </c>
      <c r="B975" s="566" t="s">
        <v>167</v>
      </c>
      <c r="C975" s="567" t="str">
        <f t="shared" ca="1" si="171"/>
        <v>Green Star - Industrial</v>
      </c>
      <c r="D975" s="958">
        <v>1</v>
      </c>
      <c r="E975" s="959" t="s">
        <v>254</v>
      </c>
      <c r="F975" s="558" t="s">
        <v>1444</v>
      </c>
      <c r="G975" s="558">
        <v>232</v>
      </c>
      <c r="H975" s="558" t="s">
        <v>1104</v>
      </c>
      <c r="I975" s="559" t="s">
        <v>785</v>
      </c>
      <c r="J975" s="567" t="s">
        <v>1588</v>
      </c>
      <c r="K975" s="961" t="s">
        <v>1568</v>
      </c>
      <c r="L975" s="555" t="str">
        <f t="shared" ca="1" si="164"/>
        <v/>
      </c>
      <c r="M975" s="494" t="s">
        <v>1569</v>
      </c>
      <c r="N975" s="555" t="str">
        <f t="shared" ca="1" si="165"/>
        <v/>
      </c>
      <c r="O975" s="494" t="s">
        <v>1570</v>
      </c>
      <c r="P975" s="555" t="str">
        <f t="shared" ca="1" si="166"/>
        <v/>
      </c>
      <c r="Q975" s="494" t="s">
        <v>1589</v>
      </c>
      <c r="R975" s="494" t="str">
        <f t="shared" si="172"/>
        <v>I975</v>
      </c>
      <c r="S975" s="494" t="s">
        <v>1590</v>
      </c>
      <c r="T975" s="494">
        <v>6</v>
      </c>
      <c r="U975" s="556" t="str">
        <f t="shared" ca="1" si="162"/>
        <v/>
      </c>
      <c r="V975" s="494">
        <v>7</v>
      </c>
      <c r="W975" s="556" t="str">
        <f t="shared" ca="1" si="163"/>
        <v/>
      </c>
      <c r="X975" s="494" t="s">
        <v>1591</v>
      </c>
      <c r="Y975" s="547" t="str">
        <f t="shared" ca="1" si="167"/>
        <v/>
      </c>
      <c r="Z975" s="494" t="s">
        <v>1592</v>
      </c>
      <c r="AA975" s="547" t="str">
        <f t="shared" ca="1" si="168"/>
        <v/>
      </c>
      <c r="AB975" s="494" t="s">
        <v>1593</v>
      </c>
      <c r="AC975" s="547" t="str">
        <f t="shared" ca="1" si="169"/>
        <v/>
      </c>
      <c r="AD975" s="557"/>
      <c r="AE975" s="958"/>
    </row>
    <row r="976" spans="1:31" ht="15" customHeight="1">
      <c r="A976" s="957" t="str">
        <f t="shared" ca="1" si="170"/>
        <v>31/32</v>
      </c>
      <c r="B976" s="566" t="s">
        <v>167</v>
      </c>
      <c r="C976" s="567" t="str">
        <f t="shared" ca="1" si="171"/>
        <v>Green Star - Industrial</v>
      </c>
      <c r="D976" s="958">
        <v>1</v>
      </c>
      <c r="E976" s="959" t="s">
        <v>254</v>
      </c>
      <c r="F976" s="558" t="s">
        <v>1444</v>
      </c>
      <c r="G976" s="558">
        <v>256</v>
      </c>
      <c r="H976" s="558" t="s">
        <v>1273</v>
      </c>
      <c r="I976" s="559" t="s">
        <v>1178</v>
      </c>
      <c r="J976" s="567" t="s">
        <v>1588</v>
      </c>
      <c r="K976" s="961" t="s">
        <v>1568</v>
      </c>
      <c r="L976" s="555" t="str">
        <f t="shared" ca="1" si="164"/>
        <v/>
      </c>
      <c r="M976" s="494" t="s">
        <v>1569</v>
      </c>
      <c r="N976" s="555" t="str">
        <f t="shared" ca="1" si="165"/>
        <v/>
      </c>
      <c r="O976" s="494" t="s">
        <v>1570</v>
      </c>
      <c r="P976" s="555" t="str">
        <f t="shared" ca="1" si="166"/>
        <v/>
      </c>
      <c r="Q976" s="494" t="s">
        <v>1589</v>
      </c>
      <c r="R976" s="494" t="str">
        <f>CONCATENATE("I",ROW(J976))</f>
        <v>I976</v>
      </c>
      <c r="S976" s="494" t="s">
        <v>1594</v>
      </c>
      <c r="T976" s="494">
        <v>6</v>
      </c>
      <c r="U976" s="556" t="str">
        <f t="shared" ca="1" si="162"/>
        <v/>
      </c>
      <c r="V976" s="494">
        <v>7</v>
      </c>
      <c r="W976" s="556" t="str">
        <f t="shared" ca="1" si="163"/>
        <v/>
      </c>
      <c r="X976" s="494" t="s">
        <v>1591</v>
      </c>
      <c r="Y976" s="547" t="str">
        <f t="shared" ca="1" si="167"/>
        <v/>
      </c>
      <c r="Z976" s="494" t="s">
        <v>1592</v>
      </c>
      <c r="AA976" s="547" t="str">
        <f t="shared" ca="1" si="168"/>
        <v/>
      </c>
      <c r="AB976" s="494" t="s">
        <v>1593</v>
      </c>
      <c r="AC976" s="547" t="str">
        <f t="shared" ca="1" si="169"/>
        <v/>
      </c>
      <c r="AD976" s="557"/>
      <c r="AE976" s="958"/>
    </row>
    <row r="977" spans="1:31" ht="15" customHeight="1">
      <c r="A977" s="957" t="str">
        <f t="shared" ca="1" si="170"/>
        <v>31/32</v>
      </c>
      <c r="B977" s="566" t="s">
        <v>167</v>
      </c>
      <c r="C977" s="567" t="str">
        <f t="shared" ca="1" si="171"/>
        <v>Green Star - Industrial</v>
      </c>
      <c r="D977" s="958">
        <v>1</v>
      </c>
      <c r="E977" s="959" t="s">
        <v>254</v>
      </c>
      <c r="F977" s="558" t="s">
        <v>1444</v>
      </c>
      <c r="G977" s="558">
        <v>256</v>
      </c>
      <c r="H977" s="558" t="s">
        <v>1273</v>
      </c>
      <c r="I977" s="559" t="s">
        <v>1275</v>
      </c>
      <c r="J977" s="567" t="s">
        <v>1588</v>
      </c>
      <c r="K977" s="961" t="s">
        <v>1568</v>
      </c>
      <c r="L977" s="555" t="str">
        <f t="shared" ca="1" si="164"/>
        <v/>
      </c>
      <c r="M977" s="494" t="s">
        <v>1569</v>
      </c>
      <c r="N977" s="555" t="str">
        <f t="shared" ca="1" si="165"/>
        <v/>
      </c>
      <c r="O977" s="494" t="s">
        <v>1570</v>
      </c>
      <c r="P977" s="555" t="str">
        <f t="shared" ca="1" si="166"/>
        <v/>
      </c>
      <c r="Q977" s="494" t="s">
        <v>1589</v>
      </c>
      <c r="R977" s="494" t="str">
        <f>CONCATENATE("I",ROW(J977))</f>
        <v>I977</v>
      </c>
      <c r="S977" s="494" t="s">
        <v>1594</v>
      </c>
      <c r="T977" s="494">
        <v>6</v>
      </c>
      <c r="U977" s="556" t="str">
        <f t="shared" ca="1" si="162"/>
        <v/>
      </c>
      <c r="V977" s="494">
        <v>7</v>
      </c>
      <c r="W977" s="556" t="str">
        <f t="shared" ca="1" si="163"/>
        <v/>
      </c>
      <c r="X977" s="494" t="s">
        <v>1591</v>
      </c>
      <c r="Y977" s="547" t="str">
        <f t="shared" ca="1" si="167"/>
        <v/>
      </c>
      <c r="Z977" s="494" t="s">
        <v>1592</v>
      </c>
      <c r="AA977" s="547" t="str">
        <f t="shared" ca="1" si="168"/>
        <v/>
      </c>
      <c r="AB977" s="494" t="s">
        <v>1593</v>
      </c>
      <c r="AC977" s="547" t="str">
        <f t="shared" ca="1" si="169"/>
        <v/>
      </c>
      <c r="AD977" s="557"/>
      <c r="AE977" s="958"/>
    </row>
    <row r="978" spans="1:31" ht="15" customHeight="1">
      <c r="A978" s="957" t="str">
        <f t="shared" ca="1" si="170"/>
        <v>31/32</v>
      </c>
      <c r="B978" s="566" t="s">
        <v>167</v>
      </c>
      <c r="C978" s="567" t="str">
        <f t="shared" ca="1" si="171"/>
        <v>Green Star - Industrial</v>
      </c>
      <c r="D978" s="958">
        <v>1</v>
      </c>
      <c r="E978" s="959" t="s">
        <v>306</v>
      </c>
      <c r="F978" s="558" t="s">
        <v>1454</v>
      </c>
      <c r="G978" s="558">
        <v>34</v>
      </c>
      <c r="H978" s="558" t="s">
        <v>1116</v>
      </c>
      <c r="I978" s="559" t="s">
        <v>1117</v>
      </c>
      <c r="J978" s="567" t="s">
        <v>1588</v>
      </c>
      <c r="K978" s="961" t="s">
        <v>1568</v>
      </c>
      <c r="L978" s="555" t="str">
        <f t="shared" ca="1" si="164"/>
        <v/>
      </c>
      <c r="M978" s="494" t="s">
        <v>1569</v>
      </c>
      <c r="N978" s="555" t="str">
        <f t="shared" ca="1" si="165"/>
        <v/>
      </c>
      <c r="O978" s="494" t="s">
        <v>1570</v>
      </c>
      <c r="P978" s="555" t="str">
        <f t="shared" ca="1" si="166"/>
        <v/>
      </c>
      <c r="Q978" s="494" t="s">
        <v>1589</v>
      </c>
      <c r="R978" s="494" t="str">
        <f t="shared" si="172"/>
        <v>I978</v>
      </c>
      <c r="S978" s="494" t="s">
        <v>1590</v>
      </c>
      <c r="T978" s="494">
        <v>6</v>
      </c>
      <c r="U978" s="556" t="str">
        <f t="shared" ca="1" si="162"/>
        <v/>
      </c>
      <c r="V978" s="494">
        <v>7</v>
      </c>
      <c r="W978" s="556" t="str">
        <f t="shared" ca="1" si="163"/>
        <v/>
      </c>
      <c r="X978" s="494" t="s">
        <v>1591</v>
      </c>
      <c r="Y978" s="547" t="str">
        <f t="shared" ca="1" si="167"/>
        <v/>
      </c>
      <c r="Z978" s="494" t="s">
        <v>1592</v>
      </c>
      <c r="AA978" s="547" t="str">
        <f t="shared" ca="1" si="168"/>
        <v/>
      </c>
      <c r="AB978" s="494" t="s">
        <v>1593</v>
      </c>
      <c r="AC978" s="547" t="str">
        <f t="shared" ca="1" si="169"/>
        <v/>
      </c>
      <c r="AD978" s="557"/>
      <c r="AE978" s="958"/>
    </row>
    <row r="979" spans="1:31" ht="15" customHeight="1">
      <c r="A979" s="957" t="str">
        <f t="shared" ca="1" si="170"/>
        <v>31/32</v>
      </c>
      <c r="B979" s="566" t="s">
        <v>167</v>
      </c>
      <c r="C979" s="567" t="str">
        <f t="shared" ca="1" si="171"/>
        <v>Green Star - Industrial</v>
      </c>
      <c r="D979" s="958">
        <v>1</v>
      </c>
      <c r="E979" s="959" t="s">
        <v>306</v>
      </c>
      <c r="F979" s="558" t="s">
        <v>1454</v>
      </c>
      <c r="G979" s="558">
        <v>65</v>
      </c>
      <c r="H979" s="558" t="s">
        <v>1118</v>
      </c>
      <c r="I979" s="559" t="s">
        <v>1119</v>
      </c>
      <c r="J979" s="567" t="s">
        <v>1588</v>
      </c>
      <c r="K979" s="961" t="s">
        <v>1568</v>
      </c>
      <c r="L979" s="555" t="str">
        <f t="shared" ca="1" si="164"/>
        <v/>
      </c>
      <c r="M979" s="494" t="s">
        <v>1569</v>
      </c>
      <c r="N979" s="555" t="str">
        <f t="shared" ca="1" si="165"/>
        <v/>
      </c>
      <c r="O979" s="494" t="s">
        <v>1570</v>
      </c>
      <c r="P979" s="555" t="str">
        <f t="shared" ca="1" si="166"/>
        <v/>
      </c>
      <c r="Q979" s="494" t="s">
        <v>1589</v>
      </c>
      <c r="R979" s="494" t="str">
        <f t="shared" si="172"/>
        <v>I979</v>
      </c>
      <c r="S979" s="494" t="s">
        <v>1590</v>
      </c>
      <c r="T979" s="494">
        <v>6</v>
      </c>
      <c r="U979" s="556" t="str">
        <f t="shared" ca="1" si="162"/>
        <v/>
      </c>
      <c r="V979" s="494">
        <v>7</v>
      </c>
      <c r="W979" s="556" t="str">
        <f t="shared" ca="1" si="163"/>
        <v/>
      </c>
      <c r="X979" s="494" t="s">
        <v>1591</v>
      </c>
      <c r="Y979" s="547" t="str">
        <f t="shared" ca="1" si="167"/>
        <v/>
      </c>
      <c r="Z979" s="494" t="s">
        <v>1592</v>
      </c>
      <c r="AA979" s="547" t="str">
        <f t="shared" ca="1" si="168"/>
        <v/>
      </c>
      <c r="AB979" s="494" t="s">
        <v>1593</v>
      </c>
      <c r="AC979" s="547" t="str">
        <f t="shared" ca="1" si="169"/>
        <v/>
      </c>
      <c r="AD979" s="557"/>
      <c r="AE979" s="958"/>
    </row>
    <row r="980" spans="1:31" ht="15" customHeight="1">
      <c r="A980" s="957" t="str">
        <f t="shared" ca="1" si="170"/>
        <v>31/32</v>
      </c>
      <c r="B980" s="566" t="s">
        <v>167</v>
      </c>
      <c r="C980" s="567" t="str">
        <f t="shared" ca="1" si="171"/>
        <v>Green Star - Industrial</v>
      </c>
      <c r="D980" s="958">
        <v>1</v>
      </c>
      <c r="E980" s="959" t="s">
        <v>306</v>
      </c>
      <c r="F980" s="558" t="s">
        <v>1454</v>
      </c>
      <c r="G980" s="558">
        <v>277</v>
      </c>
      <c r="H980" s="558" t="s">
        <v>1120</v>
      </c>
      <c r="I980" s="559" t="s">
        <v>1276</v>
      </c>
      <c r="J980" s="567" t="s">
        <v>1588</v>
      </c>
      <c r="K980" s="961" t="s">
        <v>1568</v>
      </c>
      <c r="L980" s="555" t="str">
        <f t="shared" ca="1" si="164"/>
        <v/>
      </c>
      <c r="M980" s="494" t="s">
        <v>1569</v>
      </c>
      <c r="N980" s="555" t="str">
        <f t="shared" ca="1" si="165"/>
        <v/>
      </c>
      <c r="O980" s="494" t="s">
        <v>1570</v>
      </c>
      <c r="P980" s="555" t="str">
        <f t="shared" ca="1" si="166"/>
        <v/>
      </c>
      <c r="Q980" s="494" t="s">
        <v>1589</v>
      </c>
      <c r="R980" s="494" t="str">
        <f t="shared" si="172"/>
        <v>I980</v>
      </c>
      <c r="S980" s="494" t="s">
        <v>1590</v>
      </c>
      <c r="T980" s="494">
        <v>6</v>
      </c>
      <c r="U980" s="556" t="str">
        <f t="shared" ca="1" si="162"/>
        <v/>
      </c>
      <c r="V980" s="494">
        <v>7</v>
      </c>
      <c r="W980" s="556" t="str">
        <f t="shared" ca="1" si="163"/>
        <v/>
      </c>
      <c r="X980" s="494" t="s">
        <v>1591</v>
      </c>
      <c r="Y980" s="547" t="str">
        <f t="shared" ca="1" si="167"/>
        <v/>
      </c>
      <c r="Z980" s="494" t="s">
        <v>1592</v>
      </c>
      <c r="AA980" s="547" t="str">
        <f t="shared" ca="1" si="168"/>
        <v/>
      </c>
      <c r="AB980" s="494" t="s">
        <v>1593</v>
      </c>
      <c r="AC980" s="547" t="str">
        <f t="shared" ca="1" si="169"/>
        <v/>
      </c>
      <c r="AD980" s="557"/>
      <c r="AE980" s="958"/>
    </row>
    <row r="981" spans="1:31" ht="15" customHeight="1">
      <c r="A981" s="957" t="str">
        <f t="shared" ca="1" si="170"/>
        <v>31/32</v>
      </c>
      <c r="B981" s="566" t="s">
        <v>167</v>
      </c>
      <c r="C981" s="567" t="str">
        <f t="shared" ca="1" si="171"/>
        <v>Green Star - Industrial</v>
      </c>
      <c r="D981" s="958">
        <v>1</v>
      </c>
      <c r="E981" s="959" t="s">
        <v>306</v>
      </c>
      <c r="F981" s="558" t="s">
        <v>1454</v>
      </c>
      <c r="G981" s="558">
        <v>102</v>
      </c>
      <c r="H981" s="558" t="s">
        <v>1122</v>
      </c>
      <c r="I981" s="559" t="s">
        <v>326</v>
      </c>
      <c r="J981" s="567" t="s">
        <v>1588</v>
      </c>
      <c r="K981" s="961" t="s">
        <v>1568</v>
      </c>
      <c r="L981" s="555" t="str">
        <f t="shared" ca="1" si="164"/>
        <v/>
      </c>
      <c r="M981" s="494" t="s">
        <v>1569</v>
      </c>
      <c r="N981" s="555" t="str">
        <f t="shared" ca="1" si="165"/>
        <v/>
      </c>
      <c r="O981" s="494" t="s">
        <v>1570</v>
      </c>
      <c r="P981" s="555" t="str">
        <f t="shared" ca="1" si="166"/>
        <v/>
      </c>
      <c r="Q981" s="494" t="s">
        <v>1589</v>
      </c>
      <c r="R981" s="494" t="str">
        <f t="shared" si="172"/>
        <v>I981</v>
      </c>
      <c r="S981" s="494" t="s">
        <v>1590</v>
      </c>
      <c r="T981" s="494">
        <v>6</v>
      </c>
      <c r="U981" s="556" t="str">
        <f t="shared" ca="1" si="162"/>
        <v/>
      </c>
      <c r="V981" s="494">
        <v>7</v>
      </c>
      <c r="W981" s="556" t="str">
        <f t="shared" ca="1" si="163"/>
        <v/>
      </c>
      <c r="X981" s="494" t="s">
        <v>1591</v>
      </c>
      <c r="Y981" s="547" t="str">
        <f t="shared" ca="1" si="167"/>
        <v/>
      </c>
      <c r="Z981" s="494" t="s">
        <v>1592</v>
      </c>
      <c r="AA981" s="547" t="str">
        <f t="shared" ca="1" si="168"/>
        <v/>
      </c>
      <c r="AB981" s="494" t="s">
        <v>1593</v>
      </c>
      <c r="AC981" s="547" t="str">
        <f t="shared" ca="1" si="169"/>
        <v/>
      </c>
      <c r="AD981" s="557"/>
      <c r="AE981" s="958"/>
    </row>
    <row r="982" spans="1:31" ht="15" customHeight="1">
      <c r="A982" s="957" t="str">
        <f t="shared" ca="1" si="170"/>
        <v>31/32</v>
      </c>
      <c r="B982" s="566" t="s">
        <v>167</v>
      </c>
      <c r="C982" s="567" t="str">
        <f t="shared" ca="1" si="171"/>
        <v>Green Star - Industrial</v>
      </c>
      <c r="D982" s="958">
        <v>1</v>
      </c>
      <c r="E982" s="959" t="s">
        <v>306</v>
      </c>
      <c r="F982" s="558" t="s">
        <v>1454</v>
      </c>
      <c r="G982" s="558">
        <v>73</v>
      </c>
      <c r="H982" s="558" t="s">
        <v>1123</v>
      </c>
      <c r="I982" s="559" t="s">
        <v>1277</v>
      </c>
      <c r="J982" s="567" t="s">
        <v>1588</v>
      </c>
      <c r="K982" s="961" t="s">
        <v>1568</v>
      </c>
      <c r="L982" s="555" t="str">
        <f t="shared" ca="1" si="164"/>
        <v/>
      </c>
      <c r="M982" s="494" t="s">
        <v>1569</v>
      </c>
      <c r="N982" s="555" t="str">
        <f t="shared" ca="1" si="165"/>
        <v/>
      </c>
      <c r="O982" s="494" t="s">
        <v>1570</v>
      </c>
      <c r="P982" s="555" t="str">
        <f t="shared" ca="1" si="166"/>
        <v/>
      </c>
      <c r="Q982" s="494" t="s">
        <v>1589</v>
      </c>
      <c r="R982" s="494" t="str">
        <f t="shared" si="172"/>
        <v>I982</v>
      </c>
      <c r="S982" s="494" t="s">
        <v>1594</v>
      </c>
      <c r="T982" s="494">
        <v>6</v>
      </c>
      <c r="U982" s="556" t="str">
        <f t="shared" ca="1" si="162"/>
        <v/>
      </c>
      <c r="V982" s="494">
        <v>7</v>
      </c>
      <c r="W982" s="556" t="str">
        <f t="shared" ca="1" si="163"/>
        <v/>
      </c>
      <c r="X982" s="494" t="s">
        <v>1591</v>
      </c>
      <c r="Y982" s="547" t="str">
        <f t="shared" ca="1" si="167"/>
        <v/>
      </c>
      <c r="Z982" s="494" t="s">
        <v>1592</v>
      </c>
      <c r="AA982" s="547" t="str">
        <f t="shared" ca="1" si="168"/>
        <v/>
      </c>
      <c r="AB982" s="494" t="s">
        <v>1593</v>
      </c>
      <c r="AC982" s="547" t="str">
        <f t="shared" ca="1" si="169"/>
        <v/>
      </c>
      <c r="AD982" s="557"/>
      <c r="AE982" s="958"/>
    </row>
    <row r="983" spans="1:31" ht="15" customHeight="1">
      <c r="A983" s="957" t="str">
        <f t="shared" ca="1" si="170"/>
        <v>31/32</v>
      </c>
      <c r="B983" s="566" t="s">
        <v>167</v>
      </c>
      <c r="C983" s="567" t="str">
        <f t="shared" ca="1" si="171"/>
        <v>Green Star - Industrial</v>
      </c>
      <c r="D983" s="958">
        <v>1</v>
      </c>
      <c r="E983" s="959" t="s">
        <v>306</v>
      </c>
      <c r="F983" s="558" t="s">
        <v>1454</v>
      </c>
      <c r="G983" s="558">
        <v>73</v>
      </c>
      <c r="H983" s="558" t="s">
        <v>1123</v>
      </c>
      <c r="I983" s="559" t="s">
        <v>1278</v>
      </c>
      <c r="J983" s="567" t="s">
        <v>1588</v>
      </c>
      <c r="K983" s="961" t="s">
        <v>1568</v>
      </c>
      <c r="L983" s="555" t="str">
        <f t="shared" ca="1" si="164"/>
        <v/>
      </c>
      <c r="M983" s="494" t="s">
        <v>1569</v>
      </c>
      <c r="N983" s="555" t="str">
        <f t="shared" ca="1" si="165"/>
        <v/>
      </c>
      <c r="O983" s="494" t="s">
        <v>1570</v>
      </c>
      <c r="P983" s="555" t="str">
        <f t="shared" ca="1" si="166"/>
        <v/>
      </c>
      <c r="Q983" s="494" t="s">
        <v>1589</v>
      </c>
      <c r="R983" s="494" t="str">
        <f t="shared" si="172"/>
        <v>I983</v>
      </c>
      <c r="S983" s="494" t="s">
        <v>1594</v>
      </c>
      <c r="T983" s="494">
        <v>6</v>
      </c>
      <c r="U983" s="556" t="str">
        <f t="shared" ca="1" si="162"/>
        <v/>
      </c>
      <c r="V983" s="494">
        <v>7</v>
      </c>
      <c r="W983" s="556" t="str">
        <f t="shared" ca="1" si="163"/>
        <v/>
      </c>
      <c r="X983" s="494" t="s">
        <v>1591</v>
      </c>
      <c r="Y983" s="547" t="str">
        <f t="shared" ca="1" si="167"/>
        <v/>
      </c>
      <c r="Z983" s="494" t="s">
        <v>1592</v>
      </c>
      <c r="AA983" s="547" t="str">
        <f t="shared" ca="1" si="168"/>
        <v/>
      </c>
      <c r="AB983" s="494" t="s">
        <v>1593</v>
      </c>
      <c r="AC983" s="547" t="str">
        <f t="shared" ca="1" si="169"/>
        <v/>
      </c>
      <c r="AD983" s="557"/>
      <c r="AE983" s="958"/>
    </row>
    <row r="984" spans="1:31" ht="15" customHeight="1">
      <c r="A984" s="957" t="str">
        <f t="shared" ca="1" si="170"/>
        <v>31/32</v>
      </c>
      <c r="B984" s="566" t="s">
        <v>167</v>
      </c>
      <c r="C984" s="567" t="str">
        <f t="shared" ca="1" si="171"/>
        <v>Green Star - Industrial</v>
      </c>
      <c r="D984" s="958">
        <v>1</v>
      </c>
      <c r="E984" s="959" t="s">
        <v>306</v>
      </c>
      <c r="F984" s="558" t="s">
        <v>1454</v>
      </c>
      <c r="G984" s="558">
        <v>73</v>
      </c>
      <c r="H984" s="558" t="s">
        <v>1123</v>
      </c>
      <c r="I984" s="559" t="s">
        <v>1279</v>
      </c>
      <c r="J984" s="567" t="s">
        <v>1588</v>
      </c>
      <c r="K984" s="961" t="s">
        <v>1568</v>
      </c>
      <c r="L984" s="555" t="str">
        <f t="shared" ca="1" si="164"/>
        <v/>
      </c>
      <c r="M984" s="494" t="s">
        <v>1569</v>
      </c>
      <c r="N984" s="555" t="str">
        <f t="shared" ca="1" si="165"/>
        <v/>
      </c>
      <c r="O984" s="494" t="s">
        <v>1570</v>
      </c>
      <c r="P984" s="555" t="str">
        <f t="shared" ca="1" si="166"/>
        <v/>
      </c>
      <c r="Q984" s="494" t="s">
        <v>1589</v>
      </c>
      <c r="R984" s="494" t="str">
        <f t="shared" si="172"/>
        <v>I984</v>
      </c>
      <c r="S984" s="494" t="s">
        <v>1594</v>
      </c>
      <c r="T984" s="494">
        <v>6</v>
      </c>
      <c r="U984" s="556" t="str">
        <f t="shared" ca="1" si="162"/>
        <v/>
      </c>
      <c r="V984" s="494">
        <v>7</v>
      </c>
      <c r="W984" s="556" t="str">
        <f t="shared" ca="1" si="163"/>
        <v/>
      </c>
      <c r="X984" s="494" t="s">
        <v>1591</v>
      </c>
      <c r="Y984" s="547" t="str">
        <f t="shared" ca="1" si="167"/>
        <v/>
      </c>
      <c r="Z984" s="494" t="s">
        <v>1592</v>
      </c>
      <c r="AA984" s="547" t="str">
        <f t="shared" ca="1" si="168"/>
        <v/>
      </c>
      <c r="AB984" s="494" t="s">
        <v>1593</v>
      </c>
      <c r="AC984" s="547" t="str">
        <f t="shared" ca="1" si="169"/>
        <v/>
      </c>
      <c r="AD984" s="557"/>
      <c r="AE984" s="958"/>
    </row>
    <row r="985" spans="1:31" ht="15" customHeight="1">
      <c r="A985" s="957" t="str">
        <f t="shared" ca="1" si="170"/>
        <v>31/32</v>
      </c>
      <c r="B985" s="566" t="s">
        <v>167</v>
      </c>
      <c r="C985" s="567" t="str">
        <f t="shared" ca="1" si="171"/>
        <v>Green Star - Industrial</v>
      </c>
      <c r="D985" s="958">
        <v>1</v>
      </c>
      <c r="E985" s="959" t="s">
        <v>306</v>
      </c>
      <c r="F985" s="558" t="s">
        <v>1454</v>
      </c>
      <c r="G985" s="558">
        <v>134</v>
      </c>
      <c r="H985" s="558" t="s">
        <v>1124</v>
      </c>
      <c r="I985" s="559" t="s">
        <v>597</v>
      </c>
      <c r="J985" s="567" t="s">
        <v>1588</v>
      </c>
      <c r="K985" s="961" t="s">
        <v>1568</v>
      </c>
      <c r="L985" s="555" t="str">
        <f t="shared" ca="1" si="164"/>
        <v/>
      </c>
      <c r="M985" s="494" t="s">
        <v>1569</v>
      </c>
      <c r="N985" s="555" t="str">
        <f t="shared" ca="1" si="165"/>
        <v/>
      </c>
      <c r="O985" s="494" t="s">
        <v>1570</v>
      </c>
      <c r="P985" s="555" t="str">
        <f t="shared" ca="1" si="166"/>
        <v/>
      </c>
      <c r="Q985" s="494" t="s">
        <v>1589</v>
      </c>
      <c r="R985" s="494" t="str">
        <f t="shared" si="172"/>
        <v>I985</v>
      </c>
      <c r="S985" s="494" t="s">
        <v>1590</v>
      </c>
      <c r="T985" s="494">
        <v>6</v>
      </c>
      <c r="U985" s="556" t="str">
        <f t="shared" ca="1" si="162"/>
        <v/>
      </c>
      <c r="V985" s="494">
        <v>7</v>
      </c>
      <c r="W985" s="556" t="str">
        <f t="shared" ca="1" si="163"/>
        <v/>
      </c>
      <c r="X985" s="494" t="s">
        <v>1591</v>
      </c>
      <c r="Y985" s="547" t="str">
        <f t="shared" ca="1" si="167"/>
        <v/>
      </c>
      <c r="Z985" s="494" t="s">
        <v>1592</v>
      </c>
      <c r="AA985" s="547" t="str">
        <f t="shared" ca="1" si="168"/>
        <v/>
      </c>
      <c r="AB985" s="494" t="s">
        <v>1593</v>
      </c>
      <c r="AC985" s="547" t="str">
        <f t="shared" ca="1" si="169"/>
        <v/>
      </c>
      <c r="AD985" s="557"/>
      <c r="AE985" s="958"/>
    </row>
    <row r="986" spans="1:31" ht="15" customHeight="1">
      <c r="A986" s="957" t="str">
        <f t="shared" ca="1" si="170"/>
        <v>31/32</v>
      </c>
      <c r="B986" s="566" t="s">
        <v>167</v>
      </c>
      <c r="C986" s="567" t="str">
        <f t="shared" ca="1" si="171"/>
        <v>Green Star - Industrial</v>
      </c>
      <c r="D986" s="958">
        <v>1</v>
      </c>
      <c r="E986" s="959" t="s">
        <v>306</v>
      </c>
      <c r="F986" s="558" t="s">
        <v>1454</v>
      </c>
      <c r="G986" s="558">
        <v>109</v>
      </c>
      <c r="H986" s="558" t="s">
        <v>1125</v>
      </c>
      <c r="I986" s="559" t="s">
        <v>1280</v>
      </c>
      <c r="J986" s="567" t="s">
        <v>1588</v>
      </c>
      <c r="K986" s="961" t="s">
        <v>1568</v>
      </c>
      <c r="L986" s="555" t="str">
        <f t="shared" ca="1" si="164"/>
        <v/>
      </c>
      <c r="M986" s="494" t="s">
        <v>1569</v>
      </c>
      <c r="N986" s="555" t="str">
        <f t="shared" ca="1" si="165"/>
        <v/>
      </c>
      <c r="O986" s="494" t="s">
        <v>1570</v>
      </c>
      <c r="P986" s="555" t="str">
        <f t="shared" ca="1" si="166"/>
        <v/>
      </c>
      <c r="Q986" s="494" t="s">
        <v>1589</v>
      </c>
      <c r="R986" s="494" t="str">
        <f t="shared" si="172"/>
        <v>I986</v>
      </c>
      <c r="S986" s="494" t="s">
        <v>1594</v>
      </c>
      <c r="T986" s="494">
        <v>6</v>
      </c>
      <c r="U986" s="556" t="str">
        <f t="shared" ca="1" si="162"/>
        <v/>
      </c>
      <c r="V986" s="494">
        <v>7</v>
      </c>
      <c r="W986" s="556" t="str">
        <f t="shared" ca="1" si="163"/>
        <v/>
      </c>
      <c r="X986" s="494" t="s">
        <v>1591</v>
      </c>
      <c r="Y986" s="547" t="str">
        <f t="shared" ca="1" si="167"/>
        <v/>
      </c>
      <c r="Z986" s="494" t="s">
        <v>1592</v>
      </c>
      <c r="AA986" s="547" t="str">
        <f t="shared" ca="1" si="168"/>
        <v/>
      </c>
      <c r="AB986" s="494" t="s">
        <v>1593</v>
      </c>
      <c r="AC986" s="547" t="str">
        <f t="shared" ca="1" si="169"/>
        <v/>
      </c>
      <c r="AD986" s="557"/>
      <c r="AE986" s="958"/>
    </row>
    <row r="987" spans="1:31" ht="15" customHeight="1">
      <c r="A987" s="957" t="str">
        <f t="shared" ca="1" si="170"/>
        <v>31/32</v>
      </c>
      <c r="B987" s="566" t="s">
        <v>167</v>
      </c>
      <c r="C987" s="567" t="str">
        <f t="shared" ca="1" si="171"/>
        <v>Green Star - Industrial</v>
      </c>
      <c r="D987" s="958">
        <v>1</v>
      </c>
      <c r="E987" s="959" t="s">
        <v>306</v>
      </c>
      <c r="F987" s="558" t="s">
        <v>1454</v>
      </c>
      <c r="G987" s="558">
        <v>109</v>
      </c>
      <c r="H987" s="558" t="s">
        <v>1125</v>
      </c>
      <c r="I987" s="559" t="s">
        <v>1281</v>
      </c>
      <c r="J987" s="567" t="s">
        <v>1588</v>
      </c>
      <c r="K987" s="961" t="s">
        <v>1568</v>
      </c>
      <c r="L987" s="555" t="str">
        <f t="shared" ca="1" si="164"/>
        <v/>
      </c>
      <c r="M987" s="494" t="s">
        <v>1569</v>
      </c>
      <c r="N987" s="555" t="str">
        <f t="shared" ca="1" si="165"/>
        <v/>
      </c>
      <c r="O987" s="494" t="s">
        <v>1570</v>
      </c>
      <c r="P987" s="555" t="str">
        <f t="shared" ca="1" si="166"/>
        <v/>
      </c>
      <c r="Q987" s="494" t="s">
        <v>1589</v>
      </c>
      <c r="R987" s="494" t="str">
        <f t="shared" si="172"/>
        <v>I987</v>
      </c>
      <c r="S987" s="494" t="s">
        <v>1594</v>
      </c>
      <c r="T987" s="494">
        <v>6</v>
      </c>
      <c r="U987" s="556" t="str">
        <f t="shared" ca="1" si="162"/>
        <v/>
      </c>
      <c r="V987" s="494">
        <v>7</v>
      </c>
      <c r="W987" s="556" t="str">
        <f t="shared" ca="1" si="163"/>
        <v/>
      </c>
      <c r="X987" s="494" t="s">
        <v>1591</v>
      </c>
      <c r="Y987" s="547" t="str">
        <f t="shared" ca="1" si="167"/>
        <v/>
      </c>
      <c r="Z987" s="494" t="s">
        <v>1592</v>
      </c>
      <c r="AA987" s="547" t="str">
        <f t="shared" ca="1" si="168"/>
        <v/>
      </c>
      <c r="AB987" s="494" t="s">
        <v>1593</v>
      </c>
      <c r="AC987" s="547" t="str">
        <f t="shared" ca="1" si="169"/>
        <v/>
      </c>
      <c r="AD987" s="557"/>
      <c r="AE987" s="958"/>
    </row>
    <row r="988" spans="1:31" ht="15" customHeight="1">
      <c r="A988" s="957" t="str">
        <f t="shared" ca="1" si="170"/>
        <v>31/32</v>
      </c>
      <c r="B988" s="566" t="s">
        <v>167</v>
      </c>
      <c r="C988" s="567" t="str">
        <f t="shared" ca="1" si="171"/>
        <v>Green Star - Industrial</v>
      </c>
      <c r="D988" s="958">
        <v>1</v>
      </c>
      <c r="E988" s="959" t="s">
        <v>306</v>
      </c>
      <c r="F988" s="558" t="s">
        <v>1454</v>
      </c>
      <c r="G988" s="558">
        <v>110</v>
      </c>
      <c r="H988" s="558" t="s">
        <v>1126</v>
      </c>
      <c r="I988" s="559" t="s">
        <v>1128</v>
      </c>
      <c r="J988" s="567" t="s">
        <v>1588</v>
      </c>
      <c r="K988" s="961" t="s">
        <v>1568</v>
      </c>
      <c r="L988" s="555" t="str">
        <f t="shared" ca="1" si="164"/>
        <v/>
      </c>
      <c r="M988" s="494" t="s">
        <v>1569</v>
      </c>
      <c r="N988" s="555" t="str">
        <f t="shared" ca="1" si="165"/>
        <v/>
      </c>
      <c r="O988" s="494" t="s">
        <v>1570</v>
      </c>
      <c r="P988" s="555" t="str">
        <f t="shared" ca="1" si="166"/>
        <v/>
      </c>
      <c r="Q988" s="494" t="s">
        <v>1589</v>
      </c>
      <c r="R988" s="494" t="str">
        <f t="shared" si="172"/>
        <v>I988</v>
      </c>
      <c r="S988" s="494" t="s">
        <v>1594</v>
      </c>
      <c r="T988" s="494">
        <v>6</v>
      </c>
      <c r="U988" s="556" t="str">
        <f t="shared" ca="1" si="162"/>
        <v/>
      </c>
      <c r="V988" s="494">
        <v>7</v>
      </c>
      <c r="W988" s="556" t="str">
        <f t="shared" ca="1" si="163"/>
        <v/>
      </c>
      <c r="X988" s="494" t="s">
        <v>1591</v>
      </c>
      <c r="Y988" s="547" t="str">
        <f t="shared" ca="1" si="167"/>
        <v/>
      </c>
      <c r="Z988" s="494" t="s">
        <v>1592</v>
      </c>
      <c r="AA988" s="547" t="str">
        <f t="shared" ca="1" si="168"/>
        <v/>
      </c>
      <c r="AB988" s="494" t="s">
        <v>1593</v>
      </c>
      <c r="AC988" s="547" t="str">
        <f t="shared" ca="1" si="169"/>
        <v/>
      </c>
      <c r="AD988" s="557"/>
      <c r="AE988" s="958"/>
    </row>
    <row r="989" spans="1:31" ht="15" customHeight="1">
      <c r="A989" s="957" t="str">
        <f t="shared" ca="1" si="170"/>
        <v>31/32</v>
      </c>
      <c r="B989" s="566" t="s">
        <v>167</v>
      </c>
      <c r="C989" s="567" t="str">
        <f t="shared" ca="1" si="171"/>
        <v>Green Star - Industrial</v>
      </c>
      <c r="D989" s="958">
        <v>1</v>
      </c>
      <c r="E989" s="959" t="s">
        <v>306</v>
      </c>
      <c r="F989" s="558" t="s">
        <v>1454</v>
      </c>
      <c r="G989" s="558">
        <v>110</v>
      </c>
      <c r="H989" s="558" t="s">
        <v>1126</v>
      </c>
      <c r="I989" s="559" t="s">
        <v>1129</v>
      </c>
      <c r="J989" s="567" t="s">
        <v>1588</v>
      </c>
      <c r="K989" s="961" t="s">
        <v>1568</v>
      </c>
      <c r="L989" s="555" t="str">
        <f t="shared" ca="1" si="164"/>
        <v/>
      </c>
      <c r="M989" s="494" t="s">
        <v>1569</v>
      </c>
      <c r="N989" s="555" t="str">
        <f t="shared" ca="1" si="165"/>
        <v/>
      </c>
      <c r="O989" s="494" t="s">
        <v>1570</v>
      </c>
      <c r="P989" s="555" t="str">
        <f t="shared" ca="1" si="166"/>
        <v/>
      </c>
      <c r="Q989" s="494" t="s">
        <v>1589</v>
      </c>
      <c r="R989" s="494" t="str">
        <f t="shared" si="172"/>
        <v>I989</v>
      </c>
      <c r="S989" s="494" t="s">
        <v>1594</v>
      </c>
      <c r="T989" s="494">
        <v>6</v>
      </c>
      <c r="U989" s="556" t="str">
        <f t="shared" ca="1" si="162"/>
        <v/>
      </c>
      <c r="V989" s="494">
        <v>7</v>
      </c>
      <c r="W989" s="556" t="str">
        <f t="shared" ca="1" si="163"/>
        <v/>
      </c>
      <c r="X989" s="494" t="s">
        <v>1591</v>
      </c>
      <c r="Y989" s="547" t="str">
        <f t="shared" ca="1" si="167"/>
        <v/>
      </c>
      <c r="Z989" s="494" t="s">
        <v>1592</v>
      </c>
      <c r="AA989" s="547" t="str">
        <f t="shared" ca="1" si="168"/>
        <v/>
      </c>
      <c r="AB989" s="494" t="s">
        <v>1593</v>
      </c>
      <c r="AC989" s="547" t="str">
        <f t="shared" ca="1" si="169"/>
        <v/>
      </c>
      <c r="AD989" s="557"/>
      <c r="AE989" s="958"/>
    </row>
    <row r="990" spans="1:31" ht="15" customHeight="1">
      <c r="A990" s="957" t="str">
        <f t="shared" ca="1" si="170"/>
        <v>31/32</v>
      </c>
      <c r="B990" s="566" t="s">
        <v>167</v>
      </c>
      <c r="C990" s="567" t="str">
        <f t="shared" ca="1" si="171"/>
        <v>Green Star - Industrial</v>
      </c>
      <c r="D990" s="958">
        <v>1</v>
      </c>
      <c r="E990" s="959" t="s">
        <v>306</v>
      </c>
      <c r="F990" s="558" t="s">
        <v>1454</v>
      </c>
      <c r="G990" s="558">
        <v>110</v>
      </c>
      <c r="H990" s="558" t="s">
        <v>1126</v>
      </c>
      <c r="I990" s="559" t="s">
        <v>991</v>
      </c>
      <c r="J990" s="567" t="s">
        <v>1588</v>
      </c>
      <c r="K990" s="961" t="s">
        <v>1568</v>
      </c>
      <c r="L990" s="555" t="str">
        <f t="shared" ca="1" si="164"/>
        <v/>
      </c>
      <c r="M990" s="494" t="s">
        <v>1569</v>
      </c>
      <c r="N990" s="555" t="str">
        <f t="shared" ca="1" si="165"/>
        <v/>
      </c>
      <c r="O990" s="494" t="s">
        <v>1570</v>
      </c>
      <c r="P990" s="555" t="str">
        <f t="shared" ca="1" si="166"/>
        <v/>
      </c>
      <c r="Q990" s="494" t="s">
        <v>1589</v>
      </c>
      <c r="R990" s="494" t="str">
        <f t="shared" si="172"/>
        <v>I990</v>
      </c>
      <c r="S990" s="494" t="s">
        <v>1594</v>
      </c>
      <c r="T990" s="494">
        <v>6</v>
      </c>
      <c r="U990" s="556" t="str">
        <f t="shared" ca="1" si="162"/>
        <v/>
      </c>
      <c r="V990" s="494">
        <v>7</v>
      </c>
      <c r="W990" s="556" t="str">
        <f t="shared" ca="1" si="163"/>
        <v/>
      </c>
      <c r="X990" s="494" t="s">
        <v>1591</v>
      </c>
      <c r="Y990" s="547" t="str">
        <f t="shared" ca="1" si="167"/>
        <v/>
      </c>
      <c r="Z990" s="494" t="s">
        <v>1592</v>
      </c>
      <c r="AA990" s="547" t="str">
        <f t="shared" ca="1" si="168"/>
        <v/>
      </c>
      <c r="AB990" s="494" t="s">
        <v>1593</v>
      </c>
      <c r="AC990" s="547" t="str">
        <f t="shared" ca="1" si="169"/>
        <v/>
      </c>
      <c r="AD990" s="557"/>
      <c r="AE990" s="958"/>
    </row>
    <row r="991" spans="1:31" ht="15" customHeight="1">
      <c r="A991" s="957" t="str">
        <f t="shared" ca="1" si="170"/>
        <v>31/32</v>
      </c>
      <c r="B991" s="566" t="s">
        <v>167</v>
      </c>
      <c r="C991" s="567" t="str">
        <f t="shared" ca="1" si="171"/>
        <v>Green Star - Industrial</v>
      </c>
      <c r="D991" s="958">
        <v>1</v>
      </c>
      <c r="E991" s="959" t="s">
        <v>306</v>
      </c>
      <c r="F991" s="558" t="s">
        <v>1454</v>
      </c>
      <c r="G991" s="558">
        <v>111</v>
      </c>
      <c r="H991" s="558" t="s">
        <v>1132</v>
      </c>
      <c r="I991" s="559" t="s">
        <v>1133</v>
      </c>
      <c r="J991" s="567" t="s">
        <v>1588</v>
      </c>
      <c r="K991" s="961" t="s">
        <v>1568</v>
      </c>
      <c r="L991" s="555" t="str">
        <f t="shared" ca="1" si="164"/>
        <v/>
      </c>
      <c r="M991" s="494" t="s">
        <v>1569</v>
      </c>
      <c r="N991" s="555" t="str">
        <f t="shared" ca="1" si="165"/>
        <v/>
      </c>
      <c r="O991" s="494" t="s">
        <v>1570</v>
      </c>
      <c r="P991" s="555" t="str">
        <f t="shared" ca="1" si="166"/>
        <v/>
      </c>
      <c r="Q991" s="494" t="s">
        <v>1589</v>
      </c>
      <c r="R991" s="494" t="str">
        <f t="shared" si="172"/>
        <v>I991</v>
      </c>
      <c r="S991" s="494" t="s">
        <v>1590</v>
      </c>
      <c r="T991" s="494">
        <v>6</v>
      </c>
      <c r="U991" s="556" t="str">
        <f t="shared" ca="1" si="162"/>
        <v/>
      </c>
      <c r="V991" s="494">
        <v>7</v>
      </c>
      <c r="W991" s="556" t="str">
        <f t="shared" ca="1" si="163"/>
        <v/>
      </c>
      <c r="X991" s="494" t="s">
        <v>1591</v>
      </c>
      <c r="Y991" s="547" t="str">
        <f t="shared" ca="1" si="167"/>
        <v/>
      </c>
      <c r="Z991" s="494" t="s">
        <v>1592</v>
      </c>
      <c r="AA991" s="547" t="str">
        <f t="shared" ca="1" si="168"/>
        <v/>
      </c>
      <c r="AB991" s="494" t="s">
        <v>1593</v>
      </c>
      <c r="AC991" s="547" t="str">
        <f t="shared" ca="1" si="169"/>
        <v/>
      </c>
      <c r="AD991" s="557"/>
      <c r="AE991" s="958"/>
    </row>
    <row r="992" spans="1:31" ht="15" customHeight="1">
      <c r="A992" s="957" t="str">
        <f t="shared" ca="1" si="170"/>
        <v>31/32</v>
      </c>
      <c r="B992" s="566" t="s">
        <v>167</v>
      </c>
      <c r="C992" s="567" t="str">
        <f t="shared" ca="1" si="171"/>
        <v>Green Star - Industrial</v>
      </c>
      <c r="D992" s="958">
        <v>1</v>
      </c>
      <c r="E992" s="959" t="s">
        <v>306</v>
      </c>
      <c r="F992" s="558" t="s">
        <v>1454</v>
      </c>
      <c r="G992" s="558">
        <v>103</v>
      </c>
      <c r="H992" s="558" t="s">
        <v>1136</v>
      </c>
      <c r="I992" s="559" t="s">
        <v>1137</v>
      </c>
      <c r="J992" s="567" t="s">
        <v>1588</v>
      </c>
      <c r="K992" s="961" t="s">
        <v>1568</v>
      </c>
      <c r="L992" s="555" t="str">
        <f t="shared" ca="1" si="164"/>
        <v/>
      </c>
      <c r="M992" s="494" t="s">
        <v>1569</v>
      </c>
      <c r="N992" s="555" t="str">
        <f t="shared" ca="1" si="165"/>
        <v/>
      </c>
      <c r="O992" s="494" t="s">
        <v>1570</v>
      </c>
      <c r="P992" s="555" t="str">
        <f t="shared" ca="1" si="166"/>
        <v/>
      </c>
      <c r="Q992" s="494" t="s">
        <v>1589</v>
      </c>
      <c r="R992" s="494" t="str">
        <f t="shared" ref="R992:R997" si="173">CONCATENATE("I",ROW(J992))</f>
        <v>I992</v>
      </c>
      <c r="S992" s="494" t="s">
        <v>1590</v>
      </c>
      <c r="T992" s="494">
        <v>6</v>
      </c>
      <c r="U992" s="556" t="str">
        <f t="shared" ca="1" si="162"/>
        <v/>
      </c>
      <c r="V992" s="494">
        <v>7</v>
      </c>
      <c r="W992" s="556" t="str">
        <f t="shared" ca="1" si="163"/>
        <v/>
      </c>
      <c r="X992" s="494" t="s">
        <v>1591</v>
      </c>
      <c r="Y992" s="547" t="str">
        <f t="shared" ca="1" si="167"/>
        <v/>
      </c>
      <c r="Z992" s="494" t="s">
        <v>1592</v>
      </c>
      <c r="AA992" s="547" t="str">
        <f t="shared" ca="1" si="168"/>
        <v/>
      </c>
      <c r="AB992" s="494" t="s">
        <v>1593</v>
      </c>
      <c r="AC992" s="547" t="str">
        <f t="shared" ca="1" si="169"/>
        <v/>
      </c>
      <c r="AD992" s="557"/>
      <c r="AE992" s="958"/>
    </row>
    <row r="993" spans="1:31" ht="15" customHeight="1">
      <c r="A993" s="957" t="str">
        <f t="shared" ca="1" si="170"/>
        <v>31/32</v>
      </c>
      <c r="B993" s="566" t="s">
        <v>167</v>
      </c>
      <c r="C993" s="567" t="str">
        <f t="shared" ca="1" si="171"/>
        <v>Green Star - Industrial</v>
      </c>
      <c r="D993" s="958">
        <v>1</v>
      </c>
      <c r="E993" s="959" t="s">
        <v>306</v>
      </c>
      <c r="F993" s="558" t="s">
        <v>1454</v>
      </c>
      <c r="G993" s="558">
        <v>104</v>
      </c>
      <c r="H993" s="558" t="s">
        <v>1140</v>
      </c>
      <c r="I993" s="559" t="s">
        <v>1141</v>
      </c>
      <c r="J993" s="567" t="s">
        <v>1588</v>
      </c>
      <c r="K993" s="961" t="s">
        <v>1568</v>
      </c>
      <c r="L993" s="555" t="str">
        <f t="shared" ca="1" si="164"/>
        <v/>
      </c>
      <c r="M993" s="494" t="s">
        <v>1569</v>
      </c>
      <c r="N993" s="555" t="str">
        <f t="shared" ca="1" si="165"/>
        <v/>
      </c>
      <c r="O993" s="494" t="s">
        <v>1570</v>
      </c>
      <c r="P993" s="555" t="str">
        <f t="shared" ca="1" si="166"/>
        <v/>
      </c>
      <c r="Q993" s="494" t="s">
        <v>1589</v>
      </c>
      <c r="R993" s="494" t="str">
        <f t="shared" si="173"/>
        <v>I993</v>
      </c>
      <c r="S993" s="494" t="s">
        <v>1590</v>
      </c>
      <c r="T993" s="494">
        <v>6</v>
      </c>
      <c r="U993" s="556" t="str">
        <f t="shared" ca="1" si="162"/>
        <v/>
      </c>
      <c r="V993" s="494">
        <v>7</v>
      </c>
      <c r="W993" s="556" t="str">
        <f t="shared" ca="1" si="163"/>
        <v/>
      </c>
      <c r="X993" s="494" t="s">
        <v>1591</v>
      </c>
      <c r="Y993" s="547" t="str">
        <f t="shared" ca="1" si="167"/>
        <v/>
      </c>
      <c r="Z993" s="494" t="s">
        <v>1592</v>
      </c>
      <c r="AA993" s="547" t="str">
        <f t="shared" ca="1" si="168"/>
        <v/>
      </c>
      <c r="AB993" s="494" t="s">
        <v>1593</v>
      </c>
      <c r="AC993" s="547" t="str">
        <f t="shared" ca="1" si="169"/>
        <v/>
      </c>
      <c r="AD993" s="557"/>
      <c r="AE993" s="958"/>
    </row>
    <row r="994" spans="1:31" ht="15" customHeight="1">
      <c r="A994" s="957" t="str">
        <f t="shared" ca="1" si="170"/>
        <v>31/32</v>
      </c>
      <c r="B994" s="566" t="s">
        <v>167</v>
      </c>
      <c r="C994" s="567" t="str">
        <f t="shared" ca="1" si="171"/>
        <v>Green Star - Industrial</v>
      </c>
      <c r="D994" s="958">
        <v>1</v>
      </c>
      <c r="E994" s="959" t="s">
        <v>306</v>
      </c>
      <c r="F994" s="558" t="s">
        <v>1454</v>
      </c>
      <c r="G994" s="558">
        <v>105</v>
      </c>
      <c r="H994" s="558" t="s">
        <v>1142</v>
      </c>
      <c r="I994" s="559" t="s">
        <v>1143</v>
      </c>
      <c r="J994" s="567" t="s">
        <v>1588</v>
      </c>
      <c r="K994" s="961" t="s">
        <v>1568</v>
      </c>
      <c r="L994" s="555" t="str">
        <f t="shared" ca="1" si="164"/>
        <v/>
      </c>
      <c r="M994" s="494" t="s">
        <v>1569</v>
      </c>
      <c r="N994" s="555" t="str">
        <f t="shared" ca="1" si="165"/>
        <v/>
      </c>
      <c r="O994" s="494" t="s">
        <v>1570</v>
      </c>
      <c r="P994" s="555" t="str">
        <f t="shared" ca="1" si="166"/>
        <v/>
      </c>
      <c r="Q994" s="494" t="s">
        <v>1589</v>
      </c>
      <c r="R994" s="494" t="str">
        <f t="shared" si="173"/>
        <v>I994</v>
      </c>
      <c r="S994" s="494" t="s">
        <v>1590</v>
      </c>
      <c r="T994" s="494">
        <v>6</v>
      </c>
      <c r="U994" s="556" t="str">
        <f t="shared" ca="1" si="162"/>
        <v/>
      </c>
      <c r="V994" s="494">
        <v>7</v>
      </c>
      <c r="W994" s="556" t="str">
        <f t="shared" ca="1" si="163"/>
        <v/>
      </c>
      <c r="X994" s="494" t="s">
        <v>1591</v>
      </c>
      <c r="Y994" s="547" t="str">
        <f t="shared" ca="1" si="167"/>
        <v/>
      </c>
      <c r="Z994" s="494" t="s">
        <v>1592</v>
      </c>
      <c r="AA994" s="547" t="str">
        <f t="shared" ca="1" si="168"/>
        <v/>
      </c>
      <c r="AB994" s="494" t="s">
        <v>1593</v>
      </c>
      <c r="AC994" s="547" t="str">
        <f t="shared" ca="1" si="169"/>
        <v/>
      </c>
      <c r="AD994" s="557"/>
      <c r="AE994" s="958"/>
    </row>
    <row r="995" spans="1:31" ht="15" customHeight="1">
      <c r="A995" s="957" t="str">
        <f t="shared" ca="1" si="170"/>
        <v>31/32</v>
      </c>
      <c r="B995" s="566" t="s">
        <v>167</v>
      </c>
      <c r="C995" s="567" t="str">
        <f t="shared" ca="1" si="171"/>
        <v>Green Star - Industrial</v>
      </c>
      <c r="D995" s="958">
        <v>1</v>
      </c>
      <c r="E995" s="959" t="s">
        <v>306</v>
      </c>
      <c r="F995" s="558" t="s">
        <v>1454</v>
      </c>
      <c r="G995" s="558">
        <v>190</v>
      </c>
      <c r="H995" s="558" t="s">
        <v>1282</v>
      </c>
      <c r="I995" s="559" t="s">
        <v>1135</v>
      </c>
      <c r="J995" s="567" t="s">
        <v>1588</v>
      </c>
      <c r="K995" s="961" t="s">
        <v>1568</v>
      </c>
      <c r="L995" s="555" t="str">
        <f t="shared" ca="1" si="164"/>
        <v/>
      </c>
      <c r="M995" s="494" t="s">
        <v>1569</v>
      </c>
      <c r="N995" s="555" t="str">
        <f t="shared" ca="1" si="165"/>
        <v/>
      </c>
      <c r="O995" s="494" t="s">
        <v>1570</v>
      </c>
      <c r="P995" s="555" t="str">
        <f t="shared" ca="1" si="166"/>
        <v/>
      </c>
      <c r="Q995" s="494" t="s">
        <v>1589</v>
      </c>
      <c r="R995" s="494" t="str">
        <f t="shared" si="173"/>
        <v>I995</v>
      </c>
      <c r="S995" s="494" t="s">
        <v>1590</v>
      </c>
      <c r="T995" s="494">
        <v>6</v>
      </c>
      <c r="U995" s="556" t="str">
        <f t="shared" ca="1" si="162"/>
        <v/>
      </c>
      <c r="V995" s="494">
        <v>7</v>
      </c>
      <c r="W995" s="556" t="str">
        <f t="shared" ca="1" si="163"/>
        <v/>
      </c>
      <c r="X995" s="494" t="s">
        <v>1591</v>
      </c>
      <c r="Y995" s="547" t="str">
        <f t="shared" ca="1" si="167"/>
        <v/>
      </c>
      <c r="Z995" s="494" t="s">
        <v>1592</v>
      </c>
      <c r="AA995" s="547" t="str">
        <f t="shared" ca="1" si="168"/>
        <v/>
      </c>
      <c r="AB995" s="494" t="s">
        <v>1593</v>
      </c>
      <c r="AC995" s="547" t="str">
        <f t="shared" ca="1" si="169"/>
        <v/>
      </c>
      <c r="AD995" s="557"/>
      <c r="AE995" s="958"/>
    </row>
    <row r="996" spans="1:31" ht="15" customHeight="1">
      <c r="A996" s="957" t="str">
        <f t="shared" ca="1" si="170"/>
        <v>31/32</v>
      </c>
      <c r="B996" s="566" t="s">
        <v>167</v>
      </c>
      <c r="C996" s="567" t="str">
        <f t="shared" ca="1" si="171"/>
        <v>Green Star - Industrial</v>
      </c>
      <c r="D996" s="958">
        <v>1</v>
      </c>
      <c r="E996" s="959" t="s">
        <v>306</v>
      </c>
      <c r="F996" s="558" t="s">
        <v>1454</v>
      </c>
      <c r="G996" s="558">
        <v>272</v>
      </c>
      <c r="H996" s="558" t="s">
        <v>1150</v>
      </c>
      <c r="I996" s="559" t="s">
        <v>1283</v>
      </c>
      <c r="J996" s="567" t="s">
        <v>1588</v>
      </c>
      <c r="K996" s="961" t="s">
        <v>1568</v>
      </c>
      <c r="L996" s="555" t="str">
        <f t="shared" ca="1" si="164"/>
        <v/>
      </c>
      <c r="M996" s="494" t="s">
        <v>1569</v>
      </c>
      <c r="N996" s="555" t="str">
        <f t="shared" ca="1" si="165"/>
        <v/>
      </c>
      <c r="O996" s="494" t="s">
        <v>1570</v>
      </c>
      <c r="P996" s="555" t="str">
        <f t="shared" ca="1" si="166"/>
        <v/>
      </c>
      <c r="Q996" s="494" t="s">
        <v>1589</v>
      </c>
      <c r="R996" s="494" t="str">
        <f t="shared" si="173"/>
        <v>I996</v>
      </c>
      <c r="S996" s="494" t="s">
        <v>1590</v>
      </c>
      <c r="T996" s="494">
        <v>6</v>
      </c>
      <c r="U996" s="556" t="str">
        <f t="shared" ca="1" si="162"/>
        <v/>
      </c>
      <c r="V996" s="494">
        <v>7</v>
      </c>
      <c r="W996" s="556" t="str">
        <f t="shared" ca="1" si="163"/>
        <v/>
      </c>
      <c r="X996" s="494" t="s">
        <v>1591</v>
      </c>
      <c r="Y996" s="547" t="str">
        <f t="shared" ca="1" si="167"/>
        <v/>
      </c>
      <c r="Z996" s="494" t="s">
        <v>1592</v>
      </c>
      <c r="AA996" s="547" t="str">
        <f t="shared" ca="1" si="168"/>
        <v/>
      </c>
      <c r="AB996" s="494" t="s">
        <v>1593</v>
      </c>
      <c r="AC996" s="547" t="str">
        <f t="shared" ca="1" si="169"/>
        <v/>
      </c>
      <c r="AD996" s="557"/>
      <c r="AE996" s="958"/>
    </row>
    <row r="997" spans="1:31" ht="15" customHeight="1">
      <c r="A997" s="957" t="str">
        <f t="shared" ca="1" si="170"/>
        <v>31/32</v>
      </c>
      <c r="B997" s="566" t="s">
        <v>167</v>
      </c>
      <c r="C997" s="567" t="str">
        <f t="shared" ca="1" si="171"/>
        <v>Green Star - Industrial</v>
      </c>
      <c r="D997" s="958">
        <v>1</v>
      </c>
      <c r="E997" s="959" t="s">
        <v>306</v>
      </c>
      <c r="F997" s="558" t="s">
        <v>1454</v>
      </c>
      <c r="G997" s="558">
        <v>273</v>
      </c>
      <c r="H997" s="558" t="s">
        <v>1284</v>
      </c>
      <c r="I997" s="559" t="s">
        <v>1285</v>
      </c>
      <c r="J997" s="567" t="s">
        <v>1588</v>
      </c>
      <c r="K997" s="961" t="s">
        <v>1568</v>
      </c>
      <c r="L997" s="555" t="str">
        <f t="shared" ca="1" si="164"/>
        <v/>
      </c>
      <c r="M997" s="494" t="s">
        <v>1569</v>
      </c>
      <c r="N997" s="555" t="str">
        <f t="shared" ca="1" si="165"/>
        <v/>
      </c>
      <c r="O997" s="494" t="s">
        <v>1570</v>
      </c>
      <c r="P997" s="555" t="str">
        <f t="shared" ca="1" si="166"/>
        <v/>
      </c>
      <c r="Q997" s="494" t="s">
        <v>1589</v>
      </c>
      <c r="R997" s="494" t="str">
        <f t="shared" si="173"/>
        <v>I997</v>
      </c>
      <c r="S997" s="494" t="s">
        <v>1590</v>
      </c>
      <c r="T997" s="494">
        <v>6</v>
      </c>
      <c r="U997" s="556" t="str">
        <f t="shared" ca="1" si="162"/>
        <v/>
      </c>
      <c r="V997" s="494">
        <v>7</v>
      </c>
      <c r="W997" s="556" t="str">
        <f t="shared" ca="1" si="163"/>
        <v/>
      </c>
      <c r="X997" s="494" t="s">
        <v>1591</v>
      </c>
      <c r="Y997" s="547" t="str">
        <f t="shared" ca="1" si="167"/>
        <v/>
      </c>
      <c r="Z997" s="494" t="s">
        <v>1592</v>
      </c>
      <c r="AA997" s="547" t="str">
        <f t="shared" ca="1" si="168"/>
        <v/>
      </c>
      <c r="AB997" s="494" t="s">
        <v>1593</v>
      </c>
      <c r="AC997" s="547" t="str">
        <f t="shared" ca="1" si="169"/>
        <v/>
      </c>
      <c r="AD997" s="557"/>
      <c r="AE997" s="958"/>
    </row>
    <row r="998" spans="1:31" ht="15" customHeight="1">
      <c r="A998" s="957" t="str">
        <f t="shared" ca="1" si="170"/>
        <v>31/32</v>
      </c>
      <c r="B998" s="566" t="s">
        <v>167</v>
      </c>
      <c r="C998" s="567" t="str">
        <f t="shared" ca="1" si="171"/>
        <v>Green Star - Industrial</v>
      </c>
      <c r="D998" s="958">
        <v>1</v>
      </c>
      <c r="E998" s="959" t="s">
        <v>335</v>
      </c>
      <c r="F998" s="558" t="s">
        <v>1455</v>
      </c>
      <c r="G998" s="558">
        <v>154</v>
      </c>
      <c r="H998" s="558" t="s">
        <v>1576</v>
      </c>
      <c r="I998" s="559" t="s">
        <v>338</v>
      </c>
      <c r="J998" s="567" t="s">
        <v>1588</v>
      </c>
      <c r="K998" s="961" t="s">
        <v>1568</v>
      </c>
      <c r="L998" s="555" t="str">
        <f t="shared" ca="1" si="164"/>
        <v/>
      </c>
      <c r="M998" s="494" t="s">
        <v>1569</v>
      </c>
      <c r="N998" s="555" t="str">
        <f t="shared" ca="1" si="165"/>
        <v/>
      </c>
      <c r="O998" s="494" t="s">
        <v>1570</v>
      </c>
      <c r="P998" s="555" t="str">
        <f t="shared" ca="1" si="166"/>
        <v/>
      </c>
      <c r="Q998" s="494" t="s">
        <v>1589</v>
      </c>
      <c r="R998" s="494" t="str">
        <f t="shared" si="172"/>
        <v>I998</v>
      </c>
      <c r="S998" s="494" t="s">
        <v>1590</v>
      </c>
      <c r="T998" s="494">
        <v>6</v>
      </c>
      <c r="U998" s="556" t="str">
        <f t="shared" ca="1" si="162"/>
        <v/>
      </c>
      <c r="V998" s="494">
        <v>7</v>
      </c>
      <c r="W998" s="556" t="str">
        <f t="shared" ca="1" si="163"/>
        <v/>
      </c>
      <c r="X998" s="494" t="s">
        <v>1591</v>
      </c>
      <c r="Y998" s="547" t="str">
        <f t="shared" ca="1" si="167"/>
        <v/>
      </c>
      <c r="Z998" s="494" t="s">
        <v>1592</v>
      </c>
      <c r="AA998" s="547" t="str">
        <f t="shared" ca="1" si="168"/>
        <v/>
      </c>
      <c r="AB998" s="494" t="s">
        <v>1593</v>
      </c>
      <c r="AC998" s="547" t="str">
        <f t="shared" ca="1" si="169"/>
        <v/>
      </c>
      <c r="AD998" s="557"/>
      <c r="AE998" s="958"/>
    </row>
    <row r="999" spans="1:31" ht="15" customHeight="1">
      <c r="A999" s="957" t="str">
        <f t="shared" ca="1" si="170"/>
        <v>31/32</v>
      </c>
      <c r="B999" s="566" t="s">
        <v>167</v>
      </c>
      <c r="C999" s="567" t="str">
        <f t="shared" ca="1" si="171"/>
        <v>Green Star - Industrial</v>
      </c>
      <c r="D999" s="958">
        <v>1</v>
      </c>
      <c r="E999" s="959" t="s">
        <v>335</v>
      </c>
      <c r="F999" s="558" t="s">
        <v>1455</v>
      </c>
      <c r="G999" s="558">
        <v>130</v>
      </c>
      <c r="H999" s="558" t="s">
        <v>1153</v>
      </c>
      <c r="I999" s="559" t="s">
        <v>336</v>
      </c>
      <c r="J999" s="567" t="s">
        <v>1588</v>
      </c>
      <c r="K999" s="961" t="s">
        <v>1568</v>
      </c>
      <c r="L999" s="555" t="str">
        <f t="shared" ca="1" si="164"/>
        <v/>
      </c>
      <c r="M999" s="494" t="s">
        <v>1569</v>
      </c>
      <c r="N999" s="555" t="str">
        <f t="shared" ca="1" si="165"/>
        <v/>
      </c>
      <c r="O999" s="494" t="s">
        <v>1570</v>
      </c>
      <c r="P999" s="555" t="str">
        <f t="shared" ca="1" si="166"/>
        <v/>
      </c>
      <c r="Q999" s="494" t="s">
        <v>1589</v>
      </c>
      <c r="R999" s="494" t="str">
        <f t="shared" si="172"/>
        <v>I999</v>
      </c>
      <c r="S999" s="494" t="s">
        <v>1590</v>
      </c>
      <c r="T999" s="494">
        <v>6</v>
      </c>
      <c r="U999" s="556" t="str">
        <f t="shared" ca="1" si="162"/>
        <v/>
      </c>
      <c r="V999" s="494">
        <v>7</v>
      </c>
      <c r="W999" s="556" t="str">
        <f t="shared" ca="1" si="163"/>
        <v/>
      </c>
      <c r="X999" s="494" t="s">
        <v>1591</v>
      </c>
      <c r="Y999" s="547" t="str">
        <f t="shared" ca="1" si="167"/>
        <v/>
      </c>
      <c r="Z999" s="494" t="s">
        <v>1592</v>
      </c>
      <c r="AA999" s="547" t="str">
        <f t="shared" ca="1" si="168"/>
        <v/>
      </c>
      <c r="AB999" s="494" t="s">
        <v>1593</v>
      </c>
      <c r="AC999" s="547" t="str">
        <f t="shared" ca="1" si="169"/>
        <v/>
      </c>
      <c r="AD999" s="557"/>
      <c r="AE999" s="958"/>
    </row>
    <row r="1000" spans="1:31" ht="15" customHeight="1">
      <c r="A1000" s="957" t="str">
        <f t="shared" ca="1" si="170"/>
        <v>31/32</v>
      </c>
      <c r="B1000" s="566" t="s">
        <v>167</v>
      </c>
      <c r="C1000" s="567" t="str">
        <f t="shared" ca="1" si="171"/>
        <v>Green Star - Industrial</v>
      </c>
      <c r="D1000" s="958">
        <v>1</v>
      </c>
      <c r="E1000" s="959" t="s">
        <v>335</v>
      </c>
      <c r="F1000" s="558" t="s">
        <v>1455</v>
      </c>
      <c r="G1000" s="558">
        <v>45</v>
      </c>
      <c r="H1000" s="558" t="s">
        <v>1156</v>
      </c>
      <c r="I1000" s="559" t="s">
        <v>1157</v>
      </c>
      <c r="J1000" s="567" t="s">
        <v>1588</v>
      </c>
      <c r="K1000" s="961" t="s">
        <v>1568</v>
      </c>
      <c r="L1000" s="555" t="str">
        <f t="shared" ca="1" si="164"/>
        <v/>
      </c>
      <c r="M1000" s="494" t="s">
        <v>1569</v>
      </c>
      <c r="N1000" s="555" t="str">
        <f t="shared" ca="1" si="165"/>
        <v/>
      </c>
      <c r="O1000" s="494" t="s">
        <v>1570</v>
      </c>
      <c r="P1000" s="555" t="str">
        <f t="shared" ca="1" si="166"/>
        <v/>
      </c>
      <c r="Q1000" s="494" t="s">
        <v>1589</v>
      </c>
      <c r="R1000" s="494" t="str">
        <f t="shared" si="172"/>
        <v>I1000</v>
      </c>
      <c r="S1000" s="494" t="s">
        <v>1590</v>
      </c>
      <c r="T1000" s="494">
        <v>6</v>
      </c>
      <c r="U1000" s="556" t="str">
        <f t="shared" ca="1" si="162"/>
        <v/>
      </c>
      <c r="V1000" s="494">
        <v>7</v>
      </c>
      <c r="W1000" s="556" t="str">
        <f t="shared" ca="1" si="163"/>
        <v/>
      </c>
      <c r="X1000" s="494" t="s">
        <v>1591</v>
      </c>
      <c r="Y1000" s="547" t="str">
        <f t="shared" ca="1" si="167"/>
        <v/>
      </c>
      <c r="Z1000" s="494" t="s">
        <v>1592</v>
      </c>
      <c r="AA1000" s="547" t="str">
        <f t="shared" ca="1" si="168"/>
        <v/>
      </c>
      <c r="AB1000" s="494" t="s">
        <v>1593</v>
      </c>
      <c r="AC1000" s="547" t="str">
        <f t="shared" ca="1" si="169"/>
        <v/>
      </c>
      <c r="AD1000" s="557"/>
      <c r="AE1000" s="958"/>
    </row>
    <row r="1001" spans="1:31" ht="15" customHeight="1">
      <c r="A1001" s="957" t="str">
        <f t="shared" ca="1" si="170"/>
        <v>31/32</v>
      </c>
      <c r="B1001" s="566" t="s">
        <v>167</v>
      </c>
      <c r="C1001" s="567" t="str">
        <f t="shared" ca="1" si="171"/>
        <v>Green Star - Industrial</v>
      </c>
      <c r="D1001" s="958">
        <v>1</v>
      </c>
      <c r="E1001" s="959" t="s">
        <v>345</v>
      </c>
      <c r="F1001" s="558" t="s">
        <v>1484</v>
      </c>
      <c r="G1001" s="558">
        <v>50</v>
      </c>
      <c r="H1001" s="558" t="s">
        <v>1164</v>
      </c>
      <c r="I1001" s="559" t="s">
        <v>1165</v>
      </c>
      <c r="J1001" s="567" t="s">
        <v>1588</v>
      </c>
      <c r="K1001" s="961" t="s">
        <v>1568</v>
      </c>
      <c r="L1001" s="555" t="str">
        <f t="shared" ca="1" si="164"/>
        <v/>
      </c>
      <c r="M1001" s="494" t="s">
        <v>1569</v>
      </c>
      <c r="N1001" s="555" t="str">
        <f t="shared" ca="1" si="165"/>
        <v/>
      </c>
      <c r="O1001" s="494" t="s">
        <v>1570</v>
      </c>
      <c r="P1001" s="555" t="str">
        <f t="shared" ca="1" si="166"/>
        <v/>
      </c>
      <c r="Q1001" s="494" t="s">
        <v>1589</v>
      </c>
      <c r="R1001" s="494" t="str">
        <f t="shared" si="172"/>
        <v>I1001</v>
      </c>
      <c r="S1001" s="494" t="s">
        <v>1590</v>
      </c>
      <c r="T1001" s="494">
        <v>6</v>
      </c>
      <c r="U1001" s="556" t="str">
        <f t="shared" ca="1" si="162"/>
        <v/>
      </c>
      <c r="V1001" s="494">
        <v>7</v>
      </c>
      <c r="W1001" s="556" t="str">
        <f t="shared" ca="1" si="163"/>
        <v/>
      </c>
      <c r="X1001" s="494" t="s">
        <v>1591</v>
      </c>
      <c r="Y1001" s="547" t="str">
        <f t="shared" ca="1" si="167"/>
        <v/>
      </c>
      <c r="Z1001" s="494" t="s">
        <v>1592</v>
      </c>
      <c r="AA1001" s="547" t="str">
        <f t="shared" ca="1" si="168"/>
        <v/>
      </c>
      <c r="AB1001" s="494" t="s">
        <v>1593</v>
      </c>
      <c r="AC1001" s="547" t="str">
        <f t="shared" ca="1" si="169"/>
        <v/>
      </c>
      <c r="AD1001" s="557"/>
      <c r="AE1001" s="958"/>
    </row>
    <row r="1002" spans="1:31" ht="15" customHeight="1">
      <c r="A1002" s="957" t="str">
        <f t="shared" ca="1" si="170"/>
        <v>31/32</v>
      </c>
      <c r="B1002" s="566" t="s">
        <v>167</v>
      </c>
      <c r="C1002" s="567" t="str">
        <f t="shared" ca="1" si="171"/>
        <v>Green Star - Industrial</v>
      </c>
      <c r="D1002" s="958">
        <v>1</v>
      </c>
      <c r="E1002" s="959" t="s">
        <v>345</v>
      </c>
      <c r="F1002" s="558" t="s">
        <v>1484</v>
      </c>
      <c r="G1002" s="558">
        <v>138</v>
      </c>
      <c r="H1002" s="558" t="s">
        <v>1166</v>
      </c>
      <c r="I1002" s="559" t="s">
        <v>1167</v>
      </c>
      <c r="J1002" s="567" t="s">
        <v>1588</v>
      </c>
      <c r="K1002" s="961" t="s">
        <v>1568</v>
      </c>
      <c r="L1002" s="555" t="str">
        <f t="shared" ca="1" si="164"/>
        <v/>
      </c>
      <c r="M1002" s="494" t="s">
        <v>1569</v>
      </c>
      <c r="N1002" s="555" t="str">
        <f t="shared" ca="1" si="165"/>
        <v/>
      </c>
      <c r="O1002" s="494" t="s">
        <v>1570</v>
      </c>
      <c r="P1002" s="555" t="str">
        <f t="shared" ca="1" si="166"/>
        <v/>
      </c>
      <c r="Q1002" s="494" t="s">
        <v>1589</v>
      </c>
      <c r="R1002" s="494" t="str">
        <f t="shared" si="172"/>
        <v>I1002</v>
      </c>
      <c r="S1002" s="494" t="s">
        <v>1590</v>
      </c>
      <c r="T1002" s="494">
        <v>6</v>
      </c>
      <c r="U1002" s="556" t="str">
        <f t="shared" ca="1" si="162"/>
        <v/>
      </c>
      <c r="V1002" s="494">
        <v>7</v>
      </c>
      <c r="W1002" s="556" t="str">
        <f t="shared" ca="1" si="163"/>
        <v/>
      </c>
      <c r="X1002" s="494" t="s">
        <v>1591</v>
      </c>
      <c r="Y1002" s="547" t="str">
        <f t="shared" ca="1" si="167"/>
        <v/>
      </c>
      <c r="Z1002" s="494" t="s">
        <v>1592</v>
      </c>
      <c r="AA1002" s="547" t="str">
        <f t="shared" ca="1" si="168"/>
        <v/>
      </c>
      <c r="AB1002" s="494" t="s">
        <v>1593</v>
      </c>
      <c r="AC1002" s="547" t="str">
        <f t="shared" ca="1" si="169"/>
        <v/>
      </c>
      <c r="AD1002" s="557"/>
      <c r="AE1002" s="958"/>
    </row>
    <row r="1003" spans="1:31" ht="15" customHeight="1">
      <c r="A1003" s="957" t="str">
        <f t="shared" ca="1" si="170"/>
        <v>31/32</v>
      </c>
      <c r="B1003" s="566" t="s">
        <v>167</v>
      </c>
      <c r="C1003" s="567" t="str">
        <f t="shared" ca="1" si="171"/>
        <v>Green Star - Industrial</v>
      </c>
      <c r="D1003" s="958">
        <v>1</v>
      </c>
      <c r="E1003" s="959" t="s">
        <v>345</v>
      </c>
      <c r="F1003" s="558" t="s">
        <v>1484</v>
      </c>
      <c r="G1003" s="558">
        <v>53</v>
      </c>
      <c r="H1003" s="558" t="s">
        <v>1168</v>
      </c>
      <c r="I1003" s="559" t="s">
        <v>1169</v>
      </c>
      <c r="J1003" s="567" t="s">
        <v>1588</v>
      </c>
      <c r="K1003" s="961" t="s">
        <v>1568</v>
      </c>
      <c r="L1003" s="555" t="str">
        <f t="shared" ca="1" si="164"/>
        <v/>
      </c>
      <c r="M1003" s="494" t="s">
        <v>1569</v>
      </c>
      <c r="N1003" s="555" t="str">
        <f t="shared" ca="1" si="165"/>
        <v/>
      </c>
      <c r="O1003" s="494" t="s">
        <v>1570</v>
      </c>
      <c r="P1003" s="555" t="str">
        <f t="shared" ca="1" si="166"/>
        <v/>
      </c>
      <c r="Q1003" s="494" t="s">
        <v>1589</v>
      </c>
      <c r="R1003" s="494" t="str">
        <f t="shared" si="172"/>
        <v>I1003</v>
      </c>
      <c r="S1003" s="494" t="s">
        <v>1590</v>
      </c>
      <c r="T1003" s="494">
        <v>6</v>
      </c>
      <c r="U1003" s="556" t="str">
        <f t="shared" ca="1" si="162"/>
        <v/>
      </c>
      <c r="V1003" s="494">
        <v>7</v>
      </c>
      <c r="W1003" s="556" t="str">
        <f t="shared" ca="1" si="163"/>
        <v/>
      </c>
      <c r="X1003" s="494" t="s">
        <v>1591</v>
      </c>
      <c r="Y1003" s="547" t="str">
        <f t="shared" ca="1" si="167"/>
        <v/>
      </c>
      <c r="Z1003" s="494" t="s">
        <v>1592</v>
      </c>
      <c r="AA1003" s="547" t="str">
        <f t="shared" ca="1" si="168"/>
        <v/>
      </c>
      <c r="AB1003" s="494" t="s">
        <v>1593</v>
      </c>
      <c r="AC1003" s="547" t="str">
        <f t="shared" ca="1" si="169"/>
        <v/>
      </c>
      <c r="AD1003" s="557"/>
      <c r="AE1003" s="958"/>
    </row>
    <row r="1004" spans="1:31" ht="15" customHeight="1">
      <c r="A1004" s="957" t="str">
        <f t="shared" ca="1" si="170"/>
        <v>31/32</v>
      </c>
      <c r="B1004" s="566" t="s">
        <v>167</v>
      </c>
      <c r="C1004" s="567" t="str">
        <f t="shared" ca="1" si="171"/>
        <v>Green Star - Industrial</v>
      </c>
      <c r="D1004" s="958">
        <v>1</v>
      </c>
      <c r="E1004" s="959" t="s">
        <v>345</v>
      </c>
      <c r="F1004" s="558" t="s">
        <v>1484</v>
      </c>
      <c r="G1004" s="558">
        <v>139</v>
      </c>
      <c r="H1004" s="558" t="s">
        <v>1172</v>
      </c>
      <c r="I1004" s="559" t="s">
        <v>985</v>
      </c>
      <c r="J1004" s="567" t="s">
        <v>1588</v>
      </c>
      <c r="K1004" s="961" t="s">
        <v>1568</v>
      </c>
      <c r="L1004" s="555" t="str">
        <f t="shared" ca="1" si="164"/>
        <v/>
      </c>
      <c r="M1004" s="494" t="s">
        <v>1569</v>
      </c>
      <c r="N1004" s="555" t="str">
        <f t="shared" ca="1" si="165"/>
        <v/>
      </c>
      <c r="O1004" s="494" t="s">
        <v>1570</v>
      </c>
      <c r="P1004" s="555" t="str">
        <f t="shared" ca="1" si="166"/>
        <v/>
      </c>
      <c r="Q1004" s="494" t="s">
        <v>1589</v>
      </c>
      <c r="R1004" s="494" t="str">
        <f t="shared" si="172"/>
        <v>I1004</v>
      </c>
      <c r="S1004" s="494" t="s">
        <v>1590</v>
      </c>
      <c r="T1004" s="494">
        <v>6</v>
      </c>
      <c r="U1004" s="556" t="str">
        <f t="shared" ca="1" si="162"/>
        <v/>
      </c>
      <c r="V1004" s="494">
        <v>7</v>
      </c>
      <c r="W1004" s="556" t="str">
        <f t="shared" ca="1" si="163"/>
        <v/>
      </c>
      <c r="X1004" s="494" t="s">
        <v>1591</v>
      </c>
      <c r="Y1004" s="547" t="str">
        <f t="shared" ca="1" si="167"/>
        <v/>
      </c>
      <c r="Z1004" s="494" t="s">
        <v>1592</v>
      </c>
      <c r="AA1004" s="547" t="str">
        <f t="shared" ca="1" si="168"/>
        <v/>
      </c>
      <c r="AB1004" s="494" t="s">
        <v>1593</v>
      </c>
      <c r="AC1004" s="547" t="str">
        <f t="shared" ca="1" si="169"/>
        <v/>
      </c>
      <c r="AD1004" s="557"/>
      <c r="AE1004" s="958"/>
    </row>
    <row r="1005" spans="1:31" ht="15" customHeight="1">
      <c r="A1005" s="957" t="str">
        <f t="shared" ca="1" si="170"/>
        <v>31/32</v>
      </c>
      <c r="B1005" s="566" t="s">
        <v>167</v>
      </c>
      <c r="C1005" s="567" t="str">
        <f t="shared" ca="1" si="171"/>
        <v>Green Star - Industrial</v>
      </c>
      <c r="D1005" s="958">
        <v>1</v>
      </c>
      <c r="E1005" s="959" t="s">
        <v>345</v>
      </c>
      <c r="F1005" s="558" t="s">
        <v>1484</v>
      </c>
      <c r="G1005" s="558">
        <v>161</v>
      </c>
      <c r="H1005" s="558" t="s">
        <v>1341</v>
      </c>
      <c r="I1005" s="559" t="s">
        <v>1286</v>
      </c>
      <c r="J1005" s="567" t="s">
        <v>1588</v>
      </c>
      <c r="K1005" s="961" t="s">
        <v>1568</v>
      </c>
      <c r="L1005" s="555" t="str">
        <f t="shared" ca="1" si="164"/>
        <v/>
      </c>
      <c r="M1005" s="494" t="s">
        <v>1569</v>
      </c>
      <c r="N1005" s="555" t="str">
        <f t="shared" ca="1" si="165"/>
        <v/>
      </c>
      <c r="O1005" s="494" t="s">
        <v>1570</v>
      </c>
      <c r="P1005" s="555" t="str">
        <f t="shared" ca="1" si="166"/>
        <v/>
      </c>
      <c r="Q1005" s="494" t="s">
        <v>1589</v>
      </c>
      <c r="R1005" s="494" t="str">
        <f t="shared" si="172"/>
        <v>I1005</v>
      </c>
      <c r="S1005" s="494" t="s">
        <v>1590</v>
      </c>
      <c r="T1005" s="494">
        <v>6</v>
      </c>
      <c r="U1005" s="556" t="str">
        <f t="shared" ca="1" si="162"/>
        <v/>
      </c>
      <c r="V1005" s="494">
        <v>7</v>
      </c>
      <c r="W1005" s="556" t="str">
        <f t="shared" ca="1" si="163"/>
        <v/>
      </c>
      <c r="X1005" s="494" t="s">
        <v>1591</v>
      </c>
      <c r="Y1005" s="547" t="str">
        <f t="shared" ca="1" si="167"/>
        <v/>
      </c>
      <c r="Z1005" s="494" t="s">
        <v>1592</v>
      </c>
      <c r="AA1005" s="547" t="str">
        <f t="shared" ca="1" si="168"/>
        <v/>
      </c>
      <c r="AB1005" s="494" t="s">
        <v>1593</v>
      </c>
      <c r="AC1005" s="547" t="str">
        <f t="shared" ca="1" si="169"/>
        <v/>
      </c>
      <c r="AD1005" s="557"/>
      <c r="AE1005" s="958"/>
    </row>
    <row r="1006" spans="1:31" ht="15" customHeight="1">
      <c r="A1006" s="957" t="str">
        <f t="shared" ca="1" si="170"/>
        <v>31/32</v>
      </c>
      <c r="B1006" s="566" t="s">
        <v>167</v>
      </c>
      <c r="C1006" s="567" t="str">
        <f t="shared" ca="1" si="171"/>
        <v>Green Star - Industrial</v>
      </c>
      <c r="D1006" s="958">
        <v>1</v>
      </c>
      <c r="E1006" s="959" t="s">
        <v>353</v>
      </c>
      <c r="F1006" s="558" t="s">
        <v>1486</v>
      </c>
      <c r="G1006" s="558">
        <v>140</v>
      </c>
      <c r="H1006" s="558" t="s">
        <v>1175</v>
      </c>
      <c r="I1006" s="559" t="s">
        <v>1176</v>
      </c>
      <c r="J1006" s="567" t="s">
        <v>1588</v>
      </c>
      <c r="K1006" s="961" t="s">
        <v>1568</v>
      </c>
      <c r="L1006" s="555" t="str">
        <f t="shared" ca="1" si="164"/>
        <v/>
      </c>
      <c r="M1006" s="494" t="s">
        <v>1569</v>
      </c>
      <c r="N1006" s="555" t="str">
        <f t="shared" ca="1" si="165"/>
        <v/>
      </c>
      <c r="O1006" s="494" t="s">
        <v>1570</v>
      </c>
      <c r="P1006" s="555" t="str">
        <f t="shared" ca="1" si="166"/>
        <v/>
      </c>
      <c r="Q1006" s="494" t="s">
        <v>1589</v>
      </c>
      <c r="R1006" s="494" t="str">
        <f t="shared" si="172"/>
        <v>I1006</v>
      </c>
      <c r="S1006" s="494" t="s">
        <v>1590</v>
      </c>
      <c r="T1006" s="494">
        <v>6</v>
      </c>
      <c r="U1006" s="556" t="str">
        <f t="shared" ca="1" si="162"/>
        <v/>
      </c>
      <c r="V1006" s="494">
        <v>7</v>
      </c>
      <c r="W1006" s="556" t="str">
        <f t="shared" ca="1" si="163"/>
        <v/>
      </c>
      <c r="X1006" s="494" t="s">
        <v>1591</v>
      </c>
      <c r="Y1006" s="547" t="str">
        <f t="shared" ca="1" si="167"/>
        <v/>
      </c>
      <c r="Z1006" s="494" t="s">
        <v>1592</v>
      </c>
      <c r="AA1006" s="547" t="str">
        <f t="shared" ca="1" si="168"/>
        <v/>
      </c>
      <c r="AB1006" s="494" t="s">
        <v>1593</v>
      </c>
      <c r="AC1006" s="547" t="str">
        <f t="shared" ca="1" si="169"/>
        <v/>
      </c>
      <c r="AD1006" s="557"/>
      <c r="AE1006" s="958"/>
    </row>
    <row r="1007" spans="1:31" ht="15" customHeight="1">
      <c r="A1007" s="957" t="str">
        <f t="shared" ca="1" si="170"/>
        <v>31/32</v>
      </c>
      <c r="B1007" s="566" t="s">
        <v>167</v>
      </c>
      <c r="C1007" s="567" t="str">
        <f t="shared" ca="1" si="171"/>
        <v>Green Star - Industrial</v>
      </c>
      <c r="D1007" s="958">
        <v>1</v>
      </c>
      <c r="E1007" s="959" t="s">
        <v>353</v>
      </c>
      <c r="F1007" s="558" t="s">
        <v>1486</v>
      </c>
      <c r="G1007" s="558">
        <v>141</v>
      </c>
      <c r="H1007" s="558" t="s">
        <v>1179</v>
      </c>
      <c r="I1007" s="559" t="s">
        <v>364</v>
      </c>
      <c r="J1007" s="567" t="s">
        <v>1588</v>
      </c>
      <c r="K1007" s="961" t="s">
        <v>1568</v>
      </c>
      <c r="L1007" s="555" t="str">
        <f t="shared" ca="1" si="164"/>
        <v/>
      </c>
      <c r="M1007" s="494" t="s">
        <v>1569</v>
      </c>
      <c r="N1007" s="555" t="str">
        <f t="shared" ca="1" si="165"/>
        <v/>
      </c>
      <c r="O1007" s="494" t="s">
        <v>1570</v>
      </c>
      <c r="P1007" s="555" t="str">
        <f t="shared" ca="1" si="166"/>
        <v/>
      </c>
      <c r="Q1007" s="494" t="s">
        <v>1589</v>
      </c>
      <c r="R1007" s="494" t="str">
        <f t="shared" si="172"/>
        <v>I1007</v>
      </c>
      <c r="S1007" s="494" t="s">
        <v>1590</v>
      </c>
      <c r="T1007" s="494">
        <v>6</v>
      </c>
      <c r="U1007" s="556" t="str">
        <f t="shared" ca="1" si="162"/>
        <v/>
      </c>
      <c r="V1007" s="494">
        <v>7</v>
      </c>
      <c r="W1007" s="556" t="str">
        <f t="shared" ca="1" si="163"/>
        <v/>
      </c>
      <c r="X1007" s="494" t="s">
        <v>1591</v>
      </c>
      <c r="Y1007" s="547" t="str">
        <f t="shared" ca="1" si="167"/>
        <v/>
      </c>
      <c r="Z1007" s="494" t="s">
        <v>1592</v>
      </c>
      <c r="AA1007" s="547" t="str">
        <f t="shared" ca="1" si="168"/>
        <v/>
      </c>
      <c r="AB1007" s="494" t="s">
        <v>1593</v>
      </c>
      <c r="AC1007" s="547" t="str">
        <f t="shared" ca="1" si="169"/>
        <v/>
      </c>
      <c r="AD1007" s="557"/>
      <c r="AE1007" s="958"/>
    </row>
    <row r="1008" spans="1:31" ht="15" customHeight="1">
      <c r="A1008" s="957" t="str">
        <f t="shared" ca="1" si="170"/>
        <v>31/32</v>
      </c>
      <c r="B1008" s="566" t="s">
        <v>167</v>
      </c>
      <c r="C1008" s="567" t="str">
        <f t="shared" ca="1" si="171"/>
        <v>Green Star - Industrial</v>
      </c>
      <c r="D1008" s="958">
        <v>1</v>
      </c>
      <c r="E1008" s="959" t="s">
        <v>353</v>
      </c>
      <c r="F1008" s="558" t="s">
        <v>1486</v>
      </c>
      <c r="G1008" s="558">
        <v>142</v>
      </c>
      <c r="H1008" s="558" t="s">
        <v>1180</v>
      </c>
      <c r="I1008" s="559" t="s">
        <v>1181</v>
      </c>
      <c r="J1008" s="567" t="s">
        <v>1588</v>
      </c>
      <c r="K1008" s="961" t="s">
        <v>1568</v>
      </c>
      <c r="L1008" s="555" t="str">
        <f t="shared" ca="1" si="164"/>
        <v/>
      </c>
      <c r="M1008" s="494" t="s">
        <v>1569</v>
      </c>
      <c r="N1008" s="555" t="str">
        <f t="shared" ca="1" si="165"/>
        <v/>
      </c>
      <c r="O1008" s="494" t="s">
        <v>1570</v>
      </c>
      <c r="P1008" s="555" t="str">
        <f t="shared" ca="1" si="166"/>
        <v/>
      </c>
      <c r="Q1008" s="494" t="s">
        <v>1589</v>
      </c>
      <c r="R1008" s="494" t="str">
        <f t="shared" si="172"/>
        <v>I1008</v>
      </c>
      <c r="S1008" s="494" t="s">
        <v>1590</v>
      </c>
      <c r="T1008" s="494">
        <v>6</v>
      </c>
      <c r="U1008" s="556" t="str">
        <f t="shared" ca="1" si="162"/>
        <v/>
      </c>
      <c r="V1008" s="494">
        <v>7</v>
      </c>
      <c r="W1008" s="556" t="str">
        <f t="shared" ca="1" si="163"/>
        <v/>
      </c>
      <c r="X1008" s="494" t="s">
        <v>1591</v>
      </c>
      <c r="Y1008" s="547" t="str">
        <f t="shared" ca="1" si="167"/>
        <v/>
      </c>
      <c r="Z1008" s="494" t="s">
        <v>1592</v>
      </c>
      <c r="AA1008" s="547" t="str">
        <f t="shared" ca="1" si="168"/>
        <v/>
      </c>
      <c r="AB1008" s="494" t="s">
        <v>1593</v>
      </c>
      <c r="AC1008" s="547" t="str">
        <f t="shared" ca="1" si="169"/>
        <v/>
      </c>
      <c r="AD1008" s="557"/>
      <c r="AE1008" s="958"/>
    </row>
    <row r="1009" spans="1:31" ht="15" customHeight="1">
      <c r="A1009" s="957" t="str">
        <f t="shared" ca="1" si="170"/>
        <v>31/32</v>
      </c>
      <c r="B1009" s="566" t="s">
        <v>167</v>
      </c>
      <c r="C1009" s="567" t="str">
        <f t="shared" ca="1" si="171"/>
        <v>Green Star - Industrial</v>
      </c>
      <c r="D1009" s="958">
        <v>1</v>
      </c>
      <c r="E1009" s="959" t="s">
        <v>353</v>
      </c>
      <c r="F1009" s="558" t="s">
        <v>1486</v>
      </c>
      <c r="G1009" s="558">
        <v>213</v>
      </c>
      <c r="H1009" s="558" t="s">
        <v>1182</v>
      </c>
      <c r="I1009" s="559" t="s">
        <v>1287</v>
      </c>
      <c r="J1009" s="567" t="s">
        <v>1588</v>
      </c>
      <c r="K1009" s="961" t="s">
        <v>1568</v>
      </c>
      <c r="L1009" s="555" t="str">
        <f t="shared" ca="1" si="164"/>
        <v/>
      </c>
      <c r="M1009" s="494" t="s">
        <v>1569</v>
      </c>
      <c r="N1009" s="555" t="str">
        <f t="shared" ca="1" si="165"/>
        <v/>
      </c>
      <c r="O1009" s="494" t="s">
        <v>1570</v>
      </c>
      <c r="P1009" s="555" t="str">
        <f t="shared" ca="1" si="166"/>
        <v/>
      </c>
      <c r="Q1009" s="494" t="s">
        <v>1589</v>
      </c>
      <c r="R1009" s="494" t="str">
        <f t="shared" si="172"/>
        <v>I1009</v>
      </c>
      <c r="S1009" s="494" t="s">
        <v>1590</v>
      </c>
      <c r="T1009" s="494">
        <v>6</v>
      </c>
      <c r="U1009" s="556" t="str">
        <f t="shared" ca="1" si="162"/>
        <v/>
      </c>
      <c r="V1009" s="494">
        <v>7</v>
      </c>
      <c r="W1009" s="556" t="str">
        <f t="shared" ca="1" si="163"/>
        <v/>
      </c>
      <c r="X1009" s="494" t="s">
        <v>1591</v>
      </c>
      <c r="Y1009" s="547" t="str">
        <f t="shared" ca="1" si="167"/>
        <v/>
      </c>
      <c r="Z1009" s="494" t="s">
        <v>1592</v>
      </c>
      <c r="AA1009" s="547" t="str">
        <f t="shared" ca="1" si="168"/>
        <v/>
      </c>
      <c r="AB1009" s="494" t="s">
        <v>1593</v>
      </c>
      <c r="AC1009" s="547" t="str">
        <f t="shared" ca="1" si="169"/>
        <v/>
      </c>
      <c r="AD1009" s="557"/>
      <c r="AE1009" s="958"/>
    </row>
    <row r="1010" spans="1:31" ht="15" customHeight="1">
      <c r="A1010" s="957" t="str">
        <f t="shared" ca="1" si="170"/>
        <v>31/32</v>
      </c>
      <c r="B1010" s="566" t="s">
        <v>167</v>
      </c>
      <c r="C1010" s="567" t="str">
        <f t="shared" ca="1" si="171"/>
        <v>Green Star - Industrial</v>
      </c>
      <c r="D1010" s="958">
        <v>1</v>
      </c>
      <c r="E1010" s="959" t="s">
        <v>367</v>
      </c>
      <c r="F1010" s="558" t="s">
        <v>1488</v>
      </c>
      <c r="G1010" s="558">
        <v>46</v>
      </c>
      <c r="H1010" s="558" t="s">
        <v>1186</v>
      </c>
      <c r="I1010" s="559" t="s">
        <v>1187</v>
      </c>
      <c r="J1010" s="567" t="s">
        <v>1588</v>
      </c>
      <c r="K1010" s="961" t="s">
        <v>1568</v>
      </c>
      <c r="L1010" s="555" t="str">
        <f t="shared" ca="1" si="164"/>
        <v/>
      </c>
      <c r="M1010" s="494" t="s">
        <v>1569</v>
      </c>
      <c r="N1010" s="555" t="str">
        <f t="shared" ca="1" si="165"/>
        <v/>
      </c>
      <c r="O1010" s="494" t="s">
        <v>1570</v>
      </c>
      <c r="P1010" s="555" t="str">
        <f t="shared" ca="1" si="166"/>
        <v/>
      </c>
      <c r="Q1010" s="494" t="s">
        <v>1589</v>
      </c>
      <c r="R1010" s="494" t="str">
        <f t="shared" si="172"/>
        <v>I1010</v>
      </c>
      <c r="S1010" s="494" t="s">
        <v>1590</v>
      </c>
      <c r="T1010" s="494">
        <v>6</v>
      </c>
      <c r="U1010" s="556" t="str">
        <f t="shared" ca="1" si="162"/>
        <v/>
      </c>
      <c r="V1010" s="494">
        <v>7</v>
      </c>
      <c r="W1010" s="556" t="str">
        <f t="shared" ca="1" si="163"/>
        <v/>
      </c>
      <c r="X1010" s="494" t="s">
        <v>1591</v>
      </c>
      <c r="Y1010" s="547" t="str">
        <f t="shared" ca="1" si="167"/>
        <v/>
      </c>
      <c r="Z1010" s="494" t="s">
        <v>1592</v>
      </c>
      <c r="AA1010" s="547" t="str">
        <f t="shared" ca="1" si="168"/>
        <v/>
      </c>
      <c r="AB1010" s="494" t="s">
        <v>1593</v>
      </c>
      <c r="AC1010" s="547" t="str">
        <f t="shared" ca="1" si="169"/>
        <v/>
      </c>
      <c r="AD1010" s="557"/>
      <c r="AE1010" s="958"/>
    </row>
    <row r="1011" spans="1:31" ht="15" customHeight="1">
      <c r="A1011" s="957" t="str">
        <f t="shared" ca="1" si="170"/>
        <v>31/32</v>
      </c>
      <c r="B1011" s="566" t="s">
        <v>167</v>
      </c>
      <c r="C1011" s="567" t="str">
        <f t="shared" ca="1" si="171"/>
        <v>Green Star - Industrial</v>
      </c>
      <c r="D1011" s="958">
        <v>1</v>
      </c>
      <c r="E1011" s="959" t="s">
        <v>367</v>
      </c>
      <c r="F1011" s="558" t="s">
        <v>1488</v>
      </c>
      <c r="G1011" s="558">
        <v>143</v>
      </c>
      <c r="H1011" s="558" t="s">
        <v>1188</v>
      </c>
      <c r="I1011" s="559" t="s">
        <v>1189</v>
      </c>
      <c r="J1011" s="567" t="s">
        <v>1588</v>
      </c>
      <c r="K1011" s="961" t="s">
        <v>1568</v>
      </c>
      <c r="L1011" s="555" t="str">
        <f t="shared" ca="1" si="164"/>
        <v/>
      </c>
      <c r="M1011" s="494" t="s">
        <v>1569</v>
      </c>
      <c r="N1011" s="555" t="str">
        <f t="shared" ca="1" si="165"/>
        <v/>
      </c>
      <c r="O1011" s="494" t="s">
        <v>1570</v>
      </c>
      <c r="P1011" s="555" t="str">
        <f t="shared" ca="1" si="166"/>
        <v/>
      </c>
      <c r="Q1011" s="494" t="s">
        <v>1589</v>
      </c>
      <c r="R1011" s="494" t="str">
        <f t="shared" si="172"/>
        <v>I1011</v>
      </c>
      <c r="S1011" s="494" t="s">
        <v>1594</v>
      </c>
      <c r="T1011" s="494">
        <v>6</v>
      </c>
      <c r="U1011" s="556" t="str">
        <f t="shared" ca="1" si="162"/>
        <v/>
      </c>
      <c r="V1011" s="494">
        <v>7</v>
      </c>
      <c r="W1011" s="556" t="str">
        <f t="shared" ca="1" si="163"/>
        <v/>
      </c>
      <c r="X1011" s="494" t="s">
        <v>1591</v>
      </c>
      <c r="Y1011" s="547" t="str">
        <f t="shared" ca="1" si="167"/>
        <v/>
      </c>
      <c r="Z1011" s="494" t="s">
        <v>1592</v>
      </c>
      <c r="AA1011" s="547" t="str">
        <f t="shared" ca="1" si="168"/>
        <v/>
      </c>
      <c r="AB1011" s="494" t="s">
        <v>1593</v>
      </c>
      <c r="AC1011" s="547" t="str">
        <f t="shared" ca="1" si="169"/>
        <v/>
      </c>
      <c r="AD1011" s="557"/>
      <c r="AE1011" s="958"/>
    </row>
    <row r="1012" spans="1:31" ht="15" customHeight="1">
      <c r="A1012" s="957" t="str">
        <f t="shared" ca="1" si="170"/>
        <v>31/32</v>
      </c>
      <c r="B1012" s="566" t="s">
        <v>167</v>
      </c>
      <c r="C1012" s="567" t="str">
        <f t="shared" ca="1" si="171"/>
        <v>Green Star - Industrial</v>
      </c>
      <c r="D1012" s="958">
        <v>1</v>
      </c>
      <c r="E1012" s="959" t="s">
        <v>367</v>
      </c>
      <c r="F1012" s="558" t="s">
        <v>1488</v>
      </c>
      <c r="G1012" s="558">
        <v>143</v>
      </c>
      <c r="H1012" s="558" t="s">
        <v>1188</v>
      </c>
      <c r="I1012" s="559" t="s">
        <v>1190</v>
      </c>
      <c r="J1012" s="567" t="s">
        <v>1588</v>
      </c>
      <c r="K1012" s="961" t="s">
        <v>1568</v>
      </c>
      <c r="L1012" s="555" t="str">
        <f t="shared" ca="1" si="164"/>
        <v/>
      </c>
      <c r="M1012" s="494" t="s">
        <v>1569</v>
      </c>
      <c r="N1012" s="555" t="str">
        <f t="shared" ca="1" si="165"/>
        <v/>
      </c>
      <c r="O1012" s="494" t="s">
        <v>1570</v>
      </c>
      <c r="P1012" s="555" t="str">
        <f t="shared" ca="1" si="166"/>
        <v/>
      </c>
      <c r="Q1012" s="494" t="s">
        <v>1589</v>
      </c>
      <c r="R1012" s="494" t="str">
        <f t="shared" si="172"/>
        <v>I1012</v>
      </c>
      <c r="S1012" s="494" t="s">
        <v>1594</v>
      </c>
      <c r="T1012" s="494">
        <v>6</v>
      </c>
      <c r="U1012" s="556" t="str">
        <f t="shared" ca="1" si="162"/>
        <v/>
      </c>
      <c r="V1012" s="494">
        <v>7</v>
      </c>
      <c r="W1012" s="556" t="str">
        <f t="shared" ca="1" si="163"/>
        <v/>
      </c>
      <c r="X1012" s="494" t="s">
        <v>1591</v>
      </c>
      <c r="Y1012" s="547" t="str">
        <f t="shared" ca="1" si="167"/>
        <v/>
      </c>
      <c r="Z1012" s="494" t="s">
        <v>1592</v>
      </c>
      <c r="AA1012" s="547" t="str">
        <f t="shared" ca="1" si="168"/>
        <v/>
      </c>
      <c r="AB1012" s="494" t="s">
        <v>1593</v>
      </c>
      <c r="AC1012" s="547" t="str">
        <f t="shared" ca="1" si="169"/>
        <v/>
      </c>
      <c r="AD1012" s="557"/>
      <c r="AE1012" s="958"/>
    </row>
    <row r="1013" spans="1:31" ht="15" customHeight="1">
      <c r="A1013" s="957" t="str">
        <f t="shared" ca="1" si="170"/>
        <v>31/32</v>
      </c>
      <c r="B1013" s="566" t="s">
        <v>167</v>
      </c>
      <c r="C1013" s="567" t="str">
        <f t="shared" ca="1" si="171"/>
        <v>Green Star - Industrial</v>
      </c>
      <c r="D1013" s="958">
        <v>1</v>
      </c>
      <c r="E1013" s="959" t="s">
        <v>367</v>
      </c>
      <c r="F1013" s="558" t="s">
        <v>1488</v>
      </c>
      <c r="G1013" s="558">
        <v>182</v>
      </c>
      <c r="H1013" s="558" t="s">
        <v>1191</v>
      </c>
      <c r="I1013" s="559" t="s">
        <v>1192</v>
      </c>
      <c r="J1013" s="567" t="s">
        <v>1588</v>
      </c>
      <c r="K1013" s="961" t="s">
        <v>1568</v>
      </c>
      <c r="L1013" s="555" t="str">
        <f t="shared" ca="1" si="164"/>
        <v/>
      </c>
      <c r="M1013" s="494" t="s">
        <v>1569</v>
      </c>
      <c r="N1013" s="555" t="str">
        <f t="shared" ca="1" si="165"/>
        <v/>
      </c>
      <c r="O1013" s="494" t="s">
        <v>1570</v>
      </c>
      <c r="P1013" s="555" t="str">
        <f t="shared" ca="1" si="166"/>
        <v/>
      </c>
      <c r="Q1013" s="494" t="s">
        <v>1589</v>
      </c>
      <c r="R1013" s="494" t="str">
        <f t="shared" si="172"/>
        <v>I1013</v>
      </c>
      <c r="S1013" s="494" t="s">
        <v>1590</v>
      </c>
      <c r="T1013" s="494">
        <v>6</v>
      </c>
      <c r="U1013" s="556" t="str">
        <f t="shared" ca="1" si="162"/>
        <v/>
      </c>
      <c r="V1013" s="494">
        <v>7</v>
      </c>
      <c r="W1013" s="556" t="str">
        <f t="shared" ca="1" si="163"/>
        <v/>
      </c>
      <c r="X1013" s="494" t="s">
        <v>1591</v>
      </c>
      <c r="Y1013" s="547" t="str">
        <f t="shared" ca="1" si="167"/>
        <v/>
      </c>
      <c r="Z1013" s="494" t="s">
        <v>1592</v>
      </c>
      <c r="AA1013" s="547" t="str">
        <f t="shared" ca="1" si="168"/>
        <v/>
      </c>
      <c r="AB1013" s="494" t="s">
        <v>1593</v>
      </c>
      <c r="AC1013" s="547" t="str">
        <f t="shared" ca="1" si="169"/>
        <v/>
      </c>
      <c r="AD1013" s="557"/>
      <c r="AE1013" s="958"/>
    </row>
    <row r="1014" spans="1:31" ht="15" customHeight="1">
      <c r="A1014" s="957" t="str">
        <f t="shared" ca="1" si="170"/>
        <v>31/32</v>
      </c>
      <c r="B1014" s="566" t="s">
        <v>167</v>
      </c>
      <c r="C1014" s="567" t="str">
        <f t="shared" ca="1" si="171"/>
        <v>Green Star - Industrial</v>
      </c>
      <c r="D1014" s="958">
        <v>1</v>
      </c>
      <c r="E1014" s="959" t="s">
        <v>367</v>
      </c>
      <c r="F1014" s="558" t="s">
        <v>1488</v>
      </c>
      <c r="G1014" s="558">
        <v>145</v>
      </c>
      <c r="H1014" s="558" t="s">
        <v>1193</v>
      </c>
      <c r="I1014" s="559" t="s">
        <v>1195</v>
      </c>
      <c r="J1014" s="567" t="s">
        <v>1588</v>
      </c>
      <c r="K1014" s="961" t="s">
        <v>1568</v>
      </c>
      <c r="L1014" s="555" t="str">
        <f t="shared" ca="1" si="164"/>
        <v/>
      </c>
      <c r="M1014" s="494" t="s">
        <v>1569</v>
      </c>
      <c r="N1014" s="555" t="str">
        <f t="shared" ca="1" si="165"/>
        <v/>
      </c>
      <c r="O1014" s="494" t="s">
        <v>1570</v>
      </c>
      <c r="P1014" s="555" t="str">
        <f t="shared" ca="1" si="166"/>
        <v/>
      </c>
      <c r="Q1014" s="494" t="s">
        <v>1589</v>
      </c>
      <c r="R1014" s="494" t="str">
        <f t="shared" si="172"/>
        <v>I1014</v>
      </c>
      <c r="S1014" s="494" t="s">
        <v>1594</v>
      </c>
      <c r="T1014" s="494">
        <v>6</v>
      </c>
      <c r="U1014" s="556" t="str">
        <f t="shared" ca="1" si="162"/>
        <v/>
      </c>
      <c r="V1014" s="494">
        <v>7</v>
      </c>
      <c r="W1014" s="556" t="str">
        <f t="shared" ca="1" si="163"/>
        <v/>
      </c>
      <c r="X1014" s="494" t="s">
        <v>1591</v>
      </c>
      <c r="Y1014" s="547" t="str">
        <f t="shared" ca="1" si="167"/>
        <v/>
      </c>
      <c r="Z1014" s="494" t="s">
        <v>1592</v>
      </c>
      <c r="AA1014" s="547" t="str">
        <f t="shared" ca="1" si="168"/>
        <v/>
      </c>
      <c r="AB1014" s="494" t="s">
        <v>1593</v>
      </c>
      <c r="AC1014" s="547" t="str">
        <f t="shared" ca="1" si="169"/>
        <v/>
      </c>
      <c r="AD1014" s="557"/>
      <c r="AE1014" s="958"/>
    </row>
    <row r="1015" spans="1:31" ht="15" customHeight="1">
      <c r="A1015" s="957" t="str">
        <f t="shared" ca="1" si="170"/>
        <v>31/32</v>
      </c>
      <c r="B1015" s="566" t="s">
        <v>167</v>
      </c>
      <c r="C1015" s="567" t="str">
        <f t="shared" ca="1" si="171"/>
        <v>Green Star - Industrial</v>
      </c>
      <c r="D1015" s="958">
        <v>1</v>
      </c>
      <c r="E1015" s="959" t="s">
        <v>367</v>
      </c>
      <c r="F1015" s="558" t="s">
        <v>1488</v>
      </c>
      <c r="G1015" s="558">
        <v>145</v>
      </c>
      <c r="H1015" s="558" t="s">
        <v>1193</v>
      </c>
      <c r="I1015" s="559" t="s">
        <v>1196</v>
      </c>
      <c r="J1015" s="567" t="s">
        <v>1588</v>
      </c>
      <c r="K1015" s="961" t="s">
        <v>1568</v>
      </c>
      <c r="L1015" s="555" t="str">
        <f t="shared" ca="1" si="164"/>
        <v/>
      </c>
      <c r="M1015" s="494" t="s">
        <v>1569</v>
      </c>
      <c r="N1015" s="555" t="str">
        <f t="shared" ca="1" si="165"/>
        <v/>
      </c>
      <c r="O1015" s="494" t="s">
        <v>1570</v>
      </c>
      <c r="P1015" s="555" t="str">
        <f t="shared" ca="1" si="166"/>
        <v/>
      </c>
      <c r="Q1015" s="494" t="s">
        <v>1589</v>
      </c>
      <c r="R1015" s="494" t="str">
        <f t="shared" si="172"/>
        <v>I1015</v>
      </c>
      <c r="S1015" s="494" t="s">
        <v>1594</v>
      </c>
      <c r="T1015" s="494">
        <v>6</v>
      </c>
      <c r="U1015" s="556" t="str">
        <f t="shared" ca="1" si="162"/>
        <v/>
      </c>
      <c r="V1015" s="494">
        <v>7</v>
      </c>
      <c r="W1015" s="556" t="str">
        <f t="shared" ca="1" si="163"/>
        <v/>
      </c>
      <c r="X1015" s="494" t="s">
        <v>1591</v>
      </c>
      <c r="Y1015" s="547" t="str">
        <f t="shared" ca="1" si="167"/>
        <v/>
      </c>
      <c r="Z1015" s="494" t="s">
        <v>1592</v>
      </c>
      <c r="AA1015" s="547" t="str">
        <f t="shared" ca="1" si="168"/>
        <v/>
      </c>
      <c r="AB1015" s="494" t="s">
        <v>1593</v>
      </c>
      <c r="AC1015" s="547" t="str">
        <f t="shared" ca="1" si="169"/>
        <v/>
      </c>
      <c r="AD1015" s="557"/>
      <c r="AE1015" s="958"/>
    </row>
    <row r="1016" spans="1:31" ht="15" customHeight="1">
      <c r="A1016" s="957" t="str">
        <f t="shared" ca="1" si="170"/>
        <v>31/32</v>
      </c>
      <c r="B1016" s="566" t="s">
        <v>167</v>
      </c>
      <c r="C1016" s="567" t="str">
        <f t="shared" ca="1" si="171"/>
        <v>Green Star - Industrial</v>
      </c>
      <c r="D1016" s="958">
        <v>1</v>
      </c>
      <c r="E1016" s="959" t="s">
        <v>367</v>
      </c>
      <c r="F1016" s="558" t="s">
        <v>1488</v>
      </c>
      <c r="G1016" s="558">
        <v>61</v>
      </c>
      <c r="H1016" s="558" t="s">
        <v>1197</v>
      </c>
      <c r="I1016" s="559" t="s">
        <v>1199</v>
      </c>
      <c r="J1016" s="567" t="s">
        <v>1588</v>
      </c>
      <c r="K1016" s="961" t="s">
        <v>1568</v>
      </c>
      <c r="L1016" s="555" t="str">
        <f t="shared" ca="1" si="164"/>
        <v/>
      </c>
      <c r="M1016" s="494" t="s">
        <v>1569</v>
      </c>
      <c r="N1016" s="555" t="str">
        <f t="shared" ca="1" si="165"/>
        <v/>
      </c>
      <c r="O1016" s="494" t="s">
        <v>1570</v>
      </c>
      <c r="P1016" s="555" t="str">
        <f t="shared" ca="1" si="166"/>
        <v/>
      </c>
      <c r="Q1016" s="494" t="s">
        <v>1589</v>
      </c>
      <c r="R1016" s="494" t="str">
        <f t="shared" si="172"/>
        <v>I1016</v>
      </c>
      <c r="S1016" s="494" t="s">
        <v>1594</v>
      </c>
      <c r="T1016" s="494">
        <v>6</v>
      </c>
      <c r="U1016" s="556" t="str">
        <f t="shared" ca="1" si="162"/>
        <v/>
      </c>
      <c r="V1016" s="494">
        <v>7</v>
      </c>
      <c r="W1016" s="556" t="str">
        <f t="shared" ca="1" si="163"/>
        <v/>
      </c>
      <c r="X1016" s="494" t="s">
        <v>1591</v>
      </c>
      <c r="Y1016" s="547" t="str">
        <f t="shared" ca="1" si="167"/>
        <v/>
      </c>
      <c r="Z1016" s="494" t="s">
        <v>1592</v>
      </c>
      <c r="AA1016" s="547" t="str">
        <f t="shared" ca="1" si="168"/>
        <v/>
      </c>
      <c r="AB1016" s="494" t="s">
        <v>1593</v>
      </c>
      <c r="AC1016" s="547" t="str">
        <f t="shared" ca="1" si="169"/>
        <v/>
      </c>
      <c r="AD1016" s="557"/>
      <c r="AE1016" s="958"/>
    </row>
    <row r="1017" spans="1:31" ht="15" customHeight="1">
      <c r="A1017" s="957" t="str">
        <f t="shared" ca="1" si="170"/>
        <v>31/32</v>
      </c>
      <c r="B1017" s="566" t="s">
        <v>167</v>
      </c>
      <c r="C1017" s="567" t="str">
        <f t="shared" ca="1" si="171"/>
        <v>Green Star - Industrial</v>
      </c>
      <c r="D1017" s="958">
        <v>1</v>
      </c>
      <c r="E1017" s="959" t="s">
        <v>367</v>
      </c>
      <c r="F1017" s="558" t="s">
        <v>1488</v>
      </c>
      <c r="G1017" s="558">
        <v>61</v>
      </c>
      <c r="H1017" s="558" t="s">
        <v>1197</v>
      </c>
      <c r="I1017" s="559" t="s">
        <v>1200</v>
      </c>
      <c r="J1017" s="567" t="s">
        <v>1588</v>
      </c>
      <c r="K1017" s="961" t="s">
        <v>1568</v>
      </c>
      <c r="L1017" s="555" t="str">
        <f t="shared" ca="1" si="164"/>
        <v/>
      </c>
      <c r="M1017" s="494" t="s">
        <v>1569</v>
      </c>
      <c r="N1017" s="555" t="str">
        <f t="shared" ca="1" si="165"/>
        <v/>
      </c>
      <c r="O1017" s="494" t="s">
        <v>1570</v>
      </c>
      <c r="P1017" s="555" t="str">
        <f t="shared" ca="1" si="166"/>
        <v/>
      </c>
      <c r="Q1017" s="494" t="s">
        <v>1589</v>
      </c>
      <c r="R1017" s="494" t="str">
        <f t="shared" si="172"/>
        <v>I1017</v>
      </c>
      <c r="S1017" s="494" t="s">
        <v>1594</v>
      </c>
      <c r="T1017" s="494">
        <v>6</v>
      </c>
      <c r="U1017" s="556" t="str">
        <f t="shared" ca="1" si="162"/>
        <v/>
      </c>
      <c r="V1017" s="494">
        <v>7</v>
      </c>
      <c r="W1017" s="556" t="str">
        <f t="shared" ca="1" si="163"/>
        <v/>
      </c>
      <c r="X1017" s="494" t="s">
        <v>1591</v>
      </c>
      <c r="Y1017" s="547" t="str">
        <f t="shared" ca="1" si="167"/>
        <v/>
      </c>
      <c r="Z1017" s="494" t="s">
        <v>1592</v>
      </c>
      <c r="AA1017" s="547" t="str">
        <f t="shared" ca="1" si="168"/>
        <v/>
      </c>
      <c r="AB1017" s="494" t="s">
        <v>1593</v>
      </c>
      <c r="AC1017" s="547" t="str">
        <f t="shared" ca="1" si="169"/>
        <v/>
      </c>
      <c r="AD1017" s="557"/>
      <c r="AE1017" s="958"/>
    </row>
    <row r="1018" spans="1:31" ht="15" customHeight="1">
      <c r="A1018" s="957" t="str">
        <f t="shared" ca="1" si="170"/>
        <v>31/32</v>
      </c>
      <c r="B1018" s="566" t="s">
        <v>167</v>
      </c>
      <c r="C1018" s="567" t="str">
        <f t="shared" ca="1" si="171"/>
        <v>Green Star - Industrial</v>
      </c>
      <c r="D1018" s="958">
        <v>1</v>
      </c>
      <c r="E1018" s="959" t="s">
        <v>367</v>
      </c>
      <c r="F1018" s="558" t="s">
        <v>1488</v>
      </c>
      <c r="G1018" s="558">
        <v>63</v>
      </c>
      <c r="H1018" s="558" t="s">
        <v>1201</v>
      </c>
      <c r="I1018" s="559" t="s">
        <v>1202</v>
      </c>
      <c r="J1018" s="567" t="s">
        <v>1588</v>
      </c>
      <c r="K1018" s="961" t="s">
        <v>1568</v>
      </c>
      <c r="L1018" s="555" t="str">
        <f t="shared" ca="1" si="164"/>
        <v/>
      </c>
      <c r="M1018" s="494" t="s">
        <v>1569</v>
      </c>
      <c r="N1018" s="555" t="str">
        <f t="shared" ca="1" si="165"/>
        <v/>
      </c>
      <c r="O1018" s="494" t="s">
        <v>1570</v>
      </c>
      <c r="P1018" s="555" t="str">
        <f t="shared" ca="1" si="166"/>
        <v/>
      </c>
      <c r="Q1018" s="494" t="s">
        <v>1589</v>
      </c>
      <c r="R1018" s="494" t="str">
        <f t="shared" si="172"/>
        <v>I1018</v>
      </c>
      <c r="S1018" s="494" t="s">
        <v>1590</v>
      </c>
      <c r="T1018" s="494">
        <v>6</v>
      </c>
      <c r="U1018" s="556" t="str">
        <f t="shared" ca="1" si="162"/>
        <v/>
      </c>
      <c r="V1018" s="494">
        <v>7</v>
      </c>
      <c r="W1018" s="556" t="str">
        <f t="shared" ca="1" si="163"/>
        <v/>
      </c>
      <c r="X1018" s="494" t="s">
        <v>1591</v>
      </c>
      <c r="Y1018" s="547" t="str">
        <f t="shared" ca="1" si="167"/>
        <v/>
      </c>
      <c r="Z1018" s="494" t="s">
        <v>1592</v>
      </c>
      <c r="AA1018" s="547" t="str">
        <f t="shared" ca="1" si="168"/>
        <v/>
      </c>
      <c r="AB1018" s="494" t="s">
        <v>1593</v>
      </c>
      <c r="AC1018" s="547" t="str">
        <f t="shared" ca="1" si="169"/>
        <v/>
      </c>
      <c r="AD1018" s="557"/>
      <c r="AE1018" s="958"/>
    </row>
    <row r="1019" spans="1:31" ht="15" customHeight="1">
      <c r="A1019" s="957" t="str">
        <f t="shared" ca="1" si="170"/>
        <v>31/32</v>
      </c>
      <c r="B1019" s="566" t="s">
        <v>167</v>
      </c>
      <c r="C1019" s="567" t="str">
        <f t="shared" ca="1" si="171"/>
        <v>Green Star - Industrial</v>
      </c>
      <c r="D1019" s="958">
        <v>1</v>
      </c>
      <c r="E1019" s="959" t="s">
        <v>367</v>
      </c>
      <c r="F1019" s="558" t="s">
        <v>1488</v>
      </c>
      <c r="G1019" s="558">
        <v>64</v>
      </c>
      <c r="H1019" s="558" t="s">
        <v>1203</v>
      </c>
      <c r="I1019" s="559" t="s">
        <v>1204</v>
      </c>
      <c r="J1019" s="567" t="s">
        <v>1588</v>
      </c>
      <c r="K1019" s="961" t="s">
        <v>1568</v>
      </c>
      <c r="L1019" s="555" t="str">
        <f t="shared" ca="1" si="164"/>
        <v/>
      </c>
      <c r="M1019" s="494" t="s">
        <v>1569</v>
      </c>
      <c r="N1019" s="555" t="str">
        <f t="shared" ca="1" si="165"/>
        <v/>
      </c>
      <c r="O1019" s="494" t="s">
        <v>1570</v>
      </c>
      <c r="P1019" s="555" t="str">
        <f t="shared" ca="1" si="166"/>
        <v/>
      </c>
      <c r="Q1019" s="494" t="s">
        <v>1589</v>
      </c>
      <c r="R1019" s="494" t="str">
        <f t="shared" si="172"/>
        <v>I1019</v>
      </c>
      <c r="S1019" s="494" t="s">
        <v>1590</v>
      </c>
      <c r="T1019" s="494">
        <v>6</v>
      </c>
      <c r="U1019" s="556" t="str">
        <f t="shared" ca="1" si="162"/>
        <v/>
      </c>
      <c r="V1019" s="494">
        <v>7</v>
      </c>
      <c r="W1019" s="556" t="str">
        <f t="shared" ca="1" si="163"/>
        <v/>
      </c>
      <c r="X1019" s="494" t="s">
        <v>1591</v>
      </c>
      <c r="Y1019" s="547" t="str">
        <f t="shared" ca="1" si="167"/>
        <v/>
      </c>
      <c r="Z1019" s="494" t="s">
        <v>1592</v>
      </c>
      <c r="AA1019" s="547" t="str">
        <f t="shared" ca="1" si="168"/>
        <v/>
      </c>
      <c r="AB1019" s="494" t="s">
        <v>1593</v>
      </c>
      <c r="AC1019" s="547" t="str">
        <f t="shared" ca="1" si="169"/>
        <v/>
      </c>
      <c r="AD1019" s="557"/>
      <c r="AE1019" s="958"/>
    </row>
    <row r="1020" spans="1:31" ht="15" customHeight="1">
      <c r="A1020" s="957" t="str">
        <f t="shared" ca="1" si="170"/>
        <v>31/32</v>
      </c>
      <c r="B1020" s="566" t="s">
        <v>167</v>
      </c>
      <c r="C1020" s="567" t="str">
        <f t="shared" ca="1" si="171"/>
        <v>Green Star - Industrial</v>
      </c>
      <c r="D1020" s="958">
        <v>1</v>
      </c>
      <c r="E1020" s="959" t="s">
        <v>367</v>
      </c>
      <c r="F1020" s="558" t="s">
        <v>1488</v>
      </c>
      <c r="G1020" s="558">
        <v>148</v>
      </c>
      <c r="H1020" s="558" t="s">
        <v>1207</v>
      </c>
      <c r="I1020" s="559" t="s">
        <v>1208</v>
      </c>
      <c r="J1020" s="567" t="s">
        <v>1588</v>
      </c>
      <c r="K1020" s="961" t="s">
        <v>1568</v>
      </c>
      <c r="L1020" s="555" t="str">
        <f t="shared" ca="1" si="164"/>
        <v/>
      </c>
      <c r="M1020" s="494" t="s">
        <v>1569</v>
      </c>
      <c r="N1020" s="555" t="str">
        <f t="shared" ca="1" si="165"/>
        <v/>
      </c>
      <c r="O1020" s="494" t="s">
        <v>1570</v>
      </c>
      <c r="P1020" s="555" t="str">
        <f t="shared" ca="1" si="166"/>
        <v/>
      </c>
      <c r="Q1020" s="494" t="s">
        <v>1589</v>
      </c>
      <c r="R1020" s="494" t="str">
        <f t="shared" si="172"/>
        <v>I1020</v>
      </c>
      <c r="S1020" s="494" t="s">
        <v>1590</v>
      </c>
      <c r="T1020" s="494">
        <v>6</v>
      </c>
      <c r="U1020" s="556" t="str">
        <f t="shared" ca="1" si="162"/>
        <v/>
      </c>
      <c r="V1020" s="494">
        <v>7</v>
      </c>
      <c r="W1020" s="556" t="str">
        <f t="shared" ca="1" si="163"/>
        <v/>
      </c>
      <c r="X1020" s="494" t="s">
        <v>1591</v>
      </c>
      <c r="Y1020" s="547" t="str">
        <f t="shared" ca="1" si="167"/>
        <v/>
      </c>
      <c r="Z1020" s="494" t="s">
        <v>1592</v>
      </c>
      <c r="AA1020" s="547" t="str">
        <f t="shared" ca="1" si="168"/>
        <v/>
      </c>
      <c r="AB1020" s="494" t="s">
        <v>1593</v>
      </c>
      <c r="AC1020" s="547" t="str">
        <f t="shared" ca="1" si="169"/>
        <v/>
      </c>
      <c r="AD1020" s="557"/>
      <c r="AE1020" s="958"/>
    </row>
    <row r="1021" spans="1:31" ht="15" customHeight="1">
      <c r="A1021" s="957" t="str">
        <f t="shared" ca="1" si="170"/>
        <v>31/32</v>
      </c>
      <c r="B1021" s="566" t="s">
        <v>167</v>
      </c>
      <c r="C1021" s="567" t="str">
        <f t="shared" ca="1" si="171"/>
        <v>Green Star - Industrial</v>
      </c>
      <c r="D1021" s="958">
        <v>1</v>
      </c>
      <c r="E1021" s="959" t="s">
        <v>396</v>
      </c>
      <c r="F1021" s="558" t="s">
        <v>1498</v>
      </c>
      <c r="G1021" s="558">
        <v>149</v>
      </c>
      <c r="H1021" s="558" t="s">
        <v>1577</v>
      </c>
      <c r="I1021" s="559" t="s">
        <v>1219</v>
      </c>
      <c r="J1021" s="567" t="s">
        <v>1588</v>
      </c>
      <c r="K1021" s="961" t="s">
        <v>1568</v>
      </c>
      <c r="L1021" s="555" t="str">
        <f t="shared" ca="1" si="164"/>
        <v/>
      </c>
      <c r="M1021" s="494" t="s">
        <v>1569</v>
      </c>
      <c r="N1021" s="555" t="str">
        <f t="shared" ca="1" si="165"/>
        <v/>
      </c>
      <c r="O1021" s="494" t="s">
        <v>1570</v>
      </c>
      <c r="P1021" s="555" t="str">
        <f t="shared" ca="1" si="166"/>
        <v/>
      </c>
      <c r="Q1021" s="494" t="s">
        <v>1589</v>
      </c>
      <c r="R1021" s="494" t="str">
        <f t="shared" si="172"/>
        <v>I1021</v>
      </c>
      <c r="S1021" s="494" t="s">
        <v>1590</v>
      </c>
      <c r="T1021" s="494">
        <v>6</v>
      </c>
      <c r="U1021" s="556" t="str">
        <f t="shared" ca="1" si="162"/>
        <v/>
      </c>
      <c r="V1021" s="494">
        <v>7</v>
      </c>
      <c r="W1021" s="556" t="str">
        <f t="shared" ca="1" si="163"/>
        <v/>
      </c>
      <c r="X1021" s="494" t="s">
        <v>1591</v>
      </c>
      <c r="Y1021" s="547" t="str">
        <f t="shared" ca="1" si="167"/>
        <v/>
      </c>
      <c r="Z1021" s="494" t="s">
        <v>1592</v>
      </c>
      <c r="AA1021" s="547" t="str">
        <f t="shared" ca="1" si="168"/>
        <v/>
      </c>
      <c r="AB1021" s="494" t="s">
        <v>1593</v>
      </c>
      <c r="AC1021" s="547" t="str">
        <f t="shared" ca="1" si="169"/>
        <v/>
      </c>
      <c r="AD1021" s="557"/>
      <c r="AE1021" s="958"/>
    </row>
    <row r="1022" spans="1:31" ht="15" customHeight="1">
      <c r="A1022" s="957" t="str">
        <f t="shared" ca="1" si="170"/>
        <v>31/32</v>
      </c>
      <c r="B1022" s="566" t="s">
        <v>167</v>
      </c>
      <c r="C1022" s="567" t="str">
        <f t="shared" ca="1" si="171"/>
        <v>Green Star - Industrial</v>
      </c>
      <c r="D1022" s="958">
        <v>1</v>
      </c>
      <c r="E1022" s="959" t="s">
        <v>396</v>
      </c>
      <c r="F1022" s="558" t="s">
        <v>1498</v>
      </c>
      <c r="G1022" s="558">
        <v>150</v>
      </c>
      <c r="H1022" s="558" t="s">
        <v>1039</v>
      </c>
      <c r="I1022" s="559" t="s">
        <v>1220</v>
      </c>
      <c r="J1022" s="567" t="s">
        <v>1588</v>
      </c>
      <c r="K1022" s="961" t="s">
        <v>1568</v>
      </c>
      <c r="L1022" s="555" t="str">
        <f t="shared" ca="1" si="164"/>
        <v/>
      </c>
      <c r="M1022" s="494" t="s">
        <v>1569</v>
      </c>
      <c r="N1022" s="555" t="str">
        <f t="shared" ca="1" si="165"/>
        <v/>
      </c>
      <c r="O1022" s="494" t="s">
        <v>1570</v>
      </c>
      <c r="P1022" s="555" t="str">
        <f t="shared" ca="1" si="166"/>
        <v/>
      </c>
      <c r="Q1022" s="494" t="s">
        <v>1589</v>
      </c>
      <c r="R1022" s="494" t="str">
        <f t="shared" si="172"/>
        <v>I1022</v>
      </c>
      <c r="S1022" s="494" t="s">
        <v>1590</v>
      </c>
      <c r="T1022" s="494">
        <v>6</v>
      </c>
      <c r="U1022" s="556" t="str">
        <f t="shared" ca="1" si="162"/>
        <v/>
      </c>
      <c r="V1022" s="494">
        <v>7</v>
      </c>
      <c r="W1022" s="556" t="str">
        <f t="shared" ca="1" si="163"/>
        <v/>
      </c>
      <c r="X1022" s="494" t="s">
        <v>1591</v>
      </c>
      <c r="Y1022" s="547" t="str">
        <f t="shared" ca="1" si="167"/>
        <v/>
      </c>
      <c r="Z1022" s="494" t="s">
        <v>1592</v>
      </c>
      <c r="AA1022" s="547" t="str">
        <f t="shared" ca="1" si="168"/>
        <v/>
      </c>
      <c r="AB1022" s="494" t="s">
        <v>1593</v>
      </c>
      <c r="AC1022" s="547" t="str">
        <f t="shared" ca="1" si="169"/>
        <v/>
      </c>
      <c r="AD1022" s="557"/>
      <c r="AE1022" s="958"/>
    </row>
    <row r="1023" spans="1:31" ht="15" customHeight="1">
      <c r="A1023" s="957" t="str">
        <f t="shared" ca="1" si="170"/>
        <v>31/32</v>
      </c>
      <c r="B1023" s="566" t="s">
        <v>167</v>
      </c>
      <c r="C1023" s="567" t="str">
        <f t="shared" ca="1" si="171"/>
        <v>Green Star - Industrial</v>
      </c>
      <c r="D1023" s="958">
        <v>1</v>
      </c>
      <c r="E1023" s="959" t="s">
        <v>396</v>
      </c>
      <c r="F1023" s="558" t="s">
        <v>1498</v>
      </c>
      <c r="G1023" s="558">
        <v>35</v>
      </c>
      <c r="H1023" s="558" t="s">
        <v>1045</v>
      </c>
      <c r="I1023" s="559" t="s">
        <v>1221</v>
      </c>
      <c r="J1023" s="567" t="s">
        <v>1588</v>
      </c>
      <c r="K1023" s="961" t="s">
        <v>1568</v>
      </c>
      <c r="L1023" s="555" t="str">
        <f t="shared" ca="1" si="164"/>
        <v/>
      </c>
      <c r="M1023" s="494" t="s">
        <v>1569</v>
      </c>
      <c r="N1023" s="555" t="str">
        <f t="shared" ca="1" si="165"/>
        <v/>
      </c>
      <c r="O1023" s="494" t="s">
        <v>1570</v>
      </c>
      <c r="P1023" s="555" t="str">
        <f t="shared" ca="1" si="166"/>
        <v/>
      </c>
      <c r="Q1023" s="494" t="s">
        <v>1589</v>
      </c>
      <c r="R1023" s="494" t="str">
        <f t="shared" si="172"/>
        <v>I1023</v>
      </c>
      <c r="S1023" s="494" t="s">
        <v>1590</v>
      </c>
      <c r="T1023" s="494">
        <v>6</v>
      </c>
      <c r="U1023" s="556" t="str">
        <f t="shared" ref="U1023:U1086" ca="1" si="174">IF(AND($B1023=INDIRECT(CONCATENATE($J1023,$K1023,5)),ISBLANK(INDEX(INDIRECT(CONCATENATE($J1023,$Q1023)),MATCH(INDIRECT($R1023),INDIRECT(CONCATENATE($J1023,$S1023)),0),T1023))=FALSE),INDEX(INDIRECT(CONCATENATE($J1023,$Q1023)),MATCH(INDIRECT($R1023),INDIRECT(CONCATENATE($J1023,$S1023)),0),T1023),"")</f>
        <v/>
      </c>
      <c r="V1023" s="494">
        <v>7</v>
      </c>
      <c r="W1023" s="556" t="str">
        <f t="shared" ref="W1023:W1086" ca="1" si="175">IF(AND($B1023=INDIRECT(CONCATENATE($J1023,$K1023,5)),ISBLANK(INDEX(INDIRECT(CONCATENATE($J1023,$Q1023)),MATCH(INDIRECT($R1023),INDIRECT(CONCATENATE($J1023,$S1023)),0),V1023))=FALSE),INDEX(INDIRECT(CONCATENATE($J1023,$Q1023)),MATCH(INDIRECT($R1023),INDIRECT(CONCATENATE($J1023,$S1023)),0),V1023),"")</f>
        <v/>
      </c>
      <c r="X1023" s="494" t="s">
        <v>1591</v>
      </c>
      <c r="Y1023" s="547" t="str">
        <f t="shared" ca="1" si="167"/>
        <v/>
      </c>
      <c r="Z1023" s="494" t="s">
        <v>1592</v>
      </c>
      <c r="AA1023" s="547" t="str">
        <f t="shared" ca="1" si="168"/>
        <v/>
      </c>
      <c r="AB1023" s="494" t="s">
        <v>1593</v>
      </c>
      <c r="AC1023" s="547" t="str">
        <f t="shared" ca="1" si="169"/>
        <v/>
      </c>
      <c r="AD1023" s="557"/>
      <c r="AE1023" s="958"/>
    </row>
    <row r="1024" spans="1:31" ht="15" customHeight="1">
      <c r="A1024" s="957" t="str">
        <f t="shared" ca="1" si="170"/>
        <v>31/32</v>
      </c>
      <c r="B1024" s="566" t="s">
        <v>167</v>
      </c>
      <c r="C1024" s="567" t="str">
        <f t="shared" ca="1" si="171"/>
        <v>Green Star - Industrial</v>
      </c>
      <c r="D1024" s="958">
        <v>1</v>
      </c>
      <c r="E1024" s="959" t="s">
        <v>396</v>
      </c>
      <c r="F1024" s="558" t="s">
        <v>1498</v>
      </c>
      <c r="G1024" s="558">
        <v>37</v>
      </c>
      <c r="H1024" s="558" t="s">
        <v>1046</v>
      </c>
      <c r="I1024" s="559" t="s">
        <v>1222</v>
      </c>
      <c r="J1024" s="567" t="s">
        <v>1588</v>
      </c>
      <c r="K1024" s="961" t="s">
        <v>1568</v>
      </c>
      <c r="L1024" s="555" t="str">
        <f t="shared" ca="1" si="164"/>
        <v/>
      </c>
      <c r="M1024" s="494" t="s">
        <v>1569</v>
      </c>
      <c r="N1024" s="555" t="str">
        <f t="shared" ca="1" si="165"/>
        <v/>
      </c>
      <c r="O1024" s="494" t="s">
        <v>1570</v>
      </c>
      <c r="P1024" s="555" t="str">
        <f t="shared" ca="1" si="166"/>
        <v/>
      </c>
      <c r="Q1024" s="494" t="s">
        <v>1589</v>
      </c>
      <c r="R1024" s="494" t="str">
        <f t="shared" si="172"/>
        <v>I1024</v>
      </c>
      <c r="S1024" s="494" t="s">
        <v>1590</v>
      </c>
      <c r="T1024" s="494">
        <v>6</v>
      </c>
      <c r="U1024" s="556" t="str">
        <f t="shared" ca="1" si="174"/>
        <v/>
      </c>
      <c r="V1024" s="494">
        <v>7</v>
      </c>
      <c r="W1024" s="556" t="str">
        <f t="shared" ca="1" si="175"/>
        <v/>
      </c>
      <c r="X1024" s="494" t="s">
        <v>1591</v>
      </c>
      <c r="Y1024" s="547" t="str">
        <f t="shared" ca="1" si="167"/>
        <v/>
      </c>
      <c r="Z1024" s="494" t="s">
        <v>1592</v>
      </c>
      <c r="AA1024" s="547" t="str">
        <f t="shared" ca="1" si="168"/>
        <v/>
      </c>
      <c r="AB1024" s="494" t="s">
        <v>1593</v>
      </c>
      <c r="AC1024" s="547" t="str">
        <f t="shared" ca="1" si="169"/>
        <v/>
      </c>
      <c r="AD1024" s="557"/>
      <c r="AE1024" s="958"/>
    </row>
    <row r="1025" spans="1:31" ht="15" customHeight="1">
      <c r="A1025" s="957" t="str">
        <f t="shared" ca="1" si="170"/>
        <v>31/32</v>
      </c>
      <c r="B1025" s="566" t="s">
        <v>167</v>
      </c>
      <c r="C1025" s="567" t="str">
        <f t="shared" ca="1" si="171"/>
        <v>Green Star - Industrial</v>
      </c>
      <c r="D1025" s="958">
        <v>1</v>
      </c>
      <c r="E1025" s="959" t="s">
        <v>396</v>
      </c>
      <c r="F1025" s="558" t="s">
        <v>1498</v>
      </c>
      <c r="G1025" s="558">
        <v>39</v>
      </c>
      <c r="H1025" s="558" t="s">
        <v>1047</v>
      </c>
      <c r="I1025" s="559" t="s">
        <v>783</v>
      </c>
      <c r="J1025" s="567" t="s">
        <v>1588</v>
      </c>
      <c r="K1025" s="961" t="s">
        <v>1568</v>
      </c>
      <c r="L1025" s="555" t="str">
        <f t="shared" ca="1" si="164"/>
        <v/>
      </c>
      <c r="M1025" s="494" t="s">
        <v>1569</v>
      </c>
      <c r="N1025" s="555" t="str">
        <f t="shared" ca="1" si="165"/>
        <v/>
      </c>
      <c r="O1025" s="494" t="s">
        <v>1570</v>
      </c>
      <c r="P1025" s="555" t="str">
        <f t="shared" ca="1" si="166"/>
        <v/>
      </c>
      <c r="Q1025" s="494" t="s">
        <v>1589</v>
      </c>
      <c r="R1025" s="494" t="str">
        <f t="shared" si="172"/>
        <v>I1025</v>
      </c>
      <c r="S1025" s="494" t="s">
        <v>1590</v>
      </c>
      <c r="T1025" s="494">
        <v>6</v>
      </c>
      <c r="U1025" s="556" t="str">
        <f t="shared" ca="1" si="174"/>
        <v/>
      </c>
      <c r="V1025" s="494">
        <v>7</v>
      </c>
      <c r="W1025" s="556" t="str">
        <f t="shared" ca="1" si="175"/>
        <v/>
      </c>
      <c r="X1025" s="494" t="s">
        <v>1591</v>
      </c>
      <c r="Y1025" s="547" t="str">
        <f t="shared" ca="1" si="167"/>
        <v/>
      </c>
      <c r="Z1025" s="494" t="s">
        <v>1592</v>
      </c>
      <c r="AA1025" s="547" t="str">
        <f t="shared" ca="1" si="168"/>
        <v/>
      </c>
      <c r="AB1025" s="494" t="s">
        <v>1593</v>
      </c>
      <c r="AC1025" s="547" t="str">
        <f t="shared" ca="1" si="169"/>
        <v/>
      </c>
      <c r="AD1025" s="557"/>
      <c r="AE1025" s="958"/>
    </row>
    <row r="1026" spans="1:31" ht="15" customHeight="1">
      <c r="A1026" s="957" t="str">
        <f t="shared" ca="1" si="170"/>
        <v>31/32</v>
      </c>
      <c r="B1026" s="566" t="s">
        <v>167</v>
      </c>
      <c r="C1026" s="567" t="str">
        <f t="shared" ca="1" si="171"/>
        <v>Green Star - Industrial</v>
      </c>
      <c r="D1026" s="958">
        <v>1</v>
      </c>
      <c r="E1026" s="959" t="s">
        <v>404</v>
      </c>
      <c r="F1026" s="558" t="s">
        <v>1499</v>
      </c>
      <c r="G1026" s="558">
        <v>13</v>
      </c>
      <c r="H1026" s="558" t="s">
        <v>1223</v>
      </c>
      <c r="I1026" s="559" t="s">
        <v>1224</v>
      </c>
      <c r="J1026" s="567" t="s">
        <v>1588</v>
      </c>
      <c r="K1026" s="961" t="s">
        <v>1568</v>
      </c>
      <c r="L1026" s="555" t="str">
        <f t="shared" ref="L1026:L1089" ca="1" si="176">IF(AND(INDIRECT(CONCATENATE($J1026,$K1026,5))=$B1026,ISNUMBER(SEARCH("Please",INDIRECT(CONCATENATE($J1026,$K1026,2)),1))=FALSE),SUMPRODUCT(MID(0&amp;INDIRECT(CONCATENATE($J1026,$K1026,2)), LARGE(INDEX(ISNUMBER(--MID(INDIRECT(CONCATENATE($J1026,$K1026,2)), ROW(INDIRECT("1:"&amp;LEN(INDIRECT(CONCATENATE($J1026,$K1026,2))))),1))*ROW(INDIRECT("1:"&amp;LEN(INDIRECT(CONCATENATE($J1026,$K1026,2))))),0), ROW(INDIRECT("1:"&amp;LEN(INDIRECT(CONCATENATE($J1026,$K1026,2))))))+1,1)*10^ROW(INDIRECT("1:"&amp;LEN(INDIRECT(CONCATENATE($J1026,$K1026,2)))))/10),"")</f>
        <v/>
      </c>
      <c r="M1026" s="494" t="s">
        <v>1569</v>
      </c>
      <c r="N1026" s="555" t="str">
        <f t="shared" ref="N1026:N1089" ca="1" si="177">IF(AND(INDIRECT(CONCATENATE($J1026,$K1026,5))=$B1026,ISNUMBER(SEARCH("Select",INDIRECT(CONCATENATE($J1026,$M1026,6)),1))=FALSE),INDIRECT(CONCATENATE($J1026,$M1026,6)),"")</f>
        <v/>
      </c>
      <c r="O1026" s="494" t="s">
        <v>1570</v>
      </c>
      <c r="P1026" s="555" t="str">
        <f t="shared" ref="P1026:P1089" ca="1" si="178">IF(AND(INDIRECT(CONCATENATE($J1026,$K1026,5))=$B1026,ISNUMBER(SEARCH("Select",INDIRECT(CONCATENATE($J1026,$O1026,6)),1))=FALSE),INDIRECT(CONCATENATE($J1026,$O1026,6)),"")</f>
        <v/>
      </c>
      <c r="Q1026" s="494" t="s">
        <v>1589</v>
      </c>
      <c r="R1026" s="494" t="str">
        <f t="shared" si="172"/>
        <v>I1026</v>
      </c>
      <c r="S1026" s="494" t="s">
        <v>1590</v>
      </c>
      <c r="T1026" s="494">
        <v>6</v>
      </c>
      <c r="U1026" s="556" t="str">
        <f t="shared" ca="1" si="174"/>
        <v/>
      </c>
      <c r="V1026" s="494">
        <v>7</v>
      </c>
      <c r="W1026" s="556" t="str">
        <f t="shared" ca="1" si="175"/>
        <v/>
      </c>
      <c r="X1026" s="494" t="s">
        <v>1591</v>
      </c>
      <c r="Y1026" s="547" t="str">
        <f t="shared" ref="Y1026:Y1089" ca="1" si="179">IF(AND(INDIRECT(CONCATENATE($J1026,$K1026,5))=$B1026,ISBLANK(INDIRECT(CONCATENATE($J1026,X1026)))=FALSE),INDIRECT(CONCATENATE($J1026,X1026)),"")</f>
        <v/>
      </c>
      <c r="Z1026" s="494" t="s">
        <v>1592</v>
      </c>
      <c r="AA1026" s="547" t="str">
        <f t="shared" ref="AA1026:AA1089" ca="1" si="180">IF(AND(INDIRECT(CONCATENATE($J1026,$K1026,"5"))=$B1026,ISBLANK(INDIRECT(CONCATENATE($J1026,Z1026)))=FALSE),INDIRECT(CONCATENATE($J1026,Z1026)),"")</f>
        <v/>
      </c>
      <c r="AB1026" s="494" t="s">
        <v>1593</v>
      </c>
      <c r="AC1026" s="547" t="str">
        <f t="shared" ref="AC1026:AC1089" ca="1" si="181">IF(AND(INDIRECT(CONCATENATE($J1026,$K1026,"5"))=$B1026,ISBLANK(INDIRECT(CONCATENATE($J1026,AB1026)))=FALSE),INDIRECT(CONCATENATE($J1026,AB1026)),"")</f>
        <v/>
      </c>
      <c r="AD1026" s="557"/>
      <c r="AE1026" s="958"/>
    </row>
    <row r="1027" spans="1:31" ht="15" customHeight="1">
      <c r="A1027" s="957" t="str">
        <f t="shared" ca="1" si="170"/>
        <v>31/32</v>
      </c>
      <c r="B1027" s="566" t="s">
        <v>167</v>
      </c>
      <c r="C1027" s="567" t="str">
        <f t="shared" ca="1" si="171"/>
        <v>Green Star - Industrial</v>
      </c>
      <c r="D1027" s="958">
        <v>1</v>
      </c>
      <c r="E1027" s="959" t="s">
        <v>404</v>
      </c>
      <c r="F1027" s="558" t="s">
        <v>1499</v>
      </c>
      <c r="G1027" s="558">
        <v>14</v>
      </c>
      <c r="H1027" s="558" t="s">
        <v>1225</v>
      </c>
      <c r="I1027" s="559" t="s">
        <v>1226</v>
      </c>
      <c r="J1027" s="567" t="s">
        <v>1588</v>
      </c>
      <c r="K1027" s="961" t="s">
        <v>1568</v>
      </c>
      <c r="L1027" s="555" t="str">
        <f t="shared" ca="1" si="176"/>
        <v/>
      </c>
      <c r="M1027" s="494" t="s">
        <v>1569</v>
      </c>
      <c r="N1027" s="555" t="str">
        <f t="shared" ca="1" si="177"/>
        <v/>
      </c>
      <c r="O1027" s="494" t="s">
        <v>1570</v>
      </c>
      <c r="P1027" s="555" t="str">
        <f t="shared" ca="1" si="178"/>
        <v/>
      </c>
      <c r="Q1027" s="494" t="s">
        <v>1589</v>
      </c>
      <c r="R1027" s="494" t="str">
        <f t="shared" si="172"/>
        <v>I1027</v>
      </c>
      <c r="S1027" s="494" t="s">
        <v>1590</v>
      </c>
      <c r="T1027" s="494">
        <v>6</v>
      </c>
      <c r="U1027" s="556" t="str">
        <f t="shared" ca="1" si="174"/>
        <v/>
      </c>
      <c r="V1027" s="494">
        <v>7</v>
      </c>
      <c r="W1027" s="556" t="str">
        <f t="shared" ca="1" si="175"/>
        <v/>
      </c>
      <c r="X1027" s="494" t="s">
        <v>1591</v>
      </c>
      <c r="Y1027" s="547" t="str">
        <f t="shared" ca="1" si="179"/>
        <v/>
      </c>
      <c r="Z1027" s="494" t="s">
        <v>1592</v>
      </c>
      <c r="AA1027" s="547" t="str">
        <f t="shared" ca="1" si="180"/>
        <v/>
      </c>
      <c r="AB1027" s="494" t="s">
        <v>1593</v>
      </c>
      <c r="AC1027" s="547" t="str">
        <f t="shared" ca="1" si="181"/>
        <v/>
      </c>
      <c r="AD1027" s="557"/>
      <c r="AE1027" s="958"/>
    </row>
    <row r="1028" spans="1:31" ht="15" customHeight="1">
      <c r="A1028" s="957" t="str">
        <f t="shared" ca="1" si="170"/>
        <v>31/32</v>
      </c>
      <c r="B1028" s="566" t="s">
        <v>167</v>
      </c>
      <c r="C1028" s="567" t="str">
        <f t="shared" ca="1" si="171"/>
        <v>Green Star - Industrial</v>
      </c>
      <c r="D1028" s="958">
        <v>1</v>
      </c>
      <c r="E1028" s="959" t="s">
        <v>404</v>
      </c>
      <c r="F1028" s="558" t="s">
        <v>1499</v>
      </c>
      <c r="G1028" s="558">
        <v>151</v>
      </c>
      <c r="H1028" s="558" t="s">
        <v>1227</v>
      </c>
      <c r="I1028" s="559" t="s">
        <v>1228</v>
      </c>
      <c r="J1028" s="567" t="s">
        <v>1588</v>
      </c>
      <c r="K1028" s="961" t="s">
        <v>1568</v>
      </c>
      <c r="L1028" s="555" t="str">
        <f t="shared" ca="1" si="176"/>
        <v/>
      </c>
      <c r="M1028" s="494" t="s">
        <v>1569</v>
      </c>
      <c r="N1028" s="555" t="str">
        <f t="shared" ca="1" si="177"/>
        <v/>
      </c>
      <c r="O1028" s="494" t="s">
        <v>1570</v>
      </c>
      <c r="P1028" s="555" t="str">
        <f t="shared" ca="1" si="178"/>
        <v/>
      </c>
      <c r="Q1028" s="494" t="s">
        <v>1589</v>
      </c>
      <c r="R1028" s="494" t="str">
        <f t="shared" si="172"/>
        <v>I1028</v>
      </c>
      <c r="S1028" s="494" t="s">
        <v>1590</v>
      </c>
      <c r="T1028" s="494">
        <v>6</v>
      </c>
      <c r="U1028" s="556" t="str">
        <f t="shared" ca="1" si="174"/>
        <v/>
      </c>
      <c r="V1028" s="494">
        <v>7</v>
      </c>
      <c r="W1028" s="556" t="str">
        <f t="shared" ca="1" si="175"/>
        <v/>
      </c>
      <c r="X1028" s="494" t="s">
        <v>1591</v>
      </c>
      <c r="Y1028" s="547" t="str">
        <f t="shared" ca="1" si="179"/>
        <v/>
      </c>
      <c r="Z1028" s="494" t="s">
        <v>1592</v>
      </c>
      <c r="AA1028" s="547" t="str">
        <f t="shared" ca="1" si="180"/>
        <v/>
      </c>
      <c r="AB1028" s="494" t="s">
        <v>1593</v>
      </c>
      <c r="AC1028" s="547" t="str">
        <f t="shared" ca="1" si="181"/>
        <v/>
      </c>
      <c r="AD1028" s="557"/>
      <c r="AE1028" s="958"/>
    </row>
    <row r="1029" spans="1:31" ht="15" customHeight="1">
      <c r="A1029" s="957" t="str">
        <f t="shared" ca="1" si="170"/>
        <v>31/32</v>
      </c>
      <c r="B1029" s="566" t="s">
        <v>167</v>
      </c>
      <c r="C1029" s="567" t="str">
        <f t="shared" ca="1" si="171"/>
        <v>Green Star - Industrial</v>
      </c>
      <c r="D1029" s="958">
        <v>1</v>
      </c>
      <c r="E1029" s="959" t="s">
        <v>404</v>
      </c>
      <c r="F1029" s="558" t="s">
        <v>1499</v>
      </c>
      <c r="G1029" s="558">
        <v>27</v>
      </c>
      <c r="H1029" s="558" t="s">
        <v>1229</v>
      </c>
      <c r="I1029" s="559" t="s">
        <v>1230</v>
      </c>
      <c r="J1029" s="567" t="s">
        <v>1588</v>
      </c>
      <c r="K1029" s="961" t="s">
        <v>1568</v>
      </c>
      <c r="L1029" s="555" t="str">
        <f t="shared" ca="1" si="176"/>
        <v/>
      </c>
      <c r="M1029" s="494" t="s">
        <v>1569</v>
      </c>
      <c r="N1029" s="555" t="str">
        <f t="shared" ca="1" si="177"/>
        <v/>
      </c>
      <c r="O1029" s="494" t="s">
        <v>1570</v>
      </c>
      <c r="P1029" s="555" t="str">
        <f t="shared" ca="1" si="178"/>
        <v/>
      </c>
      <c r="Q1029" s="494" t="s">
        <v>1589</v>
      </c>
      <c r="R1029" s="494" t="str">
        <f t="shared" si="172"/>
        <v>I1029</v>
      </c>
      <c r="S1029" s="494" t="s">
        <v>1590</v>
      </c>
      <c r="T1029" s="494">
        <v>6</v>
      </c>
      <c r="U1029" s="556" t="str">
        <f t="shared" ca="1" si="174"/>
        <v/>
      </c>
      <c r="V1029" s="494">
        <v>7</v>
      </c>
      <c r="W1029" s="556" t="str">
        <f t="shared" ca="1" si="175"/>
        <v/>
      </c>
      <c r="X1029" s="494" t="s">
        <v>1591</v>
      </c>
      <c r="Y1029" s="547" t="str">
        <f t="shared" ca="1" si="179"/>
        <v/>
      </c>
      <c r="Z1029" s="494" t="s">
        <v>1592</v>
      </c>
      <c r="AA1029" s="547" t="str">
        <f t="shared" ca="1" si="180"/>
        <v/>
      </c>
      <c r="AB1029" s="494" t="s">
        <v>1593</v>
      </c>
      <c r="AC1029" s="547" t="str">
        <f t="shared" ca="1" si="181"/>
        <v/>
      </c>
      <c r="AD1029" s="557"/>
      <c r="AE1029" s="958"/>
    </row>
    <row r="1030" spans="1:31" ht="15" customHeight="1">
      <c r="A1030" s="957" t="str">
        <f t="shared" ca="1" si="170"/>
        <v>31/32</v>
      </c>
      <c r="B1030" s="566" t="s">
        <v>167</v>
      </c>
      <c r="C1030" s="567" t="str">
        <f t="shared" ca="1" si="171"/>
        <v>Green Star - Industrial</v>
      </c>
      <c r="D1030" s="958">
        <v>1</v>
      </c>
      <c r="E1030" s="959" t="s">
        <v>404</v>
      </c>
      <c r="F1030" s="558" t="s">
        <v>1499</v>
      </c>
      <c r="G1030" s="558">
        <v>275</v>
      </c>
      <c r="H1030" s="558" t="s">
        <v>1231</v>
      </c>
      <c r="I1030" s="559" t="s">
        <v>1232</v>
      </c>
      <c r="J1030" s="567" t="s">
        <v>1588</v>
      </c>
      <c r="K1030" s="961" t="s">
        <v>1568</v>
      </c>
      <c r="L1030" s="555" t="str">
        <f t="shared" ca="1" si="176"/>
        <v/>
      </c>
      <c r="M1030" s="494" t="s">
        <v>1569</v>
      </c>
      <c r="N1030" s="555" t="str">
        <f t="shared" ca="1" si="177"/>
        <v/>
      </c>
      <c r="O1030" s="494" t="s">
        <v>1570</v>
      </c>
      <c r="P1030" s="555" t="str">
        <f t="shared" ca="1" si="178"/>
        <v/>
      </c>
      <c r="Q1030" s="494" t="s">
        <v>1589</v>
      </c>
      <c r="R1030" s="494" t="str">
        <f t="shared" si="172"/>
        <v>I1030</v>
      </c>
      <c r="S1030" s="494" t="s">
        <v>1590</v>
      </c>
      <c r="T1030" s="494">
        <v>6</v>
      </c>
      <c r="U1030" s="556" t="str">
        <f t="shared" ca="1" si="174"/>
        <v/>
      </c>
      <c r="V1030" s="494">
        <v>7</v>
      </c>
      <c r="W1030" s="556" t="str">
        <f t="shared" ca="1" si="175"/>
        <v/>
      </c>
      <c r="X1030" s="494" t="s">
        <v>1591</v>
      </c>
      <c r="Y1030" s="547" t="str">
        <f t="shared" ca="1" si="179"/>
        <v/>
      </c>
      <c r="Z1030" s="494" t="s">
        <v>1592</v>
      </c>
      <c r="AA1030" s="547" t="str">
        <f t="shared" ca="1" si="180"/>
        <v/>
      </c>
      <c r="AB1030" s="494" t="s">
        <v>1593</v>
      </c>
      <c r="AC1030" s="547" t="str">
        <f t="shared" ca="1" si="181"/>
        <v/>
      </c>
      <c r="AD1030" s="557"/>
      <c r="AE1030" s="958"/>
    </row>
    <row r="1031" spans="1:31" ht="15" customHeight="1">
      <c r="A1031" s="957" t="str">
        <f t="shared" ca="1" si="170"/>
        <v>31/32</v>
      </c>
      <c r="B1031" s="566" t="s">
        <v>167</v>
      </c>
      <c r="C1031" s="567" t="str">
        <f t="shared" ca="1" si="171"/>
        <v>Green Star - Industrial</v>
      </c>
      <c r="D1031" s="958">
        <v>1</v>
      </c>
      <c r="E1031" s="959" t="s">
        <v>404</v>
      </c>
      <c r="F1031" s="558" t="s">
        <v>1499</v>
      </c>
      <c r="G1031" s="558">
        <v>152</v>
      </c>
      <c r="H1031" s="558" t="s">
        <v>1233</v>
      </c>
      <c r="I1031" s="559" t="s">
        <v>1235</v>
      </c>
      <c r="J1031" s="567" t="s">
        <v>1588</v>
      </c>
      <c r="K1031" s="961" t="s">
        <v>1568</v>
      </c>
      <c r="L1031" s="555" t="str">
        <f t="shared" ca="1" si="176"/>
        <v/>
      </c>
      <c r="M1031" s="494" t="s">
        <v>1569</v>
      </c>
      <c r="N1031" s="555" t="str">
        <f t="shared" ca="1" si="177"/>
        <v/>
      </c>
      <c r="O1031" s="494" t="s">
        <v>1570</v>
      </c>
      <c r="P1031" s="555" t="str">
        <f t="shared" ca="1" si="178"/>
        <v/>
      </c>
      <c r="Q1031" s="494" t="s">
        <v>1589</v>
      </c>
      <c r="R1031" s="494" t="str">
        <f t="shared" si="172"/>
        <v>I1031</v>
      </c>
      <c r="S1031" s="494" t="s">
        <v>1594</v>
      </c>
      <c r="T1031" s="494">
        <v>6</v>
      </c>
      <c r="U1031" s="556" t="str">
        <f t="shared" ca="1" si="174"/>
        <v/>
      </c>
      <c r="V1031" s="494">
        <v>7</v>
      </c>
      <c r="W1031" s="556" t="str">
        <f t="shared" ca="1" si="175"/>
        <v/>
      </c>
      <c r="X1031" s="494" t="s">
        <v>1591</v>
      </c>
      <c r="Y1031" s="547" t="str">
        <f t="shared" ca="1" si="179"/>
        <v/>
      </c>
      <c r="Z1031" s="494" t="s">
        <v>1592</v>
      </c>
      <c r="AA1031" s="547" t="str">
        <f t="shared" ca="1" si="180"/>
        <v/>
      </c>
      <c r="AB1031" s="494" t="s">
        <v>1593</v>
      </c>
      <c r="AC1031" s="547" t="str">
        <f t="shared" ca="1" si="181"/>
        <v/>
      </c>
      <c r="AD1031" s="557"/>
      <c r="AE1031" s="958"/>
    </row>
    <row r="1032" spans="1:31" ht="15" customHeight="1">
      <c r="A1032" s="957" t="str">
        <f t="shared" ca="1" si="170"/>
        <v>31/32</v>
      </c>
      <c r="B1032" s="566" t="s">
        <v>167</v>
      </c>
      <c r="C1032" s="567" t="str">
        <f t="shared" ca="1" si="171"/>
        <v>Green Star - Industrial</v>
      </c>
      <c r="D1032" s="958">
        <v>1</v>
      </c>
      <c r="E1032" s="959" t="s">
        <v>404</v>
      </c>
      <c r="F1032" s="558" t="s">
        <v>1499</v>
      </c>
      <c r="G1032" s="558">
        <v>152</v>
      </c>
      <c r="H1032" s="558" t="s">
        <v>1233</v>
      </c>
      <c r="I1032" s="559" t="s">
        <v>1236</v>
      </c>
      <c r="J1032" s="567" t="s">
        <v>1588</v>
      </c>
      <c r="K1032" s="961" t="s">
        <v>1568</v>
      </c>
      <c r="L1032" s="555" t="str">
        <f t="shared" ca="1" si="176"/>
        <v/>
      </c>
      <c r="M1032" s="494" t="s">
        <v>1569</v>
      </c>
      <c r="N1032" s="555" t="str">
        <f t="shared" ca="1" si="177"/>
        <v/>
      </c>
      <c r="O1032" s="494" t="s">
        <v>1570</v>
      </c>
      <c r="P1032" s="555" t="str">
        <f t="shared" ca="1" si="178"/>
        <v/>
      </c>
      <c r="Q1032" s="494" t="s">
        <v>1589</v>
      </c>
      <c r="R1032" s="494" t="str">
        <f t="shared" ref="R1032:R1039" si="182">CONCATENATE("I",ROW(J1032))</f>
        <v>I1032</v>
      </c>
      <c r="S1032" s="494" t="s">
        <v>1594</v>
      </c>
      <c r="T1032" s="494">
        <v>6</v>
      </c>
      <c r="U1032" s="556" t="str">
        <f t="shared" ca="1" si="174"/>
        <v/>
      </c>
      <c r="V1032" s="494">
        <v>7</v>
      </c>
      <c r="W1032" s="556" t="str">
        <f t="shared" ca="1" si="175"/>
        <v/>
      </c>
      <c r="X1032" s="494" t="s">
        <v>1591</v>
      </c>
      <c r="Y1032" s="547" t="str">
        <f t="shared" ca="1" si="179"/>
        <v/>
      </c>
      <c r="Z1032" s="494" t="s">
        <v>1592</v>
      </c>
      <c r="AA1032" s="547" t="str">
        <f t="shared" ca="1" si="180"/>
        <v/>
      </c>
      <c r="AB1032" s="494" t="s">
        <v>1593</v>
      </c>
      <c r="AC1032" s="547" t="str">
        <f t="shared" ca="1" si="181"/>
        <v/>
      </c>
      <c r="AD1032" s="557"/>
      <c r="AE1032" s="958"/>
    </row>
    <row r="1033" spans="1:31" ht="15" customHeight="1">
      <c r="A1033" s="957" t="str">
        <f t="shared" ref="A1033:A1038" ca="1" si="183">IF(N1033="Design Review",31,IF(N1033="As Built",32,"31/32"))</f>
        <v>31/32</v>
      </c>
      <c r="B1033" s="566" t="s">
        <v>167</v>
      </c>
      <c r="C1033" s="567" t="str">
        <f t="shared" ref="C1033:C1038" ca="1" si="184">IF(N1033="Design Review","Green Star - Industrial Design",IF(N1033="As Built","Green Star - Industrial As Built","Green Star - Industrial"))</f>
        <v>Green Star - Industrial</v>
      </c>
      <c r="D1033" s="958">
        <v>1</v>
      </c>
      <c r="E1033" s="959" t="s">
        <v>404</v>
      </c>
      <c r="F1033" s="558" t="s">
        <v>1499</v>
      </c>
      <c r="G1033" s="558">
        <v>22</v>
      </c>
      <c r="H1033" s="558" t="s">
        <v>1237</v>
      </c>
      <c r="I1033" s="559" t="s">
        <v>409</v>
      </c>
      <c r="J1033" s="567" t="s">
        <v>1588</v>
      </c>
      <c r="K1033" s="961" t="s">
        <v>1568</v>
      </c>
      <c r="L1033" s="555" t="str">
        <f t="shared" ca="1" si="176"/>
        <v/>
      </c>
      <c r="M1033" s="494" t="s">
        <v>1569</v>
      </c>
      <c r="N1033" s="555" t="str">
        <f t="shared" ca="1" si="177"/>
        <v/>
      </c>
      <c r="O1033" s="494" t="s">
        <v>1570</v>
      </c>
      <c r="P1033" s="555" t="str">
        <f t="shared" ca="1" si="178"/>
        <v/>
      </c>
      <c r="Q1033" s="494" t="s">
        <v>1589</v>
      </c>
      <c r="R1033" s="494" t="str">
        <f t="shared" si="182"/>
        <v>I1033</v>
      </c>
      <c r="S1033" s="494" t="s">
        <v>1590</v>
      </c>
      <c r="T1033" s="494">
        <v>6</v>
      </c>
      <c r="U1033" s="556" t="str">
        <f t="shared" ca="1" si="174"/>
        <v/>
      </c>
      <c r="V1033" s="494">
        <v>7</v>
      </c>
      <c r="W1033" s="556" t="str">
        <f t="shared" ca="1" si="175"/>
        <v/>
      </c>
      <c r="X1033" s="494" t="s">
        <v>1591</v>
      </c>
      <c r="Y1033" s="547" t="str">
        <f t="shared" ca="1" si="179"/>
        <v/>
      </c>
      <c r="Z1033" s="494" t="s">
        <v>1592</v>
      </c>
      <c r="AA1033" s="547" t="str">
        <f t="shared" ca="1" si="180"/>
        <v/>
      </c>
      <c r="AB1033" s="494" t="s">
        <v>1593</v>
      </c>
      <c r="AC1033" s="547" t="str">
        <f t="shared" ca="1" si="181"/>
        <v/>
      </c>
      <c r="AD1033" s="557"/>
      <c r="AE1033" s="958"/>
    </row>
    <row r="1034" spans="1:31" ht="15" customHeight="1">
      <c r="A1034" s="957" t="str">
        <f t="shared" ca="1" si="183"/>
        <v>31/32</v>
      </c>
      <c r="B1034" s="566" t="s">
        <v>167</v>
      </c>
      <c r="C1034" s="567" t="str">
        <f t="shared" ca="1" si="184"/>
        <v>Green Star - Industrial</v>
      </c>
      <c r="D1034" s="958">
        <v>1</v>
      </c>
      <c r="E1034" s="959" t="s">
        <v>404</v>
      </c>
      <c r="F1034" s="558" t="s">
        <v>1499</v>
      </c>
      <c r="G1034" s="558">
        <v>153</v>
      </c>
      <c r="H1034" s="558" t="s">
        <v>1238</v>
      </c>
      <c r="I1034" s="559" t="s">
        <v>1289</v>
      </c>
      <c r="J1034" s="567" t="s">
        <v>1588</v>
      </c>
      <c r="K1034" s="961" t="s">
        <v>1568</v>
      </c>
      <c r="L1034" s="555" t="str">
        <f t="shared" ca="1" si="176"/>
        <v/>
      </c>
      <c r="M1034" s="494" t="s">
        <v>1569</v>
      </c>
      <c r="N1034" s="555" t="str">
        <f t="shared" ca="1" si="177"/>
        <v/>
      </c>
      <c r="O1034" s="494" t="s">
        <v>1570</v>
      </c>
      <c r="P1034" s="555" t="str">
        <f t="shared" ca="1" si="178"/>
        <v/>
      </c>
      <c r="Q1034" s="494" t="s">
        <v>1589</v>
      </c>
      <c r="R1034" s="494" t="str">
        <f t="shared" si="182"/>
        <v>I1034</v>
      </c>
      <c r="S1034" s="494" t="s">
        <v>1590</v>
      </c>
      <c r="T1034" s="494">
        <v>6</v>
      </c>
      <c r="U1034" s="556" t="str">
        <f t="shared" ca="1" si="174"/>
        <v/>
      </c>
      <c r="V1034" s="494">
        <v>7</v>
      </c>
      <c r="W1034" s="556" t="str">
        <f t="shared" ca="1" si="175"/>
        <v/>
      </c>
      <c r="X1034" s="494" t="s">
        <v>1591</v>
      </c>
      <c r="Y1034" s="547" t="str">
        <f t="shared" ca="1" si="179"/>
        <v/>
      </c>
      <c r="Z1034" s="494" t="s">
        <v>1592</v>
      </c>
      <c r="AA1034" s="547" t="str">
        <f t="shared" ca="1" si="180"/>
        <v/>
      </c>
      <c r="AB1034" s="494" t="s">
        <v>1593</v>
      </c>
      <c r="AC1034" s="547" t="str">
        <f t="shared" ca="1" si="181"/>
        <v/>
      </c>
      <c r="AD1034" s="557"/>
      <c r="AE1034" s="958"/>
    </row>
    <row r="1035" spans="1:31" ht="15" customHeight="1">
      <c r="A1035" s="957" t="str">
        <f t="shared" ca="1" si="183"/>
        <v>31/32</v>
      </c>
      <c r="B1035" s="566" t="s">
        <v>167</v>
      </c>
      <c r="C1035" s="567" t="str">
        <f t="shared" ca="1" si="184"/>
        <v>Green Star - Industrial</v>
      </c>
      <c r="D1035" s="958">
        <v>1</v>
      </c>
      <c r="E1035" s="959" t="s">
        <v>404</v>
      </c>
      <c r="F1035" s="558" t="s">
        <v>1499</v>
      </c>
      <c r="G1035" s="558">
        <v>276</v>
      </c>
      <c r="H1035" s="558" t="s">
        <v>1290</v>
      </c>
      <c r="I1035" s="559" t="s">
        <v>1291</v>
      </c>
      <c r="J1035" s="567" t="s">
        <v>1588</v>
      </c>
      <c r="K1035" s="961" t="s">
        <v>1568</v>
      </c>
      <c r="L1035" s="555" t="str">
        <f t="shared" ca="1" si="176"/>
        <v/>
      </c>
      <c r="M1035" s="494" t="s">
        <v>1569</v>
      </c>
      <c r="N1035" s="555" t="str">
        <f t="shared" ca="1" si="177"/>
        <v/>
      </c>
      <c r="O1035" s="494" t="s">
        <v>1570</v>
      </c>
      <c r="P1035" s="555" t="str">
        <f t="shared" ca="1" si="178"/>
        <v/>
      </c>
      <c r="Q1035" s="494" t="s">
        <v>1589</v>
      </c>
      <c r="R1035" s="494" t="str">
        <f t="shared" si="182"/>
        <v>I1035</v>
      </c>
      <c r="S1035" s="494" t="s">
        <v>1590</v>
      </c>
      <c r="T1035" s="494">
        <v>6</v>
      </c>
      <c r="U1035" s="556" t="str">
        <f t="shared" ca="1" si="174"/>
        <v/>
      </c>
      <c r="V1035" s="494">
        <v>7</v>
      </c>
      <c r="W1035" s="556" t="str">
        <f t="shared" ca="1" si="175"/>
        <v/>
      </c>
      <c r="X1035" s="494" t="s">
        <v>1591</v>
      </c>
      <c r="Y1035" s="547" t="str">
        <f t="shared" ca="1" si="179"/>
        <v/>
      </c>
      <c r="Z1035" s="494" t="s">
        <v>1592</v>
      </c>
      <c r="AA1035" s="547" t="str">
        <f t="shared" ca="1" si="180"/>
        <v/>
      </c>
      <c r="AB1035" s="494" t="s">
        <v>1593</v>
      </c>
      <c r="AC1035" s="547" t="str">
        <f t="shared" ca="1" si="181"/>
        <v/>
      </c>
      <c r="AD1035" s="557"/>
      <c r="AE1035" s="958"/>
    </row>
    <row r="1036" spans="1:31" ht="15" customHeight="1">
      <c r="A1036" s="957" t="str">
        <f t="shared" ca="1" si="183"/>
        <v>31/32</v>
      </c>
      <c r="B1036" s="566" t="s">
        <v>167</v>
      </c>
      <c r="C1036" s="567" t="str">
        <f t="shared" ca="1" si="184"/>
        <v>Green Star - Industrial</v>
      </c>
      <c r="D1036" s="958">
        <v>1</v>
      </c>
      <c r="E1036" s="959" t="s">
        <v>419</v>
      </c>
      <c r="F1036" s="558" t="s">
        <v>1501</v>
      </c>
      <c r="G1036" s="558">
        <v>18</v>
      </c>
      <c r="H1036" s="558" t="s">
        <v>1079</v>
      </c>
      <c r="I1036" s="559" t="s">
        <v>1242</v>
      </c>
      <c r="J1036" s="567" t="s">
        <v>1588</v>
      </c>
      <c r="K1036" s="961" t="s">
        <v>1568</v>
      </c>
      <c r="L1036" s="555" t="str">
        <f t="shared" ca="1" si="176"/>
        <v/>
      </c>
      <c r="M1036" s="494" t="s">
        <v>1569</v>
      </c>
      <c r="N1036" s="555" t="str">
        <f t="shared" ca="1" si="177"/>
        <v/>
      </c>
      <c r="O1036" s="494" t="s">
        <v>1570</v>
      </c>
      <c r="P1036" s="555" t="str">
        <f t="shared" ca="1" si="178"/>
        <v/>
      </c>
      <c r="Q1036" s="494" t="s">
        <v>1589</v>
      </c>
      <c r="R1036" s="494" t="str">
        <f t="shared" si="182"/>
        <v>I1036</v>
      </c>
      <c r="S1036" s="494" t="s">
        <v>1590</v>
      </c>
      <c r="T1036" s="494">
        <v>6</v>
      </c>
      <c r="U1036" s="556" t="str">
        <f t="shared" ca="1" si="174"/>
        <v/>
      </c>
      <c r="V1036" s="494">
        <v>7</v>
      </c>
      <c r="W1036" s="556" t="str">
        <f t="shared" ca="1" si="175"/>
        <v/>
      </c>
      <c r="X1036" s="494" t="s">
        <v>1591</v>
      </c>
      <c r="Y1036" s="547" t="str">
        <f t="shared" ca="1" si="179"/>
        <v/>
      </c>
      <c r="Z1036" s="494" t="s">
        <v>1592</v>
      </c>
      <c r="AA1036" s="547" t="str">
        <f t="shared" ca="1" si="180"/>
        <v/>
      </c>
      <c r="AB1036" s="494" t="s">
        <v>1593</v>
      </c>
      <c r="AC1036" s="547" t="str">
        <f t="shared" ca="1" si="181"/>
        <v/>
      </c>
      <c r="AD1036" s="557"/>
      <c r="AE1036" s="958"/>
    </row>
    <row r="1037" spans="1:31" ht="15" customHeight="1">
      <c r="A1037" s="957" t="str">
        <f t="shared" ca="1" si="183"/>
        <v>31/32</v>
      </c>
      <c r="B1037" s="566" t="s">
        <v>167</v>
      </c>
      <c r="C1037" s="567" t="str">
        <f t="shared" ca="1" si="184"/>
        <v>Green Star - Industrial</v>
      </c>
      <c r="D1037" s="958">
        <v>1</v>
      </c>
      <c r="E1037" s="959" t="s">
        <v>419</v>
      </c>
      <c r="F1037" s="558" t="s">
        <v>1501</v>
      </c>
      <c r="G1037" s="558">
        <v>24</v>
      </c>
      <c r="H1037" s="558" t="s">
        <v>1243</v>
      </c>
      <c r="I1037" s="559" t="s">
        <v>1244</v>
      </c>
      <c r="J1037" s="567" t="s">
        <v>1588</v>
      </c>
      <c r="K1037" s="961" t="s">
        <v>1568</v>
      </c>
      <c r="L1037" s="555" t="str">
        <f t="shared" ca="1" si="176"/>
        <v/>
      </c>
      <c r="M1037" s="494" t="s">
        <v>1569</v>
      </c>
      <c r="N1037" s="555" t="str">
        <f t="shared" ca="1" si="177"/>
        <v/>
      </c>
      <c r="O1037" s="494" t="s">
        <v>1570</v>
      </c>
      <c r="P1037" s="555" t="str">
        <f t="shared" ca="1" si="178"/>
        <v/>
      </c>
      <c r="Q1037" s="494" t="s">
        <v>1589</v>
      </c>
      <c r="R1037" s="494" t="str">
        <f t="shared" si="182"/>
        <v>I1037</v>
      </c>
      <c r="S1037" s="494" t="s">
        <v>1590</v>
      </c>
      <c r="T1037" s="494">
        <v>6</v>
      </c>
      <c r="U1037" s="556" t="str">
        <f t="shared" ca="1" si="174"/>
        <v/>
      </c>
      <c r="V1037" s="494">
        <v>7</v>
      </c>
      <c r="W1037" s="556" t="str">
        <f t="shared" ca="1" si="175"/>
        <v/>
      </c>
      <c r="X1037" s="494" t="s">
        <v>1591</v>
      </c>
      <c r="Y1037" s="547" t="str">
        <f t="shared" ca="1" si="179"/>
        <v/>
      </c>
      <c r="Z1037" s="494" t="s">
        <v>1592</v>
      </c>
      <c r="AA1037" s="547" t="str">
        <f t="shared" ca="1" si="180"/>
        <v/>
      </c>
      <c r="AB1037" s="494" t="s">
        <v>1593</v>
      </c>
      <c r="AC1037" s="547" t="str">
        <f t="shared" ca="1" si="181"/>
        <v/>
      </c>
      <c r="AD1037" s="557"/>
      <c r="AE1037" s="958"/>
    </row>
    <row r="1038" spans="1:31" ht="15" customHeight="1">
      <c r="A1038" s="957" t="str">
        <f t="shared" ca="1" si="183"/>
        <v>31/32</v>
      </c>
      <c r="B1038" s="566" t="s">
        <v>167</v>
      </c>
      <c r="C1038" s="567" t="str">
        <f t="shared" ca="1" si="184"/>
        <v>Green Star - Industrial</v>
      </c>
      <c r="D1038" s="958">
        <v>1</v>
      </c>
      <c r="E1038" s="959" t="s">
        <v>419</v>
      </c>
      <c r="F1038" s="558" t="s">
        <v>1501</v>
      </c>
      <c r="G1038" s="558">
        <v>28</v>
      </c>
      <c r="H1038" s="558" t="s">
        <v>1245</v>
      </c>
      <c r="I1038" s="559" t="s">
        <v>1246</v>
      </c>
      <c r="J1038" s="567" t="s">
        <v>1588</v>
      </c>
      <c r="K1038" s="961" t="s">
        <v>1568</v>
      </c>
      <c r="L1038" s="555" t="str">
        <f t="shared" ca="1" si="176"/>
        <v/>
      </c>
      <c r="M1038" s="494" t="s">
        <v>1569</v>
      </c>
      <c r="N1038" s="555" t="str">
        <f t="shared" ca="1" si="177"/>
        <v/>
      </c>
      <c r="O1038" s="494" t="s">
        <v>1570</v>
      </c>
      <c r="P1038" s="555" t="str">
        <f t="shared" ca="1" si="178"/>
        <v/>
      </c>
      <c r="Q1038" s="494" t="s">
        <v>1589</v>
      </c>
      <c r="R1038" s="494" t="str">
        <f t="shared" si="182"/>
        <v>I1038</v>
      </c>
      <c r="S1038" s="494" t="s">
        <v>1590</v>
      </c>
      <c r="T1038" s="494">
        <v>6</v>
      </c>
      <c r="U1038" s="556" t="str">
        <f t="shared" ca="1" si="174"/>
        <v/>
      </c>
      <c r="V1038" s="494">
        <v>7</v>
      </c>
      <c r="W1038" s="556" t="str">
        <f t="shared" ca="1" si="175"/>
        <v/>
      </c>
      <c r="X1038" s="494" t="s">
        <v>1591</v>
      </c>
      <c r="Y1038" s="547" t="str">
        <f t="shared" ca="1" si="179"/>
        <v/>
      </c>
      <c r="Z1038" s="494" t="s">
        <v>1592</v>
      </c>
      <c r="AA1038" s="547" t="str">
        <f t="shared" ca="1" si="180"/>
        <v/>
      </c>
      <c r="AB1038" s="494" t="s">
        <v>1593</v>
      </c>
      <c r="AC1038" s="547" t="str">
        <f t="shared" ca="1" si="181"/>
        <v/>
      </c>
      <c r="AD1038" s="557"/>
      <c r="AE1038" s="958"/>
    </row>
    <row r="1039" spans="1:31" ht="15" customHeight="1">
      <c r="A1039" s="957">
        <v>44</v>
      </c>
      <c r="B1039" s="566" t="s">
        <v>142</v>
      </c>
      <c r="C1039" s="567" t="s">
        <v>1595</v>
      </c>
      <c r="D1039" s="958" t="s">
        <v>1596</v>
      </c>
      <c r="E1039" s="959" t="s">
        <v>254</v>
      </c>
      <c r="F1039" s="558" t="s">
        <v>1444</v>
      </c>
      <c r="G1039" s="558">
        <v>326</v>
      </c>
      <c r="H1039" s="558">
        <v>1</v>
      </c>
      <c r="I1039" s="559" t="s">
        <v>942</v>
      </c>
      <c r="J1039" s="567" t="s">
        <v>1597</v>
      </c>
      <c r="K1039" s="961" t="s">
        <v>1568</v>
      </c>
      <c r="L1039" s="555" t="str">
        <f t="shared" ca="1" si="176"/>
        <v/>
      </c>
      <c r="M1039" s="494" t="s">
        <v>1373</v>
      </c>
      <c r="N1039" s="555" t="str">
        <f t="shared" ca="1" si="177"/>
        <v/>
      </c>
      <c r="O1039" s="494" t="s">
        <v>1598</v>
      </c>
      <c r="P1039" s="555" t="str">
        <f t="shared" ca="1" si="178"/>
        <v/>
      </c>
      <c r="Q1039" s="494" t="s">
        <v>1599</v>
      </c>
      <c r="R1039" s="494" t="str">
        <f t="shared" si="182"/>
        <v>I1039</v>
      </c>
      <c r="S1039" s="494" t="s">
        <v>1600</v>
      </c>
      <c r="T1039" s="494">
        <v>5</v>
      </c>
      <c r="U1039" s="556" t="str">
        <f t="shared" ca="1" si="174"/>
        <v/>
      </c>
      <c r="V1039" s="494">
        <v>6</v>
      </c>
      <c r="W1039" s="556" t="str">
        <f t="shared" ca="1" si="175"/>
        <v/>
      </c>
      <c r="X1039" s="494" t="s">
        <v>1601</v>
      </c>
      <c r="Y1039" s="547" t="str">
        <f t="shared" ca="1" si="179"/>
        <v/>
      </c>
      <c r="Z1039" s="494" t="s">
        <v>1602</v>
      </c>
      <c r="AA1039" s="547" t="str">
        <f t="shared" ca="1" si="180"/>
        <v/>
      </c>
      <c r="AB1039" s="494" t="s">
        <v>1603</v>
      </c>
      <c r="AC1039" s="547" t="str">
        <f t="shared" ca="1" si="181"/>
        <v/>
      </c>
      <c r="AD1039" s="557"/>
      <c r="AE1039" s="958"/>
    </row>
    <row r="1040" spans="1:31" ht="15" customHeight="1">
      <c r="A1040" s="957">
        <v>44</v>
      </c>
      <c r="B1040" s="566" t="s">
        <v>142</v>
      </c>
      <c r="C1040" s="567" t="s">
        <v>1595</v>
      </c>
      <c r="D1040" s="958" t="s">
        <v>1596</v>
      </c>
      <c r="E1040" s="959" t="s">
        <v>254</v>
      </c>
      <c r="F1040" s="558" t="s">
        <v>1444</v>
      </c>
      <c r="G1040" s="558">
        <v>325</v>
      </c>
      <c r="H1040" s="558">
        <v>2</v>
      </c>
      <c r="I1040" s="559" t="s">
        <v>944</v>
      </c>
      <c r="J1040" s="567" t="s">
        <v>1597</v>
      </c>
      <c r="K1040" s="961" t="s">
        <v>1568</v>
      </c>
      <c r="L1040" s="555" t="str">
        <f t="shared" ca="1" si="176"/>
        <v/>
      </c>
      <c r="M1040" s="494" t="s">
        <v>1373</v>
      </c>
      <c r="N1040" s="555" t="str">
        <f t="shared" ca="1" si="177"/>
        <v/>
      </c>
      <c r="O1040" s="494" t="s">
        <v>1598</v>
      </c>
      <c r="P1040" s="555" t="str">
        <f t="shared" ca="1" si="178"/>
        <v/>
      </c>
      <c r="Q1040" s="494" t="s">
        <v>1599</v>
      </c>
      <c r="R1040" s="494" t="str">
        <f t="shared" ref="R1040:R1098" si="185">CONCATENATE("I",ROW(J1040))</f>
        <v>I1040</v>
      </c>
      <c r="S1040" s="494" t="s">
        <v>1600</v>
      </c>
      <c r="T1040" s="494">
        <v>5</v>
      </c>
      <c r="U1040" s="556" t="str">
        <f t="shared" ca="1" si="174"/>
        <v/>
      </c>
      <c r="V1040" s="494">
        <v>6</v>
      </c>
      <c r="W1040" s="556" t="str">
        <f t="shared" ca="1" si="175"/>
        <v/>
      </c>
      <c r="X1040" s="494" t="s">
        <v>1601</v>
      </c>
      <c r="Y1040" s="547" t="str">
        <f t="shared" ca="1" si="179"/>
        <v/>
      </c>
      <c r="Z1040" s="494" t="s">
        <v>1602</v>
      </c>
      <c r="AA1040" s="547" t="str">
        <f t="shared" ca="1" si="180"/>
        <v/>
      </c>
      <c r="AB1040" s="494" t="s">
        <v>1603</v>
      </c>
      <c r="AC1040" s="547" t="str">
        <f t="shared" ca="1" si="181"/>
        <v/>
      </c>
      <c r="AD1040" s="557"/>
      <c r="AE1040" s="958"/>
    </row>
    <row r="1041" spans="1:31" ht="15" customHeight="1">
      <c r="A1041" s="957">
        <v>44</v>
      </c>
      <c r="B1041" s="566" t="s">
        <v>142</v>
      </c>
      <c r="C1041" s="567" t="s">
        <v>1595</v>
      </c>
      <c r="D1041" s="958" t="s">
        <v>1596</v>
      </c>
      <c r="E1041" s="959" t="s">
        <v>254</v>
      </c>
      <c r="F1041" s="558" t="s">
        <v>1444</v>
      </c>
      <c r="G1041" s="558">
        <v>325</v>
      </c>
      <c r="H1041" s="558">
        <v>2</v>
      </c>
      <c r="I1041" s="559" t="s">
        <v>945</v>
      </c>
      <c r="J1041" s="567" t="s">
        <v>1597</v>
      </c>
      <c r="K1041" s="961" t="s">
        <v>1568</v>
      </c>
      <c r="L1041" s="555" t="str">
        <f t="shared" ca="1" si="176"/>
        <v/>
      </c>
      <c r="M1041" s="494" t="s">
        <v>1373</v>
      </c>
      <c r="N1041" s="555" t="str">
        <f t="shared" ca="1" si="177"/>
        <v/>
      </c>
      <c r="O1041" s="494" t="s">
        <v>1598</v>
      </c>
      <c r="P1041" s="555" t="str">
        <f t="shared" ca="1" si="178"/>
        <v/>
      </c>
      <c r="Q1041" s="494" t="s">
        <v>1599</v>
      </c>
      <c r="R1041" s="494" t="str">
        <f t="shared" si="185"/>
        <v>I1041</v>
      </c>
      <c r="S1041" s="494" t="s">
        <v>1600</v>
      </c>
      <c r="T1041" s="494">
        <v>5</v>
      </c>
      <c r="U1041" s="556" t="str">
        <f t="shared" ca="1" si="174"/>
        <v/>
      </c>
      <c r="V1041" s="494">
        <v>6</v>
      </c>
      <c r="W1041" s="556" t="str">
        <f t="shared" ca="1" si="175"/>
        <v/>
      </c>
      <c r="X1041" s="494" t="s">
        <v>1601</v>
      </c>
      <c r="Y1041" s="547" t="str">
        <f t="shared" ca="1" si="179"/>
        <v/>
      </c>
      <c r="Z1041" s="494" t="s">
        <v>1602</v>
      </c>
      <c r="AA1041" s="547" t="str">
        <f t="shared" ca="1" si="180"/>
        <v/>
      </c>
      <c r="AB1041" s="494" t="s">
        <v>1603</v>
      </c>
      <c r="AC1041" s="547" t="str">
        <f t="shared" ca="1" si="181"/>
        <v/>
      </c>
      <c r="AD1041" s="557"/>
      <c r="AE1041" s="958"/>
    </row>
    <row r="1042" spans="1:31" ht="15" customHeight="1">
      <c r="A1042" s="957">
        <v>44</v>
      </c>
      <c r="B1042" s="566" t="s">
        <v>142</v>
      </c>
      <c r="C1042" s="567" t="s">
        <v>1595</v>
      </c>
      <c r="D1042" s="958" t="s">
        <v>1596</v>
      </c>
      <c r="E1042" s="959" t="s">
        <v>254</v>
      </c>
      <c r="F1042" s="558" t="s">
        <v>1444</v>
      </c>
      <c r="G1042" s="558">
        <v>325</v>
      </c>
      <c r="H1042" s="558">
        <v>2</v>
      </c>
      <c r="I1042" s="559" t="s">
        <v>946</v>
      </c>
      <c r="J1042" s="567" t="s">
        <v>1597</v>
      </c>
      <c r="K1042" s="961" t="s">
        <v>1568</v>
      </c>
      <c r="L1042" s="555" t="str">
        <f t="shared" ca="1" si="176"/>
        <v/>
      </c>
      <c r="M1042" s="494" t="s">
        <v>1373</v>
      </c>
      <c r="N1042" s="555" t="str">
        <f t="shared" ca="1" si="177"/>
        <v/>
      </c>
      <c r="O1042" s="494" t="s">
        <v>1598</v>
      </c>
      <c r="P1042" s="555" t="str">
        <f t="shared" ca="1" si="178"/>
        <v/>
      </c>
      <c r="Q1042" s="494" t="s">
        <v>1599</v>
      </c>
      <c r="R1042" s="494" t="str">
        <f t="shared" si="185"/>
        <v>I1042</v>
      </c>
      <c r="S1042" s="494" t="s">
        <v>1600</v>
      </c>
      <c r="T1042" s="494">
        <v>5</v>
      </c>
      <c r="U1042" s="556" t="str">
        <f t="shared" ca="1" si="174"/>
        <v/>
      </c>
      <c r="V1042" s="494">
        <v>6</v>
      </c>
      <c r="W1042" s="556" t="str">
        <f t="shared" ca="1" si="175"/>
        <v/>
      </c>
      <c r="X1042" s="494" t="s">
        <v>1601</v>
      </c>
      <c r="Y1042" s="547" t="str">
        <f t="shared" ca="1" si="179"/>
        <v/>
      </c>
      <c r="Z1042" s="494" t="s">
        <v>1602</v>
      </c>
      <c r="AA1042" s="547" t="str">
        <f t="shared" ca="1" si="180"/>
        <v/>
      </c>
      <c r="AB1042" s="494" t="s">
        <v>1603</v>
      </c>
      <c r="AC1042" s="547" t="str">
        <f t="shared" ca="1" si="181"/>
        <v/>
      </c>
      <c r="AD1042" s="557"/>
      <c r="AE1042" s="958"/>
    </row>
    <row r="1043" spans="1:31" ht="15" customHeight="1">
      <c r="A1043" s="957">
        <v>44</v>
      </c>
      <c r="B1043" s="566" t="s">
        <v>142</v>
      </c>
      <c r="C1043" s="567" t="s">
        <v>1595</v>
      </c>
      <c r="D1043" s="958" t="s">
        <v>1596</v>
      </c>
      <c r="E1043" s="959" t="s">
        <v>254</v>
      </c>
      <c r="F1043" s="558" t="s">
        <v>1444</v>
      </c>
      <c r="G1043" s="558">
        <v>327</v>
      </c>
      <c r="H1043" s="558">
        <v>3</v>
      </c>
      <c r="I1043" s="559" t="s">
        <v>948</v>
      </c>
      <c r="J1043" s="567" t="s">
        <v>1597</v>
      </c>
      <c r="K1043" s="961" t="s">
        <v>1568</v>
      </c>
      <c r="L1043" s="555" t="str">
        <f t="shared" ca="1" si="176"/>
        <v/>
      </c>
      <c r="M1043" s="494" t="s">
        <v>1373</v>
      </c>
      <c r="N1043" s="555" t="str">
        <f t="shared" ca="1" si="177"/>
        <v/>
      </c>
      <c r="O1043" s="494" t="s">
        <v>1598</v>
      </c>
      <c r="P1043" s="555" t="str">
        <f t="shared" ca="1" si="178"/>
        <v/>
      </c>
      <c r="Q1043" s="494" t="s">
        <v>1599</v>
      </c>
      <c r="R1043" s="494" t="str">
        <f t="shared" si="185"/>
        <v>I1043</v>
      </c>
      <c r="S1043" s="494" t="s">
        <v>1600</v>
      </c>
      <c r="T1043" s="494">
        <v>5</v>
      </c>
      <c r="U1043" s="556" t="str">
        <f t="shared" ca="1" si="174"/>
        <v/>
      </c>
      <c r="V1043" s="494">
        <v>6</v>
      </c>
      <c r="W1043" s="556" t="str">
        <f t="shared" ca="1" si="175"/>
        <v/>
      </c>
      <c r="X1043" s="494" t="s">
        <v>1601</v>
      </c>
      <c r="Y1043" s="547" t="str">
        <f t="shared" ca="1" si="179"/>
        <v/>
      </c>
      <c r="Z1043" s="494" t="s">
        <v>1602</v>
      </c>
      <c r="AA1043" s="547" t="str">
        <f t="shared" ca="1" si="180"/>
        <v/>
      </c>
      <c r="AB1043" s="494" t="s">
        <v>1603</v>
      </c>
      <c r="AC1043" s="547" t="str">
        <f t="shared" ca="1" si="181"/>
        <v/>
      </c>
      <c r="AD1043" s="557"/>
      <c r="AE1043" s="958"/>
    </row>
    <row r="1044" spans="1:31" ht="15" customHeight="1">
      <c r="A1044" s="957">
        <v>44</v>
      </c>
      <c r="B1044" s="566" t="s">
        <v>142</v>
      </c>
      <c r="C1044" s="567" t="s">
        <v>1595</v>
      </c>
      <c r="D1044" s="958" t="s">
        <v>1596</v>
      </c>
      <c r="E1044" s="959" t="s">
        <v>254</v>
      </c>
      <c r="F1044" s="558" t="s">
        <v>1444</v>
      </c>
      <c r="G1044" s="558">
        <v>327</v>
      </c>
      <c r="H1044" s="558">
        <v>3</v>
      </c>
      <c r="I1044" s="559" t="s">
        <v>270</v>
      </c>
      <c r="J1044" s="567" t="s">
        <v>1597</v>
      </c>
      <c r="K1044" s="961" t="s">
        <v>1568</v>
      </c>
      <c r="L1044" s="555" t="str">
        <f t="shared" ca="1" si="176"/>
        <v/>
      </c>
      <c r="M1044" s="494" t="s">
        <v>1373</v>
      </c>
      <c r="N1044" s="555" t="str">
        <f t="shared" ca="1" si="177"/>
        <v/>
      </c>
      <c r="O1044" s="494" t="s">
        <v>1598</v>
      </c>
      <c r="P1044" s="555" t="str">
        <f t="shared" ca="1" si="178"/>
        <v/>
      </c>
      <c r="Q1044" s="494" t="s">
        <v>1599</v>
      </c>
      <c r="R1044" s="494" t="str">
        <f t="shared" si="185"/>
        <v>I1044</v>
      </c>
      <c r="S1044" s="494" t="s">
        <v>1600</v>
      </c>
      <c r="T1044" s="494">
        <v>5</v>
      </c>
      <c r="U1044" s="556" t="str">
        <f t="shared" ca="1" si="174"/>
        <v/>
      </c>
      <c r="V1044" s="494">
        <v>6</v>
      </c>
      <c r="W1044" s="556" t="str">
        <f t="shared" ca="1" si="175"/>
        <v/>
      </c>
      <c r="X1044" s="494" t="s">
        <v>1601</v>
      </c>
      <c r="Y1044" s="547" t="str">
        <f t="shared" ca="1" si="179"/>
        <v/>
      </c>
      <c r="Z1044" s="494" t="s">
        <v>1602</v>
      </c>
      <c r="AA1044" s="547" t="str">
        <f t="shared" ca="1" si="180"/>
        <v/>
      </c>
      <c r="AB1044" s="494" t="s">
        <v>1603</v>
      </c>
      <c r="AC1044" s="547" t="str">
        <f t="shared" ca="1" si="181"/>
        <v/>
      </c>
      <c r="AD1044" s="557"/>
      <c r="AE1044" s="958"/>
    </row>
    <row r="1045" spans="1:31" ht="15" customHeight="1">
      <c r="A1045" s="957">
        <v>44</v>
      </c>
      <c r="B1045" s="566" t="s">
        <v>142</v>
      </c>
      <c r="C1045" s="567" t="s">
        <v>1595</v>
      </c>
      <c r="D1045" s="958" t="s">
        <v>1596</v>
      </c>
      <c r="E1045" s="959" t="s">
        <v>254</v>
      </c>
      <c r="F1045" s="558" t="s">
        <v>1444</v>
      </c>
      <c r="G1045" s="558">
        <v>327</v>
      </c>
      <c r="H1045" s="558">
        <v>3</v>
      </c>
      <c r="I1045" s="559" t="s">
        <v>949</v>
      </c>
      <c r="J1045" s="567" t="s">
        <v>1597</v>
      </c>
      <c r="K1045" s="961" t="s">
        <v>1568</v>
      </c>
      <c r="L1045" s="555" t="str">
        <f t="shared" ca="1" si="176"/>
        <v/>
      </c>
      <c r="M1045" s="494" t="s">
        <v>1373</v>
      </c>
      <c r="N1045" s="555" t="str">
        <f t="shared" ca="1" si="177"/>
        <v/>
      </c>
      <c r="O1045" s="494" t="s">
        <v>1598</v>
      </c>
      <c r="P1045" s="555" t="str">
        <f t="shared" ca="1" si="178"/>
        <v/>
      </c>
      <c r="Q1045" s="494" t="s">
        <v>1599</v>
      </c>
      <c r="R1045" s="494" t="str">
        <f t="shared" si="185"/>
        <v>I1045</v>
      </c>
      <c r="S1045" s="494" t="s">
        <v>1600</v>
      </c>
      <c r="T1045" s="494">
        <v>5</v>
      </c>
      <c r="U1045" s="556" t="str">
        <f t="shared" ca="1" si="174"/>
        <v/>
      </c>
      <c r="V1045" s="494">
        <v>6</v>
      </c>
      <c r="W1045" s="556" t="str">
        <f t="shared" ca="1" si="175"/>
        <v/>
      </c>
      <c r="X1045" s="494" t="s">
        <v>1601</v>
      </c>
      <c r="Y1045" s="547" t="str">
        <f t="shared" ca="1" si="179"/>
        <v/>
      </c>
      <c r="Z1045" s="494" t="s">
        <v>1602</v>
      </c>
      <c r="AA1045" s="547" t="str">
        <f t="shared" ca="1" si="180"/>
        <v/>
      </c>
      <c r="AB1045" s="494" t="s">
        <v>1603</v>
      </c>
      <c r="AC1045" s="547" t="str">
        <f t="shared" ca="1" si="181"/>
        <v/>
      </c>
      <c r="AD1045" s="557"/>
      <c r="AE1045" s="958"/>
    </row>
    <row r="1046" spans="1:31" ht="15" customHeight="1">
      <c r="A1046" s="957">
        <v>44</v>
      </c>
      <c r="B1046" s="566" t="s">
        <v>142</v>
      </c>
      <c r="C1046" s="567" t="s">
        <v>1595</v>
      </c>
      <c r="D1046" s="958" t="s">
        <v>1596</v>
      </c>
      <c r="E1046" s="959" t="s">
        <v>254</v>
      </c>
      <c r="F1046" s="558" t="s">
        <v>1444</v>
      </c>
      <c r="G1046" s="558">
        <v>327</v>
      </c>
      <c r="H1046" s="558">
        <v>3</v>
      </c>
      <c r="I1046" s="559" t="s">
        <v>950</v>
      </c>
      <c r="J1046" s="567" t="s">
        <v>1597</v>
      </c>
      <c r="K1046" s="961" t="s">
        <v>1568</v>
      </c>
      <c r="L1046" s="555" t="str">
        <f t="shared" ca="1" si="176"/>
        <v/>
      </c>
      <c r="M1046" s="494" t="s">
        <v>1373</v>
      </c>
      <c r="N1046" s="555" t="str">
        <f t="shared" ca="1" si="177"/>
        <v/>
      </c>
      <c r="O1046" s="494" t="s">
        <v>1598</v>
      </c>
      <c r="P1046" s="555" t="str">
        <f t="shared" ca="1" si="178"/>
        <v/>
      </c>
      <c r="Q1046" s="494" t="s">
        <v>1599</v>
      </c>
      <c r="R1046" s="494" t="str">
        <f t="shared" si="185"/>
        <v>I1046</v>
      </c>
      <c r="S1046" s="494" t="s">
        <v>1600</v>
      </c>
      <c r="T1046" s="494">
        <v>5</v>
      </c>
      <c r="U1046" s="556" t="str">
        <f t="shared" ca="1" si="174"/>
        <v/>
      </c>
      <c r="V1046" s="494">
        <v>6</v>
      </c>
      <c r="W1046" s="556" t="str">
        <f t="shared" ca="1" si="175"/>
        <v/>
      </c>
      <c r="X1046" s="494" t="s">
        <v>1601</v>
      </c>
      <c r="Y1046" s="547" t="str">
        <f t="shared" ca="1" si="179"/>
        <v/>
      </c>
      <c r="Z1046" s="494" t="s">
        <v>1602</v>
      </c>
      <c r="AA1046" s="547" t="str">
        <f t="shared" ca="1" si="180"/>
        <v/>
      </c>
      <c r="AB1046" s="494" t="s">
        <v>1603</v>
      </c>
      <c r="AC1046" s="547" t="str">
        <f t="shared" ca="1" si="181"/>
        <v/>
      </c>
      <c r="AD1046" s="557"/>
      <c r="AE1046" s="958"/>
    </row>
    <row r="1047" spans="1:31" ht="15" customHeight="1">
      <c r="A1047" s="957">
        <v>44</v>
      </c>
      <c r="B1047" s="566" t="s">
        <v>142</v>
      </c>
      <c r="C1047" s="567" t="s">
        <v>1595</v>
      </c>
      <c r="D1047" s="958" t="s">
        <v>1596</v>
      </c>
      <c r="E1047" s="959" t="s">
        <v>254</v>
      </c>
      <c r="F1047" s="558" t="s">
        <v>1444</v>
      </c>
      <c r="G1047" s="558">
        <v>327</v>
      </c>
      <c r="H1047" s="558">
        <v>3</v>
      </c>
      <c r="I1047" s="559" t="s">
        <v>951</v>
      </c>
      <c r="J1047" s="567" t="s">
        <v>1597</v>
      </c>
      <c r="K1047" s="961" t="s">
        <v>1568</v>
      </c>
      <c r="L1047" s="555" t="str">
        <f t="shared" ca="1" si="176"/>
        <v/>
      </c>
      <c r="M1047" s="494" t="s">
        <v>1373</v>
      </c>
      <c r="N1047" s="555" t="str">
        <f t="shared" ca="1" si="177"/>
        <v/>
      </c>
      <c r="O1047" s="494" t="s">
        <v>1598</v>
      </c>
      <c r="P1047" s="555" t="str">
        <f t="shared" ca="1" si="178"/>
        <v/>
      </c>
      <c r="Q1047" s="494" t="s">
        <v>1599</v>
      </c>
      <c r="R1047" s="494" t="str">
        <f t="shared" si="185"/>
        <v>I1047</v>
      </c>
      <c r="S1047" s="494" t="s">
        <v>1600</v>
      </c>
      <c r="T1047" s="494">
        <v>5</v>
      </c>
      <c r="U1047" s="556" t="str">
        <f t="shared" ca="1" si="174"/>
        <v/>
      </c>
      <c r="V1047" s="494">
        <v>6</v>
      </c>
      <c r="W1047" s="556" t="str">
        <f t="shared" ca="1" si="175"/>
        <v/>
      </c>
      <c r="X1047" s="494" t="s">
        <v>1601</v>
      </c>
      <c r="Y1047" s="547" t="str">
        <f t="shared" ca="1" si="179"/>
        <v/>
      </c>
      <c r="Z1047" s="494" t="s">
        <v>1602</v>
      </c>
      <c r="AA1047" s="547" t="str">
        <f t="shared" ca="1" si="180"/>
        <v/>
      </c>
      <c r="AB1047" s="494" t="s">
        <v>1603</v>
      </c>
      <c r="AC1047" s="547" t="str">
        <f t="shared" ca="1" si="181"/>
        <v/>
      </c>
      <c r="AD1047" s="557"/>
      <c r="AE1047" s="958"/>
    </row>
    <row r="1048" spans="1:31" ht="15" customHeight="1">
      <c r="A1048" s="957">
        <v>44</v>
      </c>
      <c r="B1048" s="566" t="s">
        <v>142</v>
      </c>
      <c r="C1048" s="567" t="s">
        <v>1595</v>
      </c>
      <c r="D1048" s="958" t="s">
        <v>1596</v>
      </c>
      <c r="E1048" s="959" t="s">
        <v>254</v>
      </c>
      <c r="F1048" s="558" t="s">
        <v>1444</v>
      </c>
      <c r="G1048" s="558">
        <v>328</v>
      </c>
      <c r="H1048" s="558">
        <v>4</v>
      </c>
      <c r="I1048" s="559" t="s">
        <v>952</v>
      </c>
      <c r="J1048" s="567" t="s">
        <v>1597</v>
      </c>
      <c r="K1048" s="961" t="s">
        <v>1568</v>
      </c>
      <c r="L1048" s="555" t="str">
        <f t="shared" ca="1" si="176"/>
        <v/>
      </c>
      <c r="M1048" s="494" t="s">
        <v>1373</v>
      </c>
      <c r="N1048" s="555" t="str">
        <f t="shared" ca="1" si="177"/>
        <v/>
      </c>
      <c r="O1048" s="494" t="s">
        <v>1598</v>
      </c>
      <c r="P1048" s="555" t="str">
        <f t="shared" ca="1" si="178"/>
        <v/>
      </c>
      <c r="Q1048" s="494" t="s">
        <v>1599</v>
      </c>
      <c r="R1048" s="494" t="str">
        <f t="shared" si="185"/>
        <v>I1048</v>
      </c>
      <c r="S1048" s="494" t="s">
        <v>1600</v>
      </c>
      <c r="T1048" s="494">
        <v>5</v>
      </c>
      <c r="U1048" s="556" t="str">
        <f t="shared" ca="1" si="174"/>
        <v/>
      </c>
      <c r="V1048" s="494">
        <v>6</v>
      </c>
      <c r="W1048" s="556" t="str">
        <f t="shared" ca="1" si="175"/>
        <v/>
      </c>
      <c r="X1048" s="494" t="s">
        <v>1601</v>
      </c>
      <c r="Y1048" s="547" t="str">
        <f t="shared" ca="1" si="179"/>
        <v/>
      </c>
      <c r="Z1048" s="494" t="s">
        <v>1602</v>
      </c>
      <c r="AA1048" s="547" t="str">
        <f t="shared" ca="1" si="180"/>
        <v/>
      </c>
      <c r="AB1048" s="494" t="s">
        <v>1603</v>
      </c>
      <c r="AC1048" s="547" t="str">
        <f t="shared" ca="1" si="181"/>
        <v/>
      </c>
      <c r="AD1048" s="557"/>
      <c r="AE1048" s="958"/>
    </row>
    <row r="1049" spans="1:31" ht="15" customHeight="1">
      <c r="A1049" s="957">
        <v>44</v>
      </c>
      <c r="B1049" s="566" t="s">
        <v>142</v>
      </c>
      <c r="C1049" s="567" t="s">
        <v>1595</v>
      </c>
      <c r="D1049" s="958" t="s">
        <v>1596</v>
      </c>
      <c r="E1049" s="959" t="s">
        <v>254</v>
      </c>
      <c r="F1049" s="558" t="s">
        <v>1444</v>
      </c>
      <c r="G1049" s="558">
        <v>328</v>
      </c>
      <c r="H1049" s="558">
        <v>4</v>
      </c>
      <c r="I1049" s="559" t="s">
        <v>953</v>
      </c>
      <c r="J1049" s="567" t="s">
        <v>1597</v>
      </c>
      <c r="K1049" s="961" t="s">
        <v>1568</v>
      </c>
      <c r="L1049" s="555" t="str">
        <f t="shared" ca="1" si="176"/>
        <v/>
      </c>
      <c r="M1049" s="494" t="s">
        <v>1373</v>
      </c>
      <c r="N1049" s="555" t="str">
        <f t="shared" ca="1" si="177"/>
        <v/>
      </c>
      <c r="O1049" s="494" t="s">
        <v>1598</v>
      </c>
      <c r="P1049" s="555" t="str">
        <f t="shared" ca="1" si="178"/>
        <v/>
      </c>
      <c r="Q1049" s="494" t="s">
        <v>1599</v>
      </c>
      <c r="R1049" s="494" t="str">
        <f t="shared" si="185"/>
        <v>I1049</v>
      </c>
      <c r="S1049" s="494" t="s">
        <v>1600</v>
      </c>
      <c r="T1049" s="494">
        <v>5</v>
      </c>
      <c r="U1049" s="556" t="str">
        <f t="shared" ca="1" si="174"/>
        <v/>
      </c>
      <c r="V1049" s="494">
        <v>6</v>
      </c>
      <c r="W1049" s="556" t="str">
        <f t="shared" ca="1" si="175"/>
        <v/>
      </c>
      <c r="X1049" s="494" t="s">
        <v>1601</v>
      </c>
      <c r="Y1049" s="547" t="str">
        <f t="shared" ca="1" si="179"/>
        <v/>
      </c>
      <c r="Z1049" s="494" t="s">
        <v>1602</v>
      </c>
      <c r="AA1049" s="547" t="str">
        <f t="shared" ca="1" si="180"/>
        <v/>
      </c>
      <c r="AB1049" s="494" t="s">
        <v>1603</v>
      </c>
      <c r="AC1049" s="547" t="str">
        <f t="shared" ca="1" si="181"/>
        <v/>
      </c>
      <c r="AD1049" s="557"/>
      <c r="AE1049" s="958"/>
    </row>
    <row r="1050" spans="1:31" ht="15" customHeight="1">
      <c r="A1050" s="957">
        <v>44</v>
      </c>
      <c r="B1050" s="566" t="s">
        <v>142</v>
      </c>
      <c r="C1050" s="567" t="s">
        <v>1595</v>
      </c>
      <c r="D1050" s="958" t="s">
        <v>1596</v>
      </c>
      <c r="E1050" s="959" t="s">
        <v>254</v>
      </c>
      <c r="F1050" s="558" t="s">
        <v>1444</v>
      </c>
      <c r="G1050" s="558">
        <v>329</v>
      </c>
      <c r="H1050" s="558">
        <v>5</v>
      </c>
      <c r="I1050" s="559" t="s">
        <v>954</v>
      </c>
      <c r="J1050" s="567" t="s">
        <v>1597</v>
      </c>
      <c r="K1050" s="961" t="s">
        <v>1568</v>
      </c>
      <c r="L1050" s="555" t="str">
        <f t="shared" ca="1" si="176"/>
        <v/>
      </c>
      <c r="M1050" s="494" t="s">
        <v>1373</v>
      </c>
      <c r="N1050" s="555" t="str">
        <f t="shared" ca="1" si="177"/>
        <v/>
      </c>
      <c r="O1050" s="494" t="s">
        <v>1598</v>
      </c>
      <c r="P1050" s="555" t="str">
        <f t="shared" ca="1" si="178"/>
        <v/>
      </c>
      <c r="Q1050" s="494" t="s">
        <v>1599</v>
      </c>
      <c r="R1050" s="494" t="str">
        <f t="shared" si="185"/>
        <v>I1050</v>
      </c>
      <c r="S1050" s="494" t="s">
        <v>1600</v>
      </c>
      <c r="T1050" s="494">
        <v>5</v>
      </c>
      <c r="U1050" s="556" t="str">
        <f t="shared" ca="1" si="174"/>
        <v/>
      </c>
      <c r="V1050" s="494">
        <v>6</v>
      </c>
      <c r="W1050" s="556" t="str">
        <f t="shared" ca="1" si="175"/>
        <v/>
      </c>
      <c r="X1050" s="494" t="s">
        <v>1601</v>
      </c>
      <c r="Y1050" s="547" t="str">
        <f t="shared" ca="1" si="179"/>
        <v/>
      </c>
      <c r="Z1050" s="494" t="s">
        <v>1602</v>
      </c>
      <c r="AA1050" s="547" t="str">
        <f t="shared" ca="1" si="180"/>
        <v/>
      </c>
      <c r="AB1050" s="494" t="s">
        <v>1603</v>
      </c>
      <c r="AC1050" s="547" t="str">
        <f t="shared" ca="1" si="181"/>
        <v/>
      </c>
      <c r="AD1050" s="557"/>
      <c r="AE1050" s="958"/>
    </row>
    <row r="1051" spans="1:31" ht="15" customHeight="1">
      <c r="A1051" s="957">
        <v>44</v>
      </c>
      <c r="B1051" s="566" t="s">
        <v>142</v>
      </c>
      <c r="C1051" s="567" t="s">
        <v>1595</v>
      </c>
      <c r="D1051" s="958" t="s">
        <v>1596</v>
      </c>
      <c r="E1051" s="959" t="s">
        <v>254</v>
      </c>
      <c r="F1051" s="558" t="s">
        <v>1444</v>
      </c>
      <c r="G1051" s="558">
        <v>329</v>
      </c>
      <c r="H1051" s="558">
        <v>5</v>
      </c>
      <c r="I1051" s="559" t="s">
        <v>955</v>
      </c>
      <c r="J1051" s="567" t="s">
        <v>1597</v>
      </c>
      <c r="K1051" s="961" t="s">
        <v>1568</v>
      </c>
      <c r="L1051" s="555" t="str">
        <f t="shared" ca="1" si="176"/>
        <v/>
      </c>
      <c r="M1051" s="494" t="s">
        <v>1373</v>
      </c>
      <c r="N1051" s="555" t="str">
        <f t="shared" ca="1" si="177"/>
        <v/>
      </c>
      <c r="O1051" s="494" t="s">
        <v>1598</v>
      </c>
      <c r="P1051" s="555" t="str">
        <f t="shared" ca="1" si="178"/>
        <v/>
      </c>
      <c r="Q1051" s="494" t="s">
        <v>1599</v>
      </c>
      <c r="R1051" s="494" t="str">
        <f t="shared" si="185"/>
        <v>I1051</v>
      </c>
      <c r="S1051" s="494" t="s">
        <v>1600</v>
      </c>
      <c r="T1051" s="494">
        <v>5</v>
      </c>
      <c r="U1051" s="556" t="str">
        <f t="shared" ca="1" si="174"/>
        <v/>
      </c>
      <c r="V1051" s="494">
        <v>6</v>
      </c>
      <c r="W1051" s="556" t="str">
        <f t="shared" ca="1" si="175"/>
        <v/>
      </c>
      <c r="X1051" s="494" t="s">
        <v>1601</v>
      </c>
      <c r="Y1051" s="547" t="str">
        <f t="shared" ca="1" si="179"/>
        <v/>
      </c>
      <c r="Z1051" s="494" t="s">
        <v>1602</v>
      </c>
      <c r="AA1051" s="547" t="str">
        <f t="shared" ca="1" si="180"/>
        <v/>
      </c>
      <c r="AB1051" s="494" t="s">
        <v>1603</v>
      </c>
      <c r="AC1051" s="547" t="str">
        <f t="shared" ca="1" si="181"/>
        <v/>
      </c>
      <c r="AD1051" s="557"/>
      <c r="AE1051" s="958"/>
    </row>
    <row r="1052" spans="1:31" ht="15" customHeight="1">
      <c r="A1052" s="957">
        <v>44</v>
      </c>
      <c r="B1052" s="566" t="s">
        <v>142</v>
      </c>
      <c r="C1052" s="567" t="s">
        <v>1595</v>
      </c>
      <c r="D1052" s="958" t="s">
        <v>1596</v>
      </c>
      <c r="E1052" s="959" t="s">
        <v>254</v>
      </c>
      <c r="F1052" s="558" t="s">
        <v>1444</v>
      </c>
      <c r="G1052" s="558">
        <v>329</v>
      </c>
      <c r="H1052" s="558">
        <v>5</v>
      </c>
      <c r="I1052" s="559" t="s">
        <v>956</v>
      </c>
      <c r="J1052" s="567" t="s">
        <v>1597</v>
      </c>
      <c r="K1052" s="961" t="s">
        <v>1568</v>
      </c>
      <c r="L1052" s="555" t="str">
        <f t="shared" ca="1" si="176"/>
        <v/>
      </c>
      <c r="M1052" s="494" t="s">
        <v>1373</v>
      </c>
      <c r="N1052" s="555" t="str">
        <f t="shared" ca="1" si="177"/>
        <v/>
      </c>
      <c r="O1052" s="494" t="s">
        <v>1598</v>
      </c>
      <c r="P1052" s="555" t="str">
        <f t="shared" ca="1" si="178"/>
        <v/>
      </c>
      <c r="Q1052" s="494" t="s">
        <v>1599</v>
      </c>
      <c r="R1052" s="494" t="str">
        <f t="shared" si="185"/>
        <v>I1052</v>
      </c>
      <c r="S1052" s="494" t="s">
        <v>1600</v>
      </c>
      <c r="T1052" s="494">
        <v>5</v>
      </c>
      <c r="U1052" s="556" t="str">
        <f t="shared" ca="1" si="174"/>
        <v/>
      </c>
      <c r="V1052" s="494">
        <v>6</v>
      </c>
      <c r="W1052" s="556" t="str">
        <f t="shared" ca="1" si="175"/>
        <v/>
      </c>
      <c r="X1052" s="494" t="s">
        <v>1601</v>
      </c>
      <c r="Y1052" s="547" t="str">
        <f t="shared" ca="1" si="179"/>
        <v/>
      </c>
      <c r="Z1052" s="494" t="s">
        <v>1602</v>
      </c>
      <c r="AA1052" s="547" t="str">
        <f t="shared" ca="1" si="180"/>
        <v/>
      </c>
      <c r="AB1052" s="494" t="s">
        <v>1603</v>
      </c>
      <c r="AC1052" s="547" t="str">
        <f t="shared" ca="1" si="181"/>
        <v/>
      </c>
      <c r="AD1052" s="557"/>
      <c r="AE1052" s="958"/>
    </row>
    <row r="1053" spans="1:31" ht="15" customHeight="1">
      <c r="A1053" s="957">
        <v>44</v>
      </c>
      <c r="B1053" s="566" t="s">
        <v>142</v>
      </c>
      <c r="C1053" s="567" t="s">
        <v>1595</v>
      </c>
      <c r="D1053" s="958" t="s">
        <v>1596</v>
      </c>
      <c r="E1053" s="959" t="s">
        <v>254</v>
      </c>
      <c r="F1053" s="558" t="s">
        <v>1444</v>
      </c>
      <c r="G1053" s="558">
        <v>330</v>
      </c>
      <c r="H1053" s="558">
        <v>6</v>
      </c>
      <c r="I1053" s="559" t="s">
        <v>958</v>
      </c>
      <c r="J1053" s="567" t="s">
        <v>1597</v>
      </c>
      <c r="K1053" s="961" t="s">
        <v>1568</v>
      </c>
      <c r="L1053" s="555" t="str">
        <f t="shared" ca="1" si="176"/>
        <v/>
      </c>
      <c r="M1053" s="494" t="s">
        <v>1373</v>
      </c>
      <c r="N1053" s="555" t="str">
        <f t="shared" ca="1" si="177"/>
        <v/>
      </c>
      <c r="O1053" s="494" t="s">
        <v>1598</v>
      </c>
      <c r="P1053" s="555" t="str">
        <f t="shared" ca="1" si="178"/>
        <v/>
      </c>
      <c r="Q1053" s="494" t="s">
        <v>1599</v>
      </c>
      <c r="R1053" s="494" t="str">
        <f t="shared" si="185"/>
        <v>I1053</v>
      </c>
      <c r="S1053" s="494" t="s">
        <v>1600</v>
      </c>
      <c r="T1053" s="494">
        <v>5</v>
      </c>
      <c r="U1053" s="556" t="str">
        <f t="shared" ca="1" si="174"/>
        <v/>
      </c>
      <c r="V1053" s="494">
        <v>6</v>
      </c>
      <c r="W1053" s="556" t="str">
        <f t="shared" ca="1" si="175"/>
        <v/>
      </c>
      <c r="X1053" s="494" t="s">
        <v>1601</v>
      </c>
      <c r="Y1053" s="547" t="str">
        <f t="shared" ca="1" si="179"/>
        <v/>
      </c>
      <c r="Z1053" s="494" t="s">
        <v>1602</v>
      </c>
      <c r="AA1053" s="547" t="str">
        <f t="shared" ca="1" si="180"/>
        <v/>
      </c>
      <c r="AB1053" s="494" t="s">
        <v>1603</v>
      </c>
      <c r="AC1053" s="547" t="str">
        <f t="shared" ca="1" si="181"/>
        <v/>
      </c>
      <c r="AD1053" s="557"/>
      <c r="AE1053" s="958"/>
    </row>
    <row r="1054" spans="1:31" ht="15" customHeight="1">
      <c r="A1054" s="957">
        <v>44</v>
      </c>
      <c r="B1054" s="566" t="s">
        <v>142</v>
      </c>
      <c r="C1054" s="567" t="s">
        <v>1595</v>
      </c>
      <c r="D1054" s="958" t="s">
        <v>1596</v>
      </c>
      <c r="E1054" s="959" t="s">
        <v>254</v>
      </c>
      <c r="F1054" s="558" t="s">
        <v>1444</v>
      </c>
      <c r="G1054" s="558">
        <v>331</v>
      </c>
      <c r="H1054" s="558">
        <v>7</v>
      </c>
      <c r="I1054" s="559" t="s">
        <v>960</v>
      </c>
      <c r="J1054" s="567" t="s">
        <v>1597</v>
      </c>
      <c r="K1054" s="961" t="s">
        <v>1568</v>
      </c>
      <c r="L1054" s="555" t="str">
        <f t="shared" ca="1" si="176"/>
        <v/>
      </c>
      <c r="M1054" s="494" t="s">
        <v>1373</v>
      </c>
      <c r="N1054" s="555" t="str">
        <f t="shared" ca="1" si="177"/>
        <v/>
      </c>
      <c r="O1054" s="494" t="s">
        <v>1598</v>
      </c>
      <c r="P1054" s="555" t="str">
        <f t="shared" ca="1" si="178"/>
        <v/>
      </c>
      <c r="Q1054" s="494" t="s">
        <v>1599</v>
      </c>
      <c r="R1054" s="494" t="str">
        <f t="shared" si="185"/>
        <v>I1054</v>
      </c>
      <c r="S1054" s="494" t="s">
        <v>1600</v>
      </c>
      <c r="T1054" s="494">
        <v>5</v>
      </c>
      <c r="U1054" s="556" t="str">
        <f t="shared" ca="1" si="174"/>
        <v/>
      </c>
      <c r="V1054" s="494">
        <v>6</v>
      </c>
      <c r="W1054" s="556" t="str">
        <f t="shared" ca="1" si="175"/>
        <v/>
      </c>
      <c r="X1054" s="494" t="s">
        <v>1601</v>
      </c>
      <c r="Y1054" s="547" t="str">
        <f t="shared" ca="1" si="179"/>
        <v/>
      </c>
      <c r="Z1054" s="494" t="s">
        <v>1602</v>
      </c>
      <c r="AA1054" s="547" t="str">
        <f t="shared" ca="1" si="180"/>
        <v/>
      </c>
      <c r="AB1054" s="494" t="s">
        <v>1603</v>
      </c>
      <c r="AC1054" s="547" t="str">
        <f t="shared" ca="1" si="181"/>
        <v/>
      </c>
      <c r="AD1054" s="557"/>
      <c r="AE1054" s="958"/>
    </row>
    <row r="1055" spans="1:31" ht="15" customHeight="1">
      <c r="A1055" s="957">
        <v>44</v>
      </c>
      <c r="B1055" s="566" t="s">
        <v>142</v>
      </c>
      <c r="C1055" s="567" t="s">
        <v>1595</v>
      </c>
      <c r="D1055" s="958" t="s">
        <v>1596</v>
      </c>
      <c r="E1055" s="959" t="s">
        <v>254</v>
      </c>
      <c r="F1055" s="558" t="s">
        <v>1444</v>
      </c>
      <c r="G1055" s="558">
        <v>331</v>
      </c>
      <c r="H1055" s="558">
        <v>7</v>
      </c>
      <c r="I1055" s="559" t="s">
        <v>961</v>
      </c>
      <c r="J1055" s="567" t="s">
        <v>1597</v>
      </c>
      <c r="K1055" s="961" t="s">
        <v>1568</v>
      </c>
      <c r="L1055" s="555" t="str">
        <f t="shared" ca="1" si="176"/>
        <v/>
      </c>
      <c r="M1055" s="494" t="s">
        <v>1373</v>
      </c>
      <c r="N1055" s="555" t="str">
        <f t="shared" ca="1" si="177"/>
        <v/>
      </c>
      <c r="O1055" s="494" t="s">
        <v>1598</v>
      </c>
      <c r="P1055" s="555" t="str">
        <f t="shared" ca="1" si="178"/>
        <v/>
      </c>
      <c r="Q1055" s="494" t="s">
        <v>1599</v>
      </c>
      <c r="R1055" s="494" t="str">
        <f t="shared" si="185"/>
        <v>I1055</v>
      </c>
      <c r="S1055" s="494" t="s">
        <v>1600</v>
      </c>
      <c r="T1055" s="494">
        <v>5</v>
      </c>
      <c r="U1055" s="556" t="str">
        <f t="shared" ca="1" si="174"/>
        <v/>
      </c>
      <c r="V1055" s="494">
        <v>6</v>
      </c>
      <c r="W1055" s="556" t="str">
        <f t="shared" ca="1" si="175"/>
        <v/>
      </c>
      <c r="X1055" s="494" t="s">
        <v>1601</v>
      </c>
      <c r="Y1055" s="547" t="str">
        <f t="shared" ca="1" si="179"/>
        <v/>
      </c>
      <c r="Z1055" s="494" t="s">
        <v>1602</v>
      </c>
      <c r="AA1055" s="547" t="str">
        <f t="shared" ca="1" si="180"/>
        <v/>
      </c>
      <c r="AB1055" s="494" t="s">
        <v>1603</v>
      </c>
      <c r="AC1055" s="547" t="str">
        <f t="shared" ca="1" si="181"/>
        <v/>
      </c>
      <c r="AD1055" s="557"/>
      <c r="AE1055" s="958"/>
    </row>
    <row r="1056" spans="1:31" ht="15" customHeight="1">
      <c r="A1056" s="957">
        <v>44</v>
      </c>
      <c r="B1056" s="566" t="s">
        <v>142</v>
      </c>
      <c r="C1056" s="567" t="s">
        <v>1595</v>
      </c>
      <c r="D1056" s="958" t="s">
        <v>1596</v>
      </c>
      <c r="E1056" s="959" t="s">
        <v>254</v>
      </c>
      <c r="F1056" s="558" t="s">
        <v>1444</v>
      </c>
      <c r="G1056" s="558">
        <v>331</v>
      </c>
      <c r="H1056" s="558">
        <v>7</v>
      </c>
      <c r="I1056" s="559" t="s">
        <v>962</v>
      </c>
      <c r="J1056" s="567" t="s">
        <v>1597</v>
      </c>
      <c r="K1056" s="961" t="s">
        <v>1568</v>
      </c>
      <c r="L1056" s="555" t="str">
        <f t="shared" ca="1" si="176"/>
        <v/>
      </c>
      <c r="M1056" s="494" t="s">
        <v>1373</v>
      </c>
      <c r="N1056" s="555" t="str">
        <f t="shared" ca="1" si="177"/>
        <v/>
      </c>
      <c r="O1056" s="494" t="s">
        <v>1598</v>
      </c>
      <c r="P1056" s="555" t="str">
        <f t="shared" ca="1" si="178"/>
        <v/>
      </c>
      <c r="Q1056" s="494" t="s">
        <v>1599</v>
      </c>
      <c r="R1056" s="494" t="str">
        <f t="shared" si="185"/>
        <v>I1056</v>
      </c>
      <c r="S1056" s="494" t="s">
        <v>1600</v>
      </c>
      <c r="T1056" s="494">
        <v>5</v>
      </c>
      <c r="U1056" s="556" t="str">
        <f t="shared" ca="1" si="174"/>
        <v/>
      </c>
      <c r="V1056" s="494">
        <v>6</v>
      </c>
      <c r="W1056" s="556" t="str">
        <f t="shared" ca="1" si="175"/>
        <v/>
      </c>
      <c r="X1056" s="494" t="s">
        <v>1601</v>
      </c>
      <c r="Y1056" s="547" t="str">
        <f t="shared" ca="1" si="179"/>
        <v/>
      </c>
      <c r="Z1056" s="494" t="s">
        <v>1602</v>
      </c>
      <c r="AA1056" s="547" t="str">
        <f t="shared" ca="1" si="180"/>
        <v/>
      </c>
      <c r="AB1056" s="494" t="s">
        <v>1603</v>
      </c>
      <c r="AC1056" s="547" t="str">
        <f t="shared" ca="1" si="181"/>
        <v/>
      </c>
      <c r="AD1056" s="557"/>
      <c r="AE1056" s="958"/>
    </row>
    <row r="1057" spans="1:31" ht="15" customHeight="1">
      <c r="A1057" s="957">
        <v>44</v>
      </c>
      <c r="B1057" s="566" t="s">
        <v>142</v>
      </c>
      <c r="C1057" s="567" t="s">
        <v>1595</v>
      </c>
      <c r="D1057" s="958" t="s">
        <v>1596</v>
      </c>
      <c r="E1057" s="959" t="s">
        <v>306</v>
      </c>
      <c r="F1057" s="558" t="s">
        <v>1454</v>
      </c>
      <c r="G1057" s="558">
        <v>332</v>
      </c>
      <c r="H1057" s="558">
        <v>1</v>
      </c>
      <c r="I1057" s="559" t="s">
        <v>965</v>
      </c>
      <c r="J1057" s="567" t="s">
        <v>1597</v>
      </c>
      <c r="K1057" s="961" t="s">
        <v>1568</v>
      </c>
      <c r="L1057" s="555" t="str">
        <f t="shared" ca="1" si="176"/>
        <v/>
      </c>
      <c r="M1057" s="494" t="s">
        <v>1373</v>
      </c>
      <c r="N1057" s="555" t="str">
        <f t="shared" ca="1" si="177"/>
        <v/>
      </c>
      <c r="O1057" s="494" t="s">
        <v>1598</v>
      </c>
      <c r="P1057" s="555" t="str">
        <f t="shared" ca="1" si="178"/>
        <v/>
      </c>
      <c r="Q1057" s="494" t="s">
        <v>1599</v>
      </c>
      <c r="R1057" s="494" t="str">
        <f t="shared" si="185"/>
        <v>I1057</v>
      </c>
      <c r="S1057" s="494" t="s">
        <v>1600</v>
      </c>
      <c r="T1057" s="494">
        <v>5</v>
      </c>
      <c r="U1057" s="556" t="str">
        <f t="shared" ca="1" si="174"/>
        <v/>
      </c>
      <c r="V1057" s="494">
        <v>6</v>
      </c>
      <c r="W1057" s="556" t="str">
        <f t="shared" ca="1" si="175"/>
        <v/>
      </c>
      <c r="X1057" s="494" t="s">
        <v>1601</v>
      </c>
      <c r="Y1057" s="547" t="str">
        <f t="shared" ca="1" si="179"/>
        <v/>
      </c>
      <c r="Z1057" s="494" t="s">
        <v>1602</v>
      </c>
      <c r="AA1057" s="547" t="str">
        <f t="shared" ca="1" si="180"/>
        <v/>
      </c>
      <c r="AB1057" s="494" t="s">
        <v>1603</v>
      </c>
      <c r="AC1057" s="547" t="str">
        <f t="shared" ca="1" si="181"/>
        <v/>
      </c>
      <c r="AD1057" s="557"/>
      <c r="AE1057" s="958"/>
    </row>
    <row r="1058" spans="1:31" ht="15" customHeight="1">
      <c r="A1058" s="957">
        <v>44</v>
      </c>
      <c r="B1058" s="566" t="s">
        <v>142</v>
      </c>
      <c r="C1058" s="567" t="s">
        <v>1595</v>
      </c>
      <c r="D1058" s="958" t="s">
        <v>1596</v>
      </c>
      <c r="E1058" s="959" t="s">
        <v>306</v>
      </c>
      <c r="F1058" s="558" t="s">
        <v>1454</v>
      </c>
      <c r="G1058" s="558">
        <v>332</v>
      </c>
      <c r="H1058" s="558">
        <v>1</v>
      </c>
      <c r="I1058" s="559" t="s">
        <v>966</v>
      </c>
      <c r="J1058" s="567" t="s">
        <v>1597</v>
      </c>
      <c r="K1058" s="961" t="s">
        <v>1568</v>
      </c>
      <c r="L1058" s="555" t="str">
        <f t="shared" ca="1" si="176"/>
        <v/>
      </c>
      <c r="M1058" s="494" t="s">
        <v>1373</v>
      </c>
      <c r="N1058" s="555" t="str">
        <f t="shared" ca="1" si="177"/>
        <v/>
      </c>
      <c r="O1058" s="494" t="s">
        <v>1598</v>
      </c>
      <c r="P1058" s="555" t="str">
        <f t="shared" ca="1" si="178"/>
        <v/>
      </c>
      <c r="Q1058" s="494" t="s">
        <v>1599</v>
      </c>
      <c r="R1058" s="494" t="str">
        <f t="shared" si="185"/>
        <v>I1058</v>
      </c>
      <c r="S1058" s="494" t="s">
        <v>1600</v>
      </c>
      <c r="T1058" s="494">
        <v>5</v>
      </c>
      <c r="U1058" s="556" t="str">
        <f t="shared" ca="1" si="174"/>
        <v/>
      </c>
      <c r="V1058" s="494">
        <v>6</v>
      </c>
      <c r="W1058" s="556" t="str">
        <f t="shared" ca="1" si="175"/>
        <v/>
      </c>
      <c r="X1058" s="494" t="s">
        <v>1601</v>
      </c>
      <c r="Y1058" s="547" t="str">
        <f t="shared" ca="1" si="179"/>
        <v/>
      </c>
      <c r="Z1058" s="494" t="s">
        <v>1602</v>
      </c>
      <c r="AA1058" s="547" t="str">
        <f t="shared" ca="1" si="180"/>
        <v/>
      </c>
      <c r="AB1058" s="494" t="s">
        <v>1603</v>
      </c>
      <c r="AC1058" s="547" t="str">
        <f t="shared" ca="1" si="181"/>
        <v/>
      </c>
      <c r="AD1058" s="557"/>
      <c r="AE1058" s="958"/>
    </row>
    <row r="1059" spans="1:31" ht="15" customHeight="1">
      <c r="A1059" s="957">
        <v>44</v>
      </c>
      <c r="B1059" s="566" t="s">
        <v>142</v>
      </c>
      <c r="C1059" s="567" t="s">
        <v>1595</v>
      </c>
      <c r="D1059" s="958" t="s">
        <v>1596</v>
      </c>
      <c r="E1059" s="959" t="s">
        <v>306</v>
      </c>
      <c r="F1059" s="558" t="s">
        <v>1454</v>
      </c>
      <c r="G1059" s="558">
        <v>332</v>
      </c>
      <c r="H1059" s="558">
        <v>1</v>
      </c>
      <c r="I1059" s="559" t="s">
        <v>967</v>
      </c>
      <c r="J1059" s="567" t="s">
        <v>1597</v>
      </c>
      <c r="K1059" s="961" t="s">
        <v>1568</v>
      </c>
      <c r="L1059" s="555" t="str">
        <f t="shared" ca="1" si="176"/>
        <v/>
      </c>
      <c r="M1059" s="494" t="s">
        <v>1373</v>
      </c>
      <c r="N1059" s="555" t="str">
        <f t="shared" ca="1" si="177"/>
        <v/>
      </c>
      <c r="O1059" s="494" t="s">
        <v>1598</v>
      </c>
      <c r="P1059" s="555" t="str">
        <f t="shared" ca="1" si="178"/>
        <v/>
      </c>
      <c r="Q1059" s="494" t="s">
        <v>1599</v>
      </c>
      <c r="R1059" s="494" t="str">
        <f t="shared" si="185"/>
        <v>I1059</v>
      </c>
      <c r="S1059" s="494" t="s">
        <v>1600</v>
      </c>
      <c r="T1059" s="494">
        <v>5</v>
      </c>
      <c r="U1059" s="556" t="str">
        <f t="shared" ca="1" si="174"/>
        <v/>
      </c>
      <c r="V1059" s="494">
        <v>6</v>
      </c>
      <c r="W1059" s="556" t="str">
        <f t="shared" ca="1" si="175"/>
        <v/>
      </c>
      <c r="X1059" s="494" t="s">
        <v>1601</v>
      </c>
      <c r="Y1059" s="547" t="str">
        <f t="shared" ca="1" si="179"/>
        <v/>
      </c>
      <c r="Z1059" s="494" t="s">
        <v>1602</v>
      </c>
      <c r="AA1059" s="547" t="str">
        <f t="shared" ca="1" si="180"/>
        <v/>
      </c>
      <c r="AB1059" s="494" t="s">
        <v>1603</v>
      </c>
      <c r="AC1059" s="547" t="str">
        <f t="shared" ca="1" si="181"/>
        <v/>
      </c>
      <c r="AD1059" s="557"/>
      <c r="AE1059" s="958"/>
    </row>
    <row r="1060" spans="1:31" ht="15" customHeight="1">
      <c r="A1060" s="957">
        <v>44</v>
      </c>
      <c r="B1060" s="566" t="s">
        <v>142</v>
      </c>
      <c r="C1060" s="567" t="s">
        <v>1595</v>
      </c>
      <c r="D1060" s="958" t="s">
        <v>1596</v>
      </c>
      <c r="E1060" s="959" t="s">
        <v>306</v>
      </c>
      <c r="F1060" s="558" t="s">
        <v>1454</v>
      </c>
      <c r="G1060" s="558">
        <v>332</v>
      </c>
      <c r="H1060" s="558">
        <v>1</v>
      </c>
      <c r="I1060" s="559" t="s">
        <v>968</v>
      </c>
      <c r="J1060" s="567" t="s">
        <v>1597</v>
      </c>
      <c r="K1060" s="961" t="s">
        <v>1568</v>
      </c>
      <c r="L1060" s="555" t="str">
        <f t="shared" ca="1" si="176"/>
        <v/>
      </c>
      <c r="M1060" s="494" t="s">
        <v>1373</v>
      </c>
      <c r="N1060" s="555" t="str">
        <f t="shared" ca="1" si="177"/>
        <v/>
      </c>
      <c r="O1060" s="494" t="s">
        <v>1598</v>
      </c>
      <c r="P1060" s="555" t="str">
        <f t="shared" ca="1" si="178"/>
        <v/>
      </c>
      <c r="Q1060" s="494" t="s">
        <v>1599</v>
      </c>
      <c r="R1060" s="494" t="str">
        <f t="shared" si="185"/>
        <v>I1060</v>
      </c>
      <c r="S1060" s="494" t="s">
        <v>1600</v>
      </c>
      <c r="T1060" s="494">
        <v>5</v>
      </c>
      <c r="U1060" s="556" t="str">
        <f t="shared" ca="1" si="174"/>
        <v/>
      </c>
      <c r="V1060" s="494">
        <v>6</v>
      </c>
      <c r="W1060" s="556" t="str">
        <f t="shared" ca="1" si="175"/>
        <v/>
      </c>
      <c r="X1060" s="494" t="s">
        <v>1601</v>
      </c>
      <c r="Y1060" s="547" t="str">
        <f t="shared" ca="1" si="179"/>
        <v/>
      </c>
      <c r="Z1060" s="494" t="s">
        <v>1602</v>
      </c>
      <c r="AA1060" s="547" t="str">
        <f t="shared" ca="1" si="180"/>
        <v/>
      </c>
      <c r="AB1060" s="494" t="s">
        <v>1603</v>
      </c>
      <c r="AC1060" s="547" t="str">
        <f t="shared" ca="1" si="181"/>
        <v/>
      </c>
      <c r="AD1060" s="557"/>
      <c r="AE1060" s="958"/>
    </row>
    <row r="1061" spans="1:31" ht="15" customHeight="1">
      <c r="A1061" s="957">
        <v>44</v>
      </c>
      <c r="B1061" s="566" t="s">
        <v>142</v>
      </c>
      <c r="C1061" s="567" t="s">
        <v>1595</v>
      </c>
      <c r="D1061" s="958" t="s">
        <v>1596</v>
      </c>
      <c r="E1061" s="959" t="s">
        <v>306</v>
      </c>
      <c r="F1061" s="558" t="s">
        <v>1454</v>
      </c>
      <c r="G1061" s="558">
        <v>333</v>
      </c>
      <c r="H1061" s="558">
        <v>2</v>
      </c>
      <c r="I1061" s="559" t="s">
        <v>969</v>
      </c>
      <c r="J1061" s="567" t="s">
        <v>1597</v>
      </c>
      <c r="K1061" s="961" t="s">
        <v>1568</v>
      </c>
      <c r="L1061" s="555" t="str">
        <f t="shared" ca="1" si="176"/>
        <v/>
      </c>
      <c r="M1061" s="494" t="s">
        <v>1373</v>
      </c>
      <c r="N1061" s="555" t="str">
        <f t="shared" ca="1" si="177"/>
        <v/>
      </c>
      <c r="O1061" s="494" t="s">
        <v>1598</v>
      </c>
      <c r="P1061" s="555" t="str">
        <f t="shared" ca="1" si="178"/>
        <v/>
      </c>
      <c r="Q1061" s="494" t="s">
        <v>1599</v>
      </c>
      <c r="R1061" s="494" t="str">
        <f t="shared" si="185"/>
        <v>I1061</v>
      </c>
      <c r="S1061" s="494" t="s">
        <v>1600</v>
      </c>
      <c r="T1061" s="494">
        <v>5</v>
      </c>
      <c r="U1061" s="556" t="str">
        <f t="shared" ca="1" si="174"/>
        <v/>
      </c>
      <c r="V1061" s="494">
        <v>6</v>
      </c>
      <c r="W1061" s="556" t="str">
        <f t="shared" ca="1" si="175"/>
        <v/>
      </c>
      <c r="X1061" s="494" t="s">
        <v>1601</v>
      </c>
      <c r="Y1061" s="547" t="str">
        <f t="shared" ca="1" si="179"/>
        <v/>
      </c>
      <c r="Z1061" s="494" t="s">
        <v>1602</v>
      </c>
      <c r="AA1061" s="547" t="str">
        <f t="shared" ca="1" si="180"/>
        <v/>
      </c>
      <c r="AB1061" s="494" t="s">
        <v>1603</v>
      </c>
      <c r="AC1061" s="547" t="str">
        <f t="shared" ca="1" si="181"/>
        <v/>
      </c>
      <c r="AD1061" s="557"/>
      <c r="AE1061" s="958"/>
    </row>
    <row r="1062" spans="1:31" ht="15" customHeight="1">
      <c r="A1062" s="957">
        <v>44</v>
      </c>
      <c r="B1062" s="566" t="s">
        <v>142</v>
      </c>
      <c r="C1062" s="567" t="s">
        <v>1595</v>
      </c>
      <c r="D1062" s="958" t="s">
        <v>1596</v>
      </c>
      <c r="E1062" s="959" t="s">
        <v>306</v>
      </c>
      <c r="F1062" s="558" t="s">
        <v>1454</v>
      </c>
      <c r="G1062" s="558">
        <v>333</v>
      </c>
      <c r="H1062" s="558">
        <v>2</v>
      </c>
      <c r="I1062" s="559" t="s">
        <v>970</v>
      </c>
      <c r="J1062" s="567" t="s">
        <v>1597</v>
      </c>
      <c r="K1062" s="961" t="s">
        <v>1568</v>
      </c>
      <c r="L1062" s="555" t="str">
        <f t="shared" ca="1" si="176"/>
        <v/>
      </c>
      <c r="M1062" s="494" t="s">
        <v>1373</v>
      </c>
      <c r="N1062" s="555" t="str">
        <f t="shared" ca="1" si="177"/>
        <v/>
      </c>
      <c r="O1062" s="494" t="s">
        <v>1598</v>
      </c>
      <c r="P1062" s="555" t="str">
        <f t="shared" ca="1" si="178"/>
        <v/>
      </c>
      <c r="Q1062" s="494" t="s">
        <v>1599</v>
      </c>
      <c r="R1062" s="494" t="str">
        <f t="shared" si="185"/>
        <v>I1062</v>
      </c>
      <c r="S1062" s="494" t="s">
        <v>1600</v>
      </c>
      <c r="T1062" s="494">
        <v>5</v>
      </c>
      <c r="U1062" s="556" t="str">
        <f t="shared" ca="1" si="174"/>
        <v/>
      </c>
      <c r="V1062" s="494">
        <v>6</v>
      </c>
      <c r="W1062" s="556" t="str">
        <f t="shared" ca="1" si="175"/>
        <v/>
      </c>
      <c r="X1062" s="494" t="s">
        <v>1601</v>
      </c>
      <c r="Y1062" s="547" t="str">
        <f t="shared" ca="1" si="179"/>
        <v/>
      </c>
      <c r="Z1062" s="494" t="s">
        <v>1602</v>
      </c>
      <c r="AA1062" s="547" t="str">
        <f t="shared" ca="1" si="180"/>
        <v/>
      </c>
      <c r="AB1062" s="494" t="s">
        <v>1603</v>
      </c>
      <c r="AC1062" s="547" t="str">
        <f t="shared" ca="1" si="181"/>
        <v/>
      </c>
      <c r="AD1062" s="557"/>
      <c r="AE1062" s="958"/>
    </row>
    <row r="1063" spans="1:31" ht="15" customHeight="1">
      <c r="A1063" s="957">
        <v>44</v>
      </c>
      <c r="B1063" s="566" t="s">
        <v>142</v>
      </c>
      <c r="C1063" s="567" t="s">
        <v>1595</v>
      </c>
      <c r="D1063" s="958" t="s">
        <v>1596</v>
      </c>
      <c r="E1063" s="959" t="s">
        <v>306</v>
      </c>
      <c r="F1063" s="558" t="s">
        <v>1454</v>
      </c>
      <c r="G1063" s="558">
        <v>334</v>
      </c>
      <c r="H1063" s="558">
        <v>3</v>
      </c>
      <c r="I1063" s="559" t="s">
        <v>948</v>
      </c>
      <c r="J1063" s="567" t="s">
        <v>1597</v>
      </c>
      <c r="K1063" s="961" t="s">
        <v>1568</v>
      </c>
      <c r="L1063" s="555" t="str">
        <f t="shared" ca="1" si="176"/>
        <v/>
      </c>
      <c r="M1063" s="494" t="s">
        <v>1373</v>
      </c>
      <c r="N1063" s="555" t="str">
        <f t="shared" ca="1" si="177"/>
        <v/>
      </c>
      <c r="O1063" s="494" t="s">
        <v>1598</v>
      </c>
      <c r="P1063" s="555" t="str">
        <f t="shared" ca="1" si="178"/>
        <v/>
      </c>
      <c r="Q1063" s="494" t="s">
        <v>1604</v>
      </c>
      <c r="R1063" s="494" t="str">
        <f t="shared" si="185"/>
        <v>I1063</v>
      </c>
      <c r="S1063" s="494" t="s">
        <v>1605</v>
      </c>
      <c r="T1063" s="494">
        <v>5</v>
      </c>
      <c r="U1063" s="556" t="str">
        <f t="shared" ca="1" si="174"/>
        <v/>
      </c>
      <c r="V1063" s="494">
        <v>6</v>
      </c>
      <c r="W1063" s="556" t="str">
        <f t="shared" ca="1" si="175"/>
        <v/>
      </c>
      <c r="X1063" s="494" t="s">
        <v>1601</v>
      </c>
      <c r="Y1063" s="547" t="str">
        <f t="shared" ca="1" si="179"/>
        <v/>
      </c>
      <c r="Z1063" s="494" t="s">
        <v>1602</v>
      </c>
      <c r="AA1063" s="547" t="str">
        <f t="shared" ca="1" si="180"/>
        <v/>
      </c>
      <c r="AB1063" s="494" t="s">
        <v>1603</v>
      </c>
      <c r="AC1063" s="547" t="str">
        <f t="shared" ca="1" si="181"/>
        <v/>
      </c>
      <c r="AD1063" s="557"/>
      <c r="AE1063" s="958"/>
    </row>
    <row r="1064" spans="1:31" ht="15" customHeight="1">
      <c r="A1064" s="957">
        <v>44</v>
      </c>
      <c r="B1064" s="566" t="s">
        <v>142</v>
      </c>
      <c r="C1064" s="567" t="s">
        <v>1595</v>
      </c>
      <c r="D1064" s="958" t="s">
        <v>1596</v>
      </c>
      <c r="E1064" s="959" t="s">
        <v>306</v>
      </c>
      <c r="F1064" s="558" t="s">
        <v>1454</v>
      </c>
      <c r="G1064" s="558">
        <v>334</v>
      </c>
      <c r="H1064" s="558">
        <v>3</v>
      </c>
      <c r="I1064" s="559" t="s">
        <v>972</v>
      </c>
      <c r="J1064" s="567" t="s">
        <v>1597</v>
      </c>
      <c r="K1064" s="961" t="s">
        <v>1568</v>
      </c>
      <c r="L1064" s="555" t="str">
        <f t="shared" ca="1" si="176"/>
        <v/>
      </c>
      <c r="M1064" s="494" t="s">
        <v>1373</v>
      </c>
      <c r="N1064" s="555" t="str">
        <f t="shared" ca="1" si="177"/>
        <v/>
      </c>
      <c r="O1064" s="494" t="s">
        <v>1598</v>
      </c>
      <c r="P1064" s="555" t="str">
        <f t="shared" ca="1" si="178"/>
        <v/>
      </c>
      <c r="Q1064" s="494" t="s">
        <v>1599</v>
      </c>
      <c r="R1064" s="494" t="str">
        <f t="shared" si="185"/>
        <v>I1064</v>
      </c>
      <c r="S1064" s="494" t="s">
        <v>1600</v>
      </c>
      <c r="T1064" s="494">
        <v>5</v>
      </c>
      <c r="U1064" s="556" t="str">
        <f t="shared" ca="1" si="174"/>
        <v/>
      </c>
      <c r="V1064" s="494">
        <v>6</v>
      </c>
      <c r="W1064" s="556" t="str">
        <f t="shared" ca="1" si="175"/>
        <v/>
      </c>
      <c r="X1064" s="494" t="s">
        <v>1601</v>
      </c>
      <c r="Y1064" s="547" t="str">
        <f t="shared" ca="1" si="179"/>
        <v/>
      </c>
      <c r="Z1064" s="494" t="s">
        <v>1602</v>
      </c>
      <c r="AA1064" s="547" t="str">
        <f t="shared" ca="1" si="180"/>
        <v/>
      </c>
      <c r="AB1064" s="494" t="s">
        <v>1603</v>
      </c>
      <c r="AC1064" s="547" t="str">
        <f t="shared" ca="1" si="181"/>
        <v/>
      </c>
      <c r="AD1064" s="557"/>
      <c r="AE1064" s="958"/>
    </row>
    <row r="1065" spans="1:31" ht="15" customHeight="1">
      <c r="A1065" s="957">
        <v>44</v>
      </c>
      <c r="B1065" s="566" t="s">
        <v>142</v>
      </c>
      <c r="C1065" s="567" t="s">
        <v>1595</v>
      </c>
      <c r="D1065" s="958" t="s">
        <v>1596</v>
      </c>
      <c r="E1065" s="959" t="s">
        <v>306</v>
      </c>
      <c r="F1065" s="558" t="s">
        <v>1454</v>
      </c>
      <c r="G1065" s="558">
        <v>334</v>
      </c>
      <c r="H1065" s="558">
        <v>3</v>
      </c>
      <c r="I1065" s="559" t="s">
        <v>973</v>
      </c>
      <c r="J1065" s="567" t="s">
        <v>1597</v>
      </c>
      <c r="K1065" s="961" t="s">
        <v>1568</v>
      </c>
      <c r="L1065" s="555" t="str">
        <f t="shared" ca="1" si="176"/>
        <v/>
      </c>
      <c r="M1065" s="494" t="s">
        <v>1373</v>
      </c>
      <c r="N1065" s="555" t="str">
        <f t="shared" ca="1" si="177"/>
        <v/>
      </c>
      <c r="O1065" s="494" t="s">
        <v>1598</v>
      </c>
      <c r="P1065" s="555" t="str">
        <f t="shared" ca="1" si="178"/>
        <v/>
      </c>
      <c r="Q1065" s="494" t="s">
        <v>1599</v>
      </c>
      <c r="R1065" s="494" t="str">
        <f t="shared" si="185"/>
        <v>I1065</v>
      </c>
      <c r="S1065" s="494" t="s">
        <v>1600</v>
      </c>
      <c r="T1065" s="494">
        <v>5</v>
      </c>
      <c r="U1065" s="556" t="str">
        <f t="shared" ca="1" si="174"/>
        <v/>
      </c>
      <c r="V1065" s="494">
        <v>6</v>
      </c>
      <c r="W1065" s="556" t="str">
        <f t="shared" ca="1" si="175"/>
        <v/>
      </c>
      <c r="X1065" s="494" t="s">
        <v>1601</v>
      </c>
      <c r="Y1065" s="547" t="str">
        <f t="shared" ca="1" si="179"/>
        <v/>
      </c>
      <c r="Z1065" s="494" t="s">
        <v>1602</v>
      </c>
      <c r="AA1065" s="547" t="str">
        <f t="shared" ca="1" si="180"/>
        <v/>
      </c>
      <c r="AB1065" s="494" t="s">
        <v>1603</v>
      </c>
      <c r="AC1065" s="547" t="str">
        <f t="shared" ca="1" si="181"/>
        <v/>
      </c>
      <c r="AD1065" s="557"/>
      <c r="AE1065" s="958"/>
    </row>
    <row r="1066" spans="1:31" ht="15" customHeight="1">
      <c r="A1066" s="957">
        <v>44</v>
      </c>
      <c r="B1066" s="566" t="s">
        <v>142</v>
      </c>
      <c r="C1066" s="567" t="s">
        <v>1595</v>
      </c>
      <c r="D1066" s="958" t="s">
        <v>1596</v>
      </c>
      <c r="E1066" s="959" t="s">
        <v>306</v>
      </c>
      <c r="F1066" s="558" t="s">
        <v>1454</v>
      </c>
      <c r="G1066" s="558">
        <v>334</v>
      </c>
      <c r="H1066" s="558">
        <v>3</v>
      </c>
      <c r="I1066" s="559" t="s">
        <v>974</v>
      </c>
      <c r="J1066" s="567" t="s">
        <v>1597</v>
      </c>
      <c r="K1066" s="961" t="s">
        <v>1568</v>
      </c>
      <c r="L1066" s="555" t="str">
        <f t="shared" ca="1" si="176"/>
        <v/>
      </c>
      <c r="M1066" s="494" t="s">
        <v>1373</v>
      </c>
      <c r="N1066" s="555" t="str">
        <f t="shared" ca="1" si="177"/>
        <v/>
      </c>
      <c r="O1066" s="494" t="s">
        <v>1598</v>
      </c>
      <c r="P1066" s="555" t="str">
        <f t="shared" ca="1" si="178"/>
        <v/>
      </c>
      <c r="Q1066" s="494" t="s">
        <v>1599</v>
      </c>
      <c r="R1066" s="494" t="str">
        <f t="shared" si="185"/>
        <v>I1066</v>
      </c>
      <c r="S1066" s="494" t="s">
        <v>1600</v>
      </c>
      <c r="T1066" s="494">
        <v>5</v>
      </c>
      <c r="U1066" s="556" t="str">
        <f t="shared" ca="1" si="174"/>
        <v/>
      </c>
      <c r="V1066" s="494">
        <v>6</v>
      </c>
      <c r="W1066" s="556" t="str">
        <f t="shared" ca="1" si="175"/>
        <v/>
      </c>
      <c r="X1066" s="494" t="s">
        <v>1601</v>
      </c>
      <c r="Y1066" s="547" t="str">
        <f t="shared" ca="1" si="179"/>
        <v/>
      </c>
      <c r="Z1066" s="494" t="s">
        <v>1602</v>
      </c>
      <c r="AA1066" s="547" t="str">
        <f t="shared" ca="1" si="180"/>
        <v/>
      </c>
      <c r="AB1066" s="494" t="s">
        <v>1603</v>
      </c>
      <c r="AC1066" s="547" t="str">
        <f t="shared" ca="1" si="181"/>
        <v/>
      </c>
      <c r="AD1066" s="557"/>
      <c r="AE1066" s="958"/>
    </row>
    <row r="1067" spans="1:31" ht="15" customHeight="1">
      <c r="A1067" s="957">
        <v>44</v>
      </c>
      <c r="B1067" s="566" t="s">
        <v>142</v>
      </c>
      <c r="C1067" s="567" t="s">
        <v>1595</v>
      </c>
      <c r="D1067" s="958" t="s">
        <v>1596</v>
      </c>
      <c r="E1067" s="959" t="s">
        <v>306</v>
      </c>
      <c r="F1067" s="558" t="s">
        <v>1454</v>
      </c>
      <c r="G1067" s="558">
        <v>334</v>
      </c>
      <c r="H1067" s="558">
        <v>3</v>
      </c>
      <c r="I1067" s="559" t="s">
        <v>321</v>
      </c>
      <c r="J1067" s="567" t="s">
        <v>1597</v>
      </c>
      <c r="K1067" s="961" t="s">
        <v>1568</v>
      </c>
      <c r="L1067" s="555" t="str">
        <f t="shared" ca="1" si="176"/>
        <v/>
      </c>
      <c r="M1067" s="494" t="s">
        <v>1373</v>
      </c>
      <c r="N1067" s="555" t="str">
        <f t="shared" ca="1" si="177"/>
        <v/>
      </c>
      <c r="O1067" s="494" t="s">
        <v>1598</v>
      </c>
      <c r="P1067" s="555" t="str">
        <f t="shared" ca="1" si="178"/>
        <v/>
      </c>
      <c r="Q1067" s="494" t="s">
        <v>1599</v>
      </c>
      <c r="R1067" s="494" t="str">
        <f t="shared" si="185"/>
        <v>I1067</v>
      </c>
      <c r="S1067" s="494" t="s">
        <v>1600</v>
      </c>
      <c r="T1067" s="494">
        <v>5</v>
      </c>
      <c r="U1067" s="556" t="str">
        <f t="shared" ca="1" si="174"/>
        <v/>
      </c>
      <c r="V1067" s="494">
        <v>6</v>
      </c>
      <c r="W1067" s="556" t="str">
        <f t="shared" ca="1" si="175"/>
        <v/>
      </c>
      <c r="X1067" s="494" t="s">
        <v>1601</v>
      </c>
      <c r="Y1067" s="547" t="str">
        <f t="shared" ca="1" si="179"/>
        <v/>
      </c>
      <c r="Z1067" s="494" t="s">
        <v>1602</v>
      </c>
      <c r="AA1067" s="547" t="str">
        <f t="shared" ca="1" si="180"/>
        <v/>
      </c>
      <c r="AB1067" s="494" t="s">
        <v>1603</v>
      </c>
      <c r="AC1067" s="547" t="str">
        <f t="shared" ca="1" si="181"/>
        <v/>
      </c>
      <c r="AD1067" s="557"/>
      <c r="AE1067" s="958"/>
    </row>
    <row r="1068" spans="1:31" ht="15" customHeight="1">
      <c r="A1068" s="957">
        <v>44</v>
      </c>
      <c r="B1068" s="566" t="s">
        <v>142</v>
      </c>
      <c r="C1068" s="567" t="s">
        <v>1595</v>
      </c>
      <c r="D1068" s="958" t="s">
        <v>1596</v>
      </c>
      <c r="E1068" s="959" t="s">
        <v>306</v>
      </c>
      <c r="F1068" s="558" t="s">
        <v>1454</v>
      </c>
      <c r="G1068" s="558">
        <v>335</v>
      </c>
      <c r="H1068" s="558">
        <v>4</v>
      </c>
      <c r="I1068" s="559" t="s">
        <v>494</v>
      </c>
      <c r="J1068" s="567" t="s">
        <v>1597</v>
      </c>
      <c r="K1068" s="961" t="s">
        <v>1568</v>
      </c>
      <c r="L1068" s="555" t="str">
        <f t="shared" ca="1" si="176"/>
        <v/>
      </c>
      <c r="M1068" s="494" t="s">
        <v>1373</v>
      </c>
      <c r="N1068" s="555" t="str">
        <f t="shared" ca="1" si="177"/>
        <v/>
      </c>
      <c r="O1068" s="494" t="s">
        <v>1598</v>
      </c>
      <c r="P1068" s="555" t="str">
        <f t="shared" ca="1" si="178"/>
        <v/>
      </c>
      <c r="Q1068" s="494" t="s">
        <v>1599</v>
      </c>
      <c r="R1068" s="494" t="str">
        <f t="shared" si="185"/>
        <v>I1068</v>
      </c>
      <c r="S1068" s="494" t="s">
        <v>1600</v>
      </c>
      <c r="T1068" s="494">
        <v>5</v>
      </c>
      <c r="U1068" s="556" t="str">
        <f t="shared" ca="1" si="174"/>
        <v/>
      </c>
      <c r="V1068" s="494">
        <v>6</v>
      </c>
      <c r="W1068" s="556" t="str">
        <f t="shared" ca="1" si="175"/>
        <v/>
      </c>
      <c r="X1068" s="494" t="s">
        <v>1601</v>
      </c>
      <c r="Y1068" s="547" t="str">
        <f t="shared" ca="1" si="179"/>
        <v/>
      </c>
      <c r="Z1068" s="494" t="s">
        <v>1602</v>
      </c>
      <c r="AA1068" s="547" t="str">
        <f t="shared" ca="1" si="180"/>
        <v/>
      </c>
      <c r="AB1068" s="494" t="s">
        <v>1603</v>
      </c>
      <c r="AC1068" s="547" t="str">
        <f t="shared" ca="1" si="181"/>
        <v/>
      </c>
      <c r="AD1068" s="557"/>
      <c r="AE1068" s="958"/>
    </row>
    <row r="1069" spans="1:31" ht="15" customHeight="1">
      <c r="A1069" s="957">
        <v>44</v>
      </c>
      <c r="B1069" s="566" t="s">
        <v>142</v>
      </c>
      <c r="C1069" s="567" t="s">
        <v>1595</v>
      </c>
      <c r="D1069" s="958" t="s">
        <v>1596</v>
      </c>
      <c r="E1069" s="959" t="s">
        <v>306</v>
      </c>
      <c r="F1069" s="558" t="s">
        <v>1454</v>
      </c>
      <c r="G1069" s="558">
        <v>335</v>
      </c>
      <c r="H1069" s="558">
        <v>4</v>
      </c>
      <c r="I1069" s="559" t="s">
        <v>326</v>
      </c>
      <c r="J1069" s="567" t="s">
        <v>1597</v>
      </c>
      <c r="K1069" s="961" t="s">
        <v>1568</v>
      </c>
      <c r="L1069" s="555" t="str">
        <f t="shared" ca="1" si="176"/>
        <v/>
      </c>
      <c r="M1069" s="494" t="s">
        <v>1373</v>
      </c>
      <c r="N1069" s="555" t="str">
        <f t="shared" ca="1" si="177"/>
        <v/>
      </c>
      <c r="O1069" s="494" t="s">
        <v>1598</v>
      </c>
      <c r="P1069" s="555" t="str">
        <f t="shared" ca="1" si="178"/>
        <v/>
      </c>
      <c r="Q1069" s="494" t="s">
        <v>1599</v>
      </c>
      <c r="R1069" s="494" t="str">
        <f t="shared" si="185"/>
        <v>I1069</v>
      </c>
      <c r="S1069" s="494" t="s">
        <v>1600</v>
      </c>
      <c r="T1069" s="494">
        <v>5</v>
      </c>
      <c r="U1069" s="556" t="str">
        <f t="shared" ca="1" si="174"/>
        <v/>
      </c>
      <c r="V1069" s="494">
        <v>6</v>
      </c>
      <c r="W1069" s="556" t="str">
        <f t="shared" ca="1" si="175"/>
        <v/>
      </c>
      <c r="X1069" s="494" t="s">
        <v>1601</v>
      </c>
      <c r="Y1069" s="547" t="str">
        <f t="shared" ca="1" si="179"/>
        <v/>
      </c>
      <c r="Z1069" s="494" t="s">
        <v>1602</v>
      </c>
      <c r="AA1069" s="547" t="str">
        <f t="shared" ca="1" si="180"/>
        <v/>
      </c>
      <c r="AB1069" s="494" t="s">
        <v>1603</v>
      </c>
      <c r="AC1069" s="547" t="str">
        <f t="shared" ca="1" si="181"/>
        <v/>
      </c>
      <c r="AD1069" s="557"/>
      <c r="AE1069" s="958"/>
    </row>
    <row r="1070" spans="1:31" ht="15" customHeight="1">
      <c r="A1070" s="957">
        <v>44</v>
      </c>
      <c r="B1070" s="566" t="s">
        <v>142</v>
      </c>
      <c r="C1070" s="567" t="s">
        <v>1595</v>
      </c>
      <c r="D1070" s="958" t="s">
        <v>1596</v>
      </c>
      <c r="E1070" s="959" t="s">
        <v>306</v>
      </c>
      <c r="F1070" s="558" t="s">
        <v>1454</v>
      </c>
      <c r="G1070" s="558">
        <v>335</v>
      </c>
      <c r="H1070" s="558">
        <v>4</v>
      </c>
      <c r="I1070" s="559" t="s">
        <v>327</v>
      </c>
      <c r="J1070" s="567" t="s">
        <v>1597</v>
      </c>
      <c r="K1070" s="961" t="s">
        <v>1568</v>
      </c>
      <c r="L1070" s="555" t="str">
        <f t="shared" ca="1" si="176"/>
        <v/>
      </c>
      <c r="M1070" s="494" t="s">
        <v>1373</v>
      </c>
      <c r="N1070" s="555" t="str">
        <f t="shared" ca="1" si="177"/>
        <v/>
      </c>
      <c r="O1070" s="494" t="s">
        <v>1598</v>
      </c>
      <c r="P1070" s="555" t="str">
        <f t="shared" ca="1" si="178"/>
        <v/>
      </c>
      <c r="Q1070" s="494" t="s">
        <v>1599</v>
      </c>
      <c r="R1070" s="494" t="str">
        <f t="shared" si="185"/>
        <v>I1070</v>
      </c>
      <c r="S1070" s="494" t="s">
        <v>1600</v>
      </c>
      <c r="T1070" s="494">
        <v>5</v>
      </c>
      <c r="U1070" s="556" t="str">
        <f t="shared" ca="1" si="174"/>
        <v/>
      </c>
      <c r="V1070" s="494">
        <v>6</v>
      </c>
      <c r="W1070" s="556" t="str">
        <f t="shared" ca="1" si="175"/>
        <v/>
      </c>
      <c r="X1070" s="494" t="s">
        <v>1601</v>
      </c>
      <c r="Y1070" s="547" t="str">
        <f t="shared" ca="1" si="179"/>
        <v/>
      </c>
      <c r="Z1070" s="494" t="s">
        <v>1602</v>
      </c>
      <c r="AA1070" s="547" t="str">
        <f t="shared" ca="1" si="180"/>
        <v/>
      </c>
      <c r="AB1070" s="494" t="s">
        <v>1603</v>
      </c>
      <c r="AC1070" s="547" t="str">
        <f t="shared" ca="1" si="181"/>
        <v/>
      </c>
      <c r="AD1070" s="557"/>
      <c r="AE1070" s="958"/>
    </row>
    <row r="1071" spans="1:31" ht="15" customHeight="1">
      <c r="A1071" s="957">
        <v>44</v>
      </c>
      <c r="B1071" s="566" t="s">
        <v>142</v>
      </c>
      <c r="C1071" s="567" t="s">
        <v>1595</v>
      </c>
      <c r="D1071" s="958" t="s">
        <v>1596</v>
      </c>
      <c r="E1071" s="959" t="s">
        <v>306</v>
      </c>
      <c r="F1071" s="558" t="s">
        <v>1454</v>
      </c>
      <c r="G1071" s="558">
        <v>336</v>
      </c>
      <c r="H1071" s="558">
        <v>5</v>
      </c>
      <c r="I1071" s="559" t="s">
        <v>314</v>
      </c>
      <c r="J1071" s="567" t="s">
        <v>1597</v>
      </c>
      <c r="K1071" s="961" t="s">
        <v>1568</v>
      </c>
      <c r="L1071" s="555" t="str">
        <f t="shared" ca="1" si="176"/>
        <v/>
      </c>
      <c r="M1071" s="494" t="s">
        <v>1373</v>
      </c>
      <c r="N1071" s="555" t="str">
        <f t="shared" ca="1" si="177"/>
        <v/>
      </c>
      <c r="O1071" s="494" t="s">
        <v>1598</v>
      </c>
      <c r="P1071" s="555" t="str">
        <f t="shared" ca="1" si="178"/>
        <v/>
      </c>
      <c r="Q1071" s="494" t="s">
        <v>1599</v>
      </c>
      <c r="R1071" s="494" t="str">
        <f t="shared" si="185"/>
        <v>I1071</v>
      </c>
      <c r="S1071" s="494" t="s">
        <v>1600</v>
      </c>
      <c r="T1071" s="494">
        <v>5</v>
      </c>
      <c r="U1071" s="556" t="str">
        <f t="shared" ca="1" si="174"/>
        <v/>
      </c>
      <c r="V1071" s="494">
        <v>6</v>
      </c>
      <c r="W1071" s="556" t="str">
        <f t="shared" ca="1" si="175"/>
        <v/>
      </c>
      <c r="X1071" s="494" t="s">
        <v>1601</v>
      </c>
      <c r="Y1071" s="547" t="str">
        <f t="shared" ca="1" si="179"/>
        <v/>
      </c>
      <c r="Z1071" s="494" t="s">
        <v>1602</v>
      </c>
      <c r="AA1071" s="547" t="str">
        <f t="shared" ca="1" si="180"/>
        <v/>
      </c>
      <c r="AB1071" s="494" t="s">
        <v>1603</v>
      </c>
      <c r="AC1071" s="547" t="str">
        <f t="shared" ca="1" si="181"/>
        <v/>
      </c>
      <c r="AD1071" s="557"/>
      <c r="AE1071" s="958"/>
    </row>
    <row r="1072" spans="1:31" ht="15" customHeight="1">
      <c r="A1072" s="957">
        <v>44</v>
      </c>
      <c r="B1072" s="566" t="s">
        <v>142</v>
      </c>
      <c r="C1072" s="567" t="s">
        <v>1595</v>
      </c>
      <c r="D1072" s="958" t="s">
        <v>1596</v>
      </c>
      <c r="E1072" s="959" t="s">
        <v>306</v>
      </c>
      <c r="F1072" s="558" t="s">
        <v>1454</v>
      </c>
      <c r="G1072" s="558">
        <v>336</v>
      </c>
      <c r="H1072" s="558">
        <v>5</v>
      </c>
      <c r="I1072" s="559" t="s">
        <v>315</v>
      </c>
      <c r="J1072" s="567" t="s">
        <v>1597</v>
      </c>
      <c r="K1072" s="961" t="s">
        <v>1568</v>
      </c>
      <c r="L1072" s="555" t="str">
        <f t="shared" ca="1" si="176"/>
        <v/>
      </c>
      <c r="M1072" s="494" t="s">
        <v>1373</v>
      </c>
      <c r="N1072" s="555" t="str">
        <f t="shared" ca="1" si="177"/>
        <v/>
      </c>
      <c r="O1072" s="494" t="s">
        <v>1598</v>
      </c>
      <c r="P1072" s="555" t="str">
        <f t="shared" ca="1" si="178"/>
        <v/>
      </c>
      <c r="Q1072" s="494" t="s">
        <v>1599</v>
      </c>
      <c r="R1072" s="494" t="str">
        <f t="shared" si="185"/>
        <v>I1072</v>
      </c>
      <c r="S1072" s="494" t="s">
        <v>1600</v>
      </c>
      <c r="T1072" s="494">
        <v>5</v>
      </c>
      <c r="U1072" s="556" t="str">
        <f t="shared" ca="1" si="174"/>
        <v/>
      </c>
      <c r="V1072" s="494">
        <v>6</v>
      </c>
      <c r="W1072" s="556" t="str">
        <f t="shared" ca="1" si="175"/>
        <v/>
      </c>
      <c r="X1072" s="494" t="s">
        <v>1601</v>
      </c>
      <c r="Y1072" s="547" t="str">
        <f t="shared" ca="1" si="179"/>
        <v/>
      </c>
      <c r="Z1072" s="494" t="s">
        <v>1602</v>
      </c>
      <c r="AA1072" s="547" t="str">
        <f t="shared" ca="1" si="180"/>
        <v/>
      </c>
      <c r="AB1072" s="494" t="s">
        <v>1603</v>
      </c>
      <c r="AC1072" s="547" t="str">
        <f t="shared" ca="1" si="181"/>
        <v/>
      </c>
      <c r="AD1072" s="557"/>
      <c r="AE1072" s="958"/>
    </row>
    <row r="1073" spans="1:31" ht="15" customHeight="1">
      <c r="A1073" s="957">
        <v>44</v>
      </c>
      <c r="B1073" s="566" t="s">
        <v>142</v>
      </c>
      <c r="C1073" s="567" t="s">
        <v>1595</v>
      </c>
      <c r="D1073" s="958" t="s">
        <v>1596</v>
      </c>
      <c r="E1073" s="959" t="s">
        <v>306</v>
      </c>
      <c r="F1073" s="558" t="s">
        <v>1454</v>
      </c>
      <c r="G1073" s="558">
        <v>336</v>
      </c>
      <c r="H1073" s="558">
        <v>5</v>
      </c>
      <c r="I1073" s="559" t="s">
        <v>976</v>
      </c>
      <c r="J1073" s="567" t="s">
        <v>1597</v>
      </c>
      <c r="K1073" s="961" t="s">
        <v>1568</v>
      </c>
      <c r="L1073" s="555" t="str">
        <f t="shared" ca="1" si="176"/>
        <v/>
      </c>
      <c r="M1073" s="494" t="s">
        <v>1373</v>
      </c>
      <c r="N1073" s="555" t="str">
        <f t="shared" ca="1" si="177"/>
        <v/>
      </c>
      <c r="O1073" s="494" t="s">
        <v>1598</v>
      </c>
      <c r="P1073" s="555" t="str">
        <f t="shared" ca="1" si="178"/>
        <v/>
      </c>
      <c r="Q1073" s="494" t="s">
        <v>1599</v>
      </c>
      <c r="R1073" s="494" t="str">
        <f t="shared" si="185"/>
        <v>I1073</v>
      </c>
      <c r="S1073" s="494" t="s">
        <v>1600</v>
      </c>
      <c r="T1073" s="494">
        <v>5</v>
      </c>
      <c r="U1073" s="556" t="str">
        <f t="shared" ca="1" si="174"/>
        <v/>
      </c>
      <c r="V1073" s="494">
        <v>6</v>
      </c>
      <c r="W1073" s="556" t="str">
        <f t="shared" ca="1" si="175"/>
        <v/>
      </c>
      <c r="X1073" s="494" t="s">
        <v>1601</v>
      </c>
      <c r="Y1073" s="547" t="str">
        <f t="shared" ca="1" si="179"/>
        <v/>
      </c>
      <c r="Z1073" s="494" t="s">
        <v>1602</v>
      </c>
      <c r="AA1073" s="547" t="str">
        <f t="shared" ca="1" si="180"/>
        <v/>
      </c>
      <c r="AB1073" s="494" t="s">
        <v>1603</v>
      </c>
      <c r="AC1073" s="547" t="str">
        <f t="shared" ca="1" si="181"/>
        <v/>
      </c>
      <c r="AD1073" s="557"/>
      <c r="AE1073" s="958"/>
    </row>
    <row r="1074" spans="1:31" ht="15" customHeight="1">
      <c r="A1074" s="957">
        <v>44</v>
      </c>
      <c r="B1074" s="566" t="s">
        <v>142</v>
      </c>
      <c r="C1074" s="567" t="s">
        <v>1595</v>
      </c>
      <c r="D1074" s="958" t="s">
        <v>1596</v>
      </c>
      <c r="E1074" s="959" t="s">
        <v>306</v>
      </c>
      <c r="F1074" s="558" t="s">
        <v>1454</v>
      </c>
      <c r="G1074" s="558">
        <v>337</v>
      </c>
      <c r="H1074" s="558">
        <v>6</v>
      </c>
      <c r="I1074" s="559" t="s">
        <v>977</v>
      </c>
      <c r="J1074" s="567" t="s">
        <v>1597</v>
      </c>
      <c r="K1074" s="961" t="s">
        <v>1568</v>
      </c>
      <c r="L1074" s="555" t="str">
        <f t="shared" ca="1" si="176"/>
        <v/>
      </c>
      <c r="M1074" s="494" t="s">
        <v>1373</v>
      </c>
      <c r="N1074" s="555" t="str">
        <f t="shared" ca="1" si="177"/>
        <v/>
      </c>
      <c r="O1074" s="494" t="s">
        <v>1598</v>
      </c>
      <c r="P1074" s="555" t="str">
        <f t="shared" ca="1" si="178"/>
        <v/>
      </c>
      <c r="Q1074" s="494" t="s">
        <v>1599</v>
      </c>
      <c r="R1074" s="494" t="str">
        <f t="shared" si="185"/>
        <v>I1074</v>
      </c>
      <c r="S1074" s="494" t="s">
        <v>1600</v>
      </c>
      <c r="T1074" s="494">
        <v>5</v>
      </c>
      <c r="U1074" s="556" t="str">
        <f t="shared" ca="1" si="174"/>
        <v/>
      </c>
      <c r="V1074" s="494">
        <v>6</v>
      </c>
      <c r="W1074" s="556" t="str">
        <f t="shared" ca="1" si="175"/>
        <v/>
      </c>
      <c r="X1074" s="494" t="s">
        <v>1601</v>
      </c>
      <c r="Y1074" s="547" t="str">
        <f t="shared" ca="1" si="179"/>
        <v/>
      </c>
      <c r="Z1074" s="494" t="s">
        <v>1602</v>
      </c>
      <c r="AA1074" s="547" t="str">
        <f t="shared" ca="1" si="180"/>
        <v/>
      </c>
      <c r="AB1074" s="494" t="s">
        <v>1603</v>
      </c>
      <c r="AC1074" s="547" t="str">
        <f t="shared" ca="1" si="181"/>
        <v/>
      </c>
      <c r="AD1074" s="557"/>
      <c r="AE1074" s="958"/>
    </row>
    <row r="1075" spans="1:31" ht="15" customHeight="1">
      <c r="A1075" s="957">
        <v>44</v>
      </c>
      <c r="B1075" s="566" t="s">
        <v>142</v>
      </c>
      <c r="C1075" s="567" t="s">
        <v>1595</v>
      </c>
      <c r="D1075" s="958" t="s">
        <v>1596</v>
      </c>
      <c r="E1075" s="959" t="s">
        <v>306</v>
      </c>
      <c r="F1075" s="558" t="s">
        <v>1454</v>
      </c>
      <c r="G1075" s="558">
        <v>338</v>
      </c>
      <c r="H1075" s="558">
        <v>7</v>
      </c>
      <c r="I1075" s="559" t="s">
        <v>979</v>
      </c>
      <c r="J1075" s="567" t="s">
        <v>1597</v>
      </c>
      <c r="K1075" s="961" t="s">
        <v>1568</v>
      </c>
      <c r="L1075" s="555" t="str">
        <f t="shared" ca="1" si="176"/>
        <v/>
      </c>
      <c r="M1075" s="494" t="s">
        <v>1373</v>
      </c>
      <c r="N1075" s="555" t="str">
        <f t="shared" ca="1" si="177"/>
        <v/>
      </c>
      <c r="O1075" s="494" t="s">
        <v>1598</v>
      </c>
      <c r="P1075" s="555" t="str">
        <f t="shared" ca="1" si="178"/>
        <v/>
      </c>
      <c r="Q1075" s="494" t="s">
        <v>1599</v>
      </c>
      <c r="R1075" s="494" t="str">
        <f t="shared" si="185"/>
        <v>I1075</v>
      </c>
      <c r="S1075" s="494" t="s">
        <v>1600</v>
      </c>
      <c r="T1075" s="494">
        <v>5</v>
      </c>
      <c r="U1075" s="556" t="str">
        <f t="shared" ca="1" si="174"/>
        <v/>
      </c>
      <c r="V1075" s="494">
        <v>6</v>
      </c>
      <c r="W1075" s="556" t="str">
        <f t="shared" ca="1" si="175"/>
        <v/>
      </c>
      <c r="X1075" s="494" t="s">
        <v>1601</v>
      </c>
      <c r="Y1075" s="547" t="str">
        <f t="shared" ca="1" si="179"/>
        <v/>
      </c>
      <c r="Z1075" s="494" t="s">
        <v>1602</v>
      </c>
      <c r="AA1075" s="547" t="str">
        <f t="shared" ca="1" si="180"/>
        <v/>
      </c>
      <c r="AB1075" s="494" t="s">
        <v>1603</v>
      </c>
      <c r="AC1075" s="547" t="str">
        <f t="shared" ca="1" si="181"/>
        <v/>
      </c>
      <c r="AD1075" s="557"/>
      <c r="AE1075" s="958"/>
    </row>
    <row r="1076" spans="1:31" ht="15" customHeight="1">
      <c r="A1076" s="957">
        <v>44</v>
      </c>
      <c r="B1076" s="566" t="s">
        <v>142</v>
      </c>
      <c r="C1076" s="567" t="s">
        <v>1595</v>
      </c>
      <c r="D1076" s="958" t="s">
        <v>1596</v>
      </c>
      <c r="E1076" s="959" t="s">
        <v>306</v>
      </c>
      <c r="F1076" s="558" t="s">
        <v>1454</v>
      </c>
      <c r="G1076" s="558">
        <v>338</v>
      </c>
      <c r="H1076" s="558">
        <v>7</v>
      </c>
      <c r="I1076" s="559" t="s">
        <v>980</v>
      </c>
      <c r="J1076" s="567" t="s">
        <v>1597</v>
      </c>
      <c r="K1076" s="961" t="s">
        <v>1568</v>
      </c>
      <c r="L1076" s="555" t="str">
        <f t="shared" ca="1" si="176"/>
        <v/>
      </c>
      <c r="M1076" s="494" t="s">
        <v>1373</v>
      </c>
      <c r="N1076" s="555" t="str">
        <f t="shared" ca="1" si="177"/>
        <v/>
      </c>
      <c r="O1076" s="494" t="s">
        <v>1598</v>
      </c>
      <c r="P1076" s="555" t="str">
        <f t="shared" ca="1" si="178"/>
        <v/>
      </c>
      <c r="Q1076" s="494" t="s">
        <v>1599</v>
      </c>
      <c r="R1076" s="494" t="str">
        <f t="shared" si="185"/>
        <v>I1076</v>
      </c>
      <c r="S1076" s="494" t="s">
        <v>1600</v>
      </c>
      <c r="T1076" s="494">
        <v>5</v>
      </c>
      <c r="U1076" s="556" t="str">
        <f t="shared" ca="1" si="174"/>
        <v/>
      </c>
      <c r="V1076" s="494">
        <v>6</v>
      </c>
      <c r="W1076" s="556" t="str">
        <f t="shared" ca="1" si="175"/>
        <v/>
      </c>
      <c r="X1076" s="494" t="s">
        <v>1601</v>
      </c>
      <c r="Y1076" s="547" t="str">
        <f t="shared" ca="1" si="179"/>
        <v/>
      </c>
      <c r="Z1076" s="494" t="s">
        <v>1602</v>
      </c>
      <c r="AA1076" s="547" t="str">
        <f t="shared" ca="1" si="180"/>
        <v/>
      </c>
      <c r="AB1076" s="494" t="s">
        <v>1603</v>
      </c>
      <c r="AC1076" s="547" t="str">
        <f t="shared" ca="1" si="181"/>
        <v/>
      </c>
      <c r="AD1076" s="557"/>
      <c r="AE1076" s="958"/>
    </row>
    <row r="1077" spans="1:31" ht="15" customHeight="1">
      <c r="A1077" s="957">
        <v>44</v>
      </c>
      <c r="B1077" s="566" t="s">
        <v>142</v>
      </c>
      <c r="C1077" s="567" t="s">
        <v>1595</v>
      </c>
      <c r="D1077" s="958" t="s">
        <v>1596</v>
      </c>
      <c r="E1077" s="959" t="s">
        <v>306</v>
      </c>
      <c r="F1077" s="558" t="s">
        <v>1454</v>
      </c>
      <c r="G1077" s="558">
        <v>338</v>
      </c>
      <c r="H1077" s="558">
        <v>7</v>
      </c>
      <c r="I1077" s="559" t="s">
        <v>981</v>
      </c>
      <c r="J1077" s="567" t="s">
        <v>1597</v>
      </c>
      <c r="K1077" s="961" t="s">
        <v>1568</v>
      </c>
      <c r="L1077" s="555" t="str">
        <f t="shared" ca="1" si="176"/>
        <v/>
      </c>
      <c r="M1077" s="494" t="s">
        <v>1373</v>
      </c>
      <c r="N1077" s="555" t="str">
        <f t="shared" ca="1" si="177"/>
        <v/>
      </c>
      <c r="O1077" s="494" t="s">
        <v>1598</v>
      </c>
      <c r="P1077" s="555" t="str">
        <f t="shared" ca="1" si="178"/>
        <v/>
      </c>
      <c r="Q1077" s="494" t="s">
        <v>1599</v>
      </c>
      <c r="R1077" s="494" t="str">
        <f t="shared" si="185"/>
        <v>I1077</v>
      </c>
      <c r="S1077" s="494" t="s">
        <v>1600</v>
      </c>
      <c r="T1077" s="494">
        <v>5</v>
      </c>
      <c r="U1077" s="556" t="str">
        <f t="shared" ca="1" si="174"/>
        <v/>
      </c>
      <c r="V1077" s="494">
        <v>6</v>
      </c>
      <c r="W1077" s="556" t="str">
        <f t="shared" ca="1" si="175"/>
        <v/>
      </c>
      <c r="X1077" s="494" t="s">
        <v>1601</v>
      </c>
      <c r="Y1077" s="547" t="str">
        <f t="shared" ca="1" si="179"/>
        <v/>
      </c>
      <c r="Z1077" s="494" t="s">
        <v>1602</v>
      </c>
      <c r="AA1077" s="547" t="str">
        <f t="shared" ca="1" si="180"/>
        <v/>
      </c>
      <c r="AB1077" s="494" t="s">
        <v>1603</v>
      </c>
      <c r="AC1077" s="547" t="str">
        <f t="shared" ca="1" si="181"/>
        <v/>
      </c>
      <c r="AD1077" s="557"/>
      <c r="AE1077" s="958"/>
    </row>
    <row r="1078" spans="1:31" ht="15" customHeight="1">
      <c r="A1078" s="957">
        <v>44</v>
      </c>
      <c r="B1078" s="566" t="s">
        <v>142</v>
      </c>
      <c r="C1078" s="567" t="s">
        <v>1595</v>
      </c>
      <c r="D1078" s="958" t="s">
        <v>1596</v>
      </c>
      <c r="E1078" s="959" t="s">
        <v>306</v>
      </c>
      <c r="F1078" s="558" t="s">
        <v>1454</v>
      </c>
      <c r="G1078" s="558">
        <v>338</v>
      </c>
      <c r="H1078" s="558">
        <v>7</v>
      </c>
      <c r="I1078" s="559" t="s">
        <v>982</v>
      </c>
      <c r="J1078" s="567" t="s">
        <v>1597</v>
      </c>
      <c r="K1078" s="961" t="s">
        <v>1568</v>
      </c>
      <c r="L1078" s="555" t="str">
        <f t="shared" ca="1" si="176"/>
        <v/>
      </c>
      <c r="M1078" s="494" t="s">
        <v>1373</v>
      </c>
      <c r="N1078" s="555" t="str">
        <f t="shared" ca="1" si="177"/>
        <v/>
      </c>
      <c r="O1078" s="494" t="s">
        <v>1598</v>
      </c>
      <c r="P1078" s="555" t="str">
        <f t="shared" ca="1" si="178"/>
        <v/>
      </c>
      <c r="Q1078" s="494" t="s">
        <v>1599</v>
      </c>
      <c r="R1078" s="494" t="str">
        <f t="shared" si="185"/>
        <v>I1078</v>
      </c>
      <c r="S1078" s="494" t="s">
        <v>1600</v>
      </c>
      <c r="T1078" s="494">
        <v>5</v>
      </c>
      <c r="U1078" s="556" t="str">
        <f t="shared" ca="1" si="174"/>
        <v/>
      </c>
      <c r="V1078" s="494">
        <v>6</v>
      </c>
      <c r="W1078" s="556" t="str">
        <f t="shared" ca="1" si="175"/>
        <v/>
      </c>
      <c r="X1078" s="494" t="s">
        <v>1601</v>
      </c>
      <c r="Y1078" s="547" t="str">
        <f t="shared" ca="1" si="179"/>
        <v/>
      </c>
      <c r="Z1078" s="494" t="s">
        <v>1602</v>
      </c>
      <c r="AA1078" s="547" t="str">
        <f t="shared" ca="1" si="180"/>
        <v/>
      </c>
      <c r="AB1078" s="494" t="s">
        <v>1603</v>
      </c>
      <c r="AC1078" s="547" t="str">
        <f t="shared" ca="1" si="181"/>
        <v/>
      </c>
      <c r="AD1078" s="557"/>
      <c r="AE1078" s="958"/>
    </row>
    <row r="1079" spans="1:31" ht="15" customHeight="1">
      <c r="A1079" s="957">
        <v>44</v>
      </c>
      <c r="B1079" s="566" t="s">
        <v>142</v>
      </c>
      <c r="C1079" s="567" t="s">
        <v>1595</v>
      </c>
      <c r="D1079" s="958" t="s">
        <v>1596</v>
      </c>
      <c r="E1079" s="959" t="s">
        <v>306</v>
      </c>
      <c r="F1079" s="558" t="s">
        <v>1454</v>
      </c>
      <c r="G1079" s="558">
        <v>339</v>
      </c>
      <c r="H1079" s="558">
        <v>8</v>
      </c>
      <c r="I1079" s="559" t="s">
        <v>983</v>
      </c>
      <c r="J1079" s="567" t="s">
        <v>1597</v>
      </c>
      <c r="K1079" s="961" t="s">
        <v>1568</v>
      </c>
      <c r="L1079" s="555" t="str">
        <f t="shared" ca="1" si="176"/>
        <v/>
      </c>
      <c r="M1079" s="494" t="s">
        <v>1373</v>
      </c>
      <c r="N1079" s="555" t="str">
        <f t="shared" ca="1" si="177"/>
        <v/>
      </c>
      <c r="O1079" s="494" t="s">
        <v>1598</v>
      </c>
      <c r="P1079" s="555" t="str">
        <f t="shared" ca="1" si="178"/>
        <v/>
      </c>
      <c r="Q1079" s="494" t="s">
        <v>1599</v>
      </c>
      <c r="R1079" s="494" t="str">
        <f t="shared" si="185"/>
        <v>I1079</v>
      </c>
      <c r="S1079" s="494" t="s">
        <v>1600</v>
      </c>
      <c r="T1079" s="494">
        <v>5</v>
      </c>
      <c r="U1079" s="556" t="str">
        <f t="shared" ca="1" si="174"/>
        <v/>
      </c>
      <c r="V1079" s="494">
        <v>6</v>
      </c>
      <c r="W1079" s="556" t="str">
        <f t="shared" ca="1" si="175"/>
        <v/>
      </c>
      <c r="X1079" s="494" t="s">
        <v>1601</v>
      </c>
      <c r="Y1079" s="547" t="str">
        <f t="shared" ca="1" si="179"/>
        <v/>
      </c>
      <c r="Z1079" s="494" t="s">
        <v>1602</v>
      </c>
      <c r="AA1079" s="547" t="str">
        <f t="shared" ca="1" si="180"/>
        <v/>
      </c>
      <c r="AB1079" s="494" t="s">
        <v>1603</v>
      </c>
      <c r="AC1079" s="547" t="str">
        <f t="shared" ca="1" si="181"/>
        <v/>
      </c>
      <c r="AD1079" s="557"/>
      <c r="AE1079" s="958"/>
    </row>
    <row r="1080" spans="1:31" ht="15" customHeight="1">
      <c r="A1080" s="957">
        <v>44</v>
      </c>
      <c r="B1080" s="566" t="s">
        <v>142</v>
      </c>
      <c r="C1080" s="567" t="s">
        <v>1595</v>
      </c>
      <c r="D1080" s="958" t="s">
        <v>1596</v>
      </c>
      <c r="E1080" s="959" t="s">
        <v>306</v>
      </c>
      <c r="F1080" s="558" t="s">
        <v>1454</v>
      </c>
      <c r="G1080" s="558">
        <v>340</v>
      </c>
      <c r="H1080" s="558">
        <v>9</v>
      </c>
      <c r="I1080" s="559" t="s">
        <v>984</v>
      </c>
      <c r="J1080" s="567" t="s">
        <v>1597</v>
      </c>
      <c r="K1080" s="961" t="s">
        <v>1568</v>
      </c>
      <c r="L1080" s="555" t="str">
        <f t="shared" ca="1" si="176"/>
        <v/>
      </c>
      <c r="M1080" s="494" t="s">
        <v>1373</v>
      </c>
      <c r="N1080" s="555" t="str">
        <f t="shared" ca="1" si="177"/>
        <v/>
      </c>
      <c r="O1080" s="494" t="s">
        <v>1598</v>
      </c>
      <c r="P1080" s="555" t="str">
        <f t="shared" ca="1" si="178"/>
        <v/>
      </c>
      <c r="Q1080" s="494" t="s">
        <v>1599</v>
      </c>
      <c r="R1080" s="494" t="str">
        <f t="shared" si="185"/>
        <v>I1080</v>
      </c>
      <c r="S1080" s="494" t="s">
        <v>1600</v>
      </c>
      <c r="T1080" s="494">
        <v>5</v>
      </c>
      <c r="U1080" s="556" t="str">
        <f t="shared" ca="1" si="174"/>
        <v/>
      </c>
      <c r="V1080" s="494">
        <v>6</v>
      </c>
      <c r="W1080" s="556" t="str">
        <f t="shared" ca="1" si="175"/>
        <v/>
      </c>
      <c r="X1080" s="494" t="s">
        <v>1601</v>
      </c>
      <c r="Y1080" s="547" t="str">
        <f t="shared" ca="1" si="179"/>
        <v/>
      </c>
      <c r="Z1080" s="494" t="s">
        <v>1602</v>
      </c>
      <c r="AA1080" s="547" t="str">
        <f t="shared" ca="1" si="180"/>
        <v/>
      </c>
      <c r="AB1080" s="494" t="s">
        <v>1603</v>
      </c>
      <c r="AC1080" s="547" t="str">
        <f t="shared" ca="1" si="181"/>
        <v/>
      </c>
      <c r="AD1080" s="557"/>
      <c r="AE1080" s="958"/>
    </row>
    <row r="1081" spans="1:31" ht="15" customHeight="1">
      <c r="A1081" s="957">
        <v>44</v>
      </c>
      <c r="B1081" s="566" t="s">
        <v>142</v>
      </c>
      <c r="C1081" s="567" t="s">
        <v>1595</v>
      </c>
      <c r="D1081" s="958" t="s">
        <v>1596</v>
      </c>
      <c r="E1081" s="959" t="s">
        <v>335</v>
      </c>
      <c r="F1081" s="558" t="s">
        <v>1455</v>
      </c>
      <c r="G1081" s="558">
        <v>341</v>
      </c>
      <c r="H1081" s="558">
        <v>1</v>
      </c>
      <c r="I1081" s="559" t="s">
        <v>338</v>
      </c>
      <c r="J1081" s="567" t="s">
        <v>1597</v>
      </c>
      <c r="K1081" s="961" t="s">
        <v>1568</v>
      </c>
      <c r="L1081" s="555" t="str">
        <f t="shared" ca="1" si="176"/>
        <v/>
      </c>
      <c r="M1081" s="494" t="s">
        <v>1373</v>
      </c>
      <c r="N1081" s="555" t="str">
        <f t="shared" ca="1" si="177"/>
        <v/>
      </c>
      <c r="O1081" s="494" t="s">
        <v>1598</v>
      </c>
      <c r="P1081" s="555" t="str">
        <f t="shared" ca="1" si="178"/>
        <v/>
      </c>
      <c r="Q1081" s="494" t="s">
        <v>1599</v>
      </c>
      <c r="R1081" s="494" t="str">
        <f t="shared" si="185"/>
        <v>I1081</v>
      </c>
      <c r="S1081" s="494" t="s">
        <v>1600</v>
      </c>
      <c r="T1081" s="494">
        <v>5</v>
      </c>
      <c r="U1081" s="556" t="str">
        <f t="shared" ca="1" si="174"/>
        <v/>
      </c>
      <c r="V1081" s="494">
        <v>6</v>
      </c>
      <c r="W1081" s="556" t="str">
        <f t="shared" ca="1" si="175"/>
        <v/>
      </c>
      <c r="X1081" s="494" t="s">
        <v>1601</v>
      </c>
      <c r="Y1081" s="547" t="str">
        <f t="shared" ca="1" si="179"/>
        <v/>
      </c>
      <c r="Z1081" s="494" t="s">
        <v>1602</v>
      </c>
      <c r="AA1081" s="547" t="str">
        <f t="shared" ca="1" si="180"/>
        <v/>
      </c>
      <c r="AB1081" s="494" t="s">
        <v>1603</v>
      </c>
      <c r="AC1081" s="547" t="str">
        <f t="shared" ca="1" si="181"/>
        <v/>
      </c>
      <c r="AD1081" s="557"/>
      <c r="AE1081" s="958"/>
    </row>
    <row r="1082" spans="1:31" ht="15" customHeight="1">
      <c r="A1082" s="957">
        <v>44</v>
      </c>
      <c r="B1082" s="566" t="s">
        <v>142</v>
      </c>
      <c r="C1082" s="567" t="s">
        <v>1595</v>
      </c>
      <c r="D1082" s="958" t="s">
        <v>1596</v>
      </c>
      <c r="E1082" s="959" t="s">
        <v>335</v>
      </c>
      <c r="F1082" s="558" t="s">
        <v>1455</v>
      </c>
      <c r="G1082" s="558">
        <v>341</v>
      </c>
      <c r="H1082" s="558">
        <v>1</v>
      </c>
      <c r="I1082" s="559" t="s">
        <v>336</v>
      </c>
      <c r="J1082" s="567" t="s">
        <v>1597</v>
      </c>
      <c r="K1082" s="961" t="s">
        <v>1568</v>
      </c>
      <c r="L1082" s="555" t="str">
        <f t="shared" ca="1" si="176"/>
        <v/>
      </c>
      <c r="M1082" s="494" t="s">
        <v>1373</v>
      </c>
      <c r="N1082" s="555" t="str">
        <f t="shared" ca="1" si="177"/>
        <v/>
      </c>
      <c r="O1082" s="494" t="s">
        <v>1598</v>
      </c>
      <c r="P1082" s="555" t="str">
        <f t="shared" ca="1" si="178"/>
        <v/>
      </c>
      <c r="Q1082" s="494" t="s">
        <v>1599</v>
      </c>
      <c r="R1082" s="494" t="str">
        <f t="shared" si="185"/>
        <v>I1082</v>
      </c>
      <c r="S1082" s="494" t="s">
        <v>1600</v>
      </c>
      <c r="T1082" s="494">
        <v>5</v>
      </c>
      <c r="U1082" s="556" t="str">
        <f t="shared" ca="1" si="174"/>
        <v/>
      </c>
      <c r="V1082" s="494">
        <v>6</v>
      </c>
      <c r="W1082" s="556" t="str">
        <f t="shared" ca="1" si="175"/>
        <v/>
      </c>
      <c r="X1082" s="494" t="s">
        <v>1601</v>
      </c>
      <c r="Y1082" s="547" t="str">
        <f t="shared" ca="1" si="179"/>
        <v/>
      </c>
      <c r="Z1082" s="494" t="s">
        <v>1602</v>
      </c>
      <c r="AA1082" s="547" t="str">
        <f t="shared" ca="1" si="180"/>
        <v/>
      </c>
      <c r="AB1082" s="494" t="s">
        <v>1603</v>
      </c>
      <c r="AC1082" s="547" t="str">
        <f t="shared" ca="1" si="181"/>
        <v/>
      </c>
      <c r="AD1082" s="557"/>
      <c r="AE1082" s="958"/>
    </row>
    <row r="1083" spans="1:31" ht="15" customHeight="1">
      <c r="A1083" s="957">
        <v>44</v>
      </c>
      <c r="B1083" s="566" t="s">
        <v>142</v>
      </c>
      <c r="C1083" s="567" t="s">
        <v>1595</v>
      </c>
      <c r="D1083" s="958" t="s">
        <v>1596</v>
      </c>
      <c r="E1083" s="959" t="s">
        <v>345</v>
      </c>
      <c r="F1083" s="558" t="s">
        <v>1484</v>
      </c>
      <c r="G1083" s="558">
        <v>342</v>
      </c>
      <c r="H1083" s="558">
        <v>1</v>
      </c>
      <c r="I1083" s="559" t="s">
        <v>986</v>
      </c>
      <c r="J1083" s="567" t="s">
        <v>1597</v>
      </c>
      <c r="K1083" s="961" t="s">
        <v>1568</v>
      </c>
      <c r="L1083" s="555" t="str">
        <f t="shared" ca="1" si="176"/>
        <v/>
      </c>
      <c r="M1083" s="494" t="s">
        <v>1373</v>
      </c>
      <c r="N1083" s="555" t="str">
        <f t="shared" ca="1" si="177"/>
        <v/>
      </c>
      <c r="O1083" s="494" t="s">
        <v>1598</v>
      </c>
      <c r="P1083" s="555" t="str">
        <f t="shared" ca="1" si="178"/>
        <v/>
      </c>
      <c r="Q1083" s="494" t="s">
        <v>1599</v>
      </c>
      <c r="R1083" s="494" t="str">
        <f t="shared" si="185"/>
        <v>I1083</v>
      </c>
      <c r="S1083" s="494" t="s">
        <v>1600</v>
      </c>
      <c r="T1083" s="494">
        <v>5</v>
      </c>
      <c r="U1083" s="556" t="str">
        <f t="shared" ca="1" si="174"/>
        <v/>
      </c>
      <c r="V1083" s="494">
        <v>6</v>
      </c>
      <c r="W1083" s="556" t="str">
        <f t="shared" ca="1" si="175"/>
        <v/>
      </c>
      <c r="X1083" s="494" t="s">
        <v>1601</v>
      </c>
      <c r="Y1083" s="547" t="str">
        <f t="shared" ca="1" si="179"/>
        <v/>
      </c>
      <c r="Z1083" s="494" t="s">
        <v>1602</v>
      </c>
      <c r="AA1083" s="547" t="str">
        <f t="shared" ca="1" si="180"/>
        <v/>
      </c>
      <c r="AB1083" s="494" t="s">
        <v>1603</v>
      </c>
      <c r="AC1083" s="547" t="str">
        <f t="shared" ca="1" si="181"/>
        <v/>
      </c>
      <c r="AD1083" s="557"/>
      <c r="AE1083" s="958"/>
    </row>
    <row r="1084" spans="1:31" ht="15" customHeight="1">
      <c r="A1084" s="957">
        <v>44</v>
      </c>
      <c r="B1084" s="566" t="s">
        <v>142</v>
      </c>
      <c r="C1084" s="567" t="s">
        <v>1595</v>
      </c>
      <c r="D1084" s="958" t="s">
        <v>1596</v>
      </c>
      <c r="E1084" s="959" t="s">
        <v>345</v>
      </c>
      <c r="F1084" s="558" t="s">
        <v>1484</v>
      </c>
      <c r="G1084" s="558">
        <v>343</v>
      </c>
      <c r="H1084" s="558">
        <v>2</v>
      </c>
      <c r="I1084" s="559" t="s">
        <v>987</v>
      </c>
      <c r="J1084" s="567" t="s">
        <v>1597</v>
      </c>
      <c r="K1084" s="961" t="s">
        <v>1568</v>
      </c>
      <c r="L1084" s="555" t="str">
        <f t="shared" ca="1" si="176"/>
        <v/>
      </c>
      <c r="M1084" s="494" t="s">
        <v>1373</v>
      </c>
      <c r="N1084" s="555" t="str">
        <f t="shared" ca="1" si="177"/>
        <v/>
      </c>
      <c r="O1084" s="494" t="s">
        <v>1598</v>
      </c>
      <c r="P1084" s="555" t="str">
        <f t="shared" ca="1" si="178"/>
        <v/>
      </c>
      <c r="Q1084" s="494" t="s">
        <v>1599</v>
      </c>
      <c r="R1084" s="494" t="str">
        <f t="shared" si="185"/>
        <v>I1084</v>
      </c>
      <c r="S1084" s="494" t="s">
        <v>1600</v>
      </c>
      <c r="T1084" s="494">
        <v>5</v>
      </c>
      <c r="U1084" s="556" t="str">
        <f t="shared" ca="1" si="174"/>
        <v/>
      </c>
      <c r="V1084" s="494">
        <v>6</v>
      </c>
      <c r="W1084" s="556" t="str">
        <f t="shared" ca="1" si="175"/>
        <v/>
      </c>
      <c r="X1084" s="494" t="s">
        <v>1601</v>
      </c>
      <c r="Y1084" s="547" t="str">
        <f t="shared" ca="1" si="179"/>
        <v/>
      </c>
      <c r="Z1084" s="494" t="s">
        <v>1602</v>
      </c>
      <c r="AA1084" s="547" t="str">
        <f t="shared" ca="1" si="180"/>
        <v/>
      </c>
      <c r="AB1084" s="494" t="s">
        <v>1603</v>
      </c>
      <c r="AC1084" s="547" t="str">
        <f t="shared" ca="1" si="181"/>
        <v/>
      </c>
      <c r="AD1084" s="557"/>
      <c r="AE1084" s="958"/>
    </row>
    <row r="1085" spans="1:31" ht="15" customHeight="1">
      <c r="A1085" s="957">
        <v>44</v>
      </c>
      <c r="B1085" s="566" t="s">
        <v>142</v>
      </c>
      <c r="C1085" s="567" t="s">
        <v>1595</v>
      </c>
      <c r="D1085" s="958" t="s">
        <v>1596</v>
      </c>
      <c r="E1085" s="959" t="s">
        <v>345</v>
      </c>
      <c r="F1085" s="558" t="s">
        <v>1484</v>
      </c>
      <c r="G1085" s="558">
        <v>344</v>
      </c>
      <c r="H1085" s="558">
        <v>3</v>
      </c>
      <c r="I1085" s="559" t="s">
        <v>989</v>
      </c>
      <c r="J1085" s="567" t="s">
        <v>1597</v>
      </c>
      <c r="K1085" s="961" t="s">
        <v>1568</v>
      </c>
      <c r="L1085" s="555" t="str">
        <f t="shared" ca="1" si="176"/>
        <v/>
      </c>
      <c r="M1085" s="494" t="s">
        <v>1373</v>
      </c>
      <c r="N1085" s="555" t="str">
        <f t="shared" ca="1" si="177"/>
        <v/>
      </c>
      <c r="O1085" s="494" t="s">
        <v>1598</v>
      </c>
      <c r="P1085" s="555" t="str">
        <f t="shared" ca="1" si="178"/>
        <v/>
      </c>
      <c r="Q1085" s="494" t="s">
        <v>1599</v>
      </c>
      <c r="R1085" s="494" t="str">
        <f t="shared" si="185"/>
        <v>I1085</v>
      </c>
      <c r="S1085" s="494" t="s">
        <v>1600</v>
      </c>
      <c r="T1085" s="494">
        <v>5</v>
      </c>
      <c r="U1085" s="556" t="str">
        <f t="shared" ca="1" si="174"/>
        <v/>
      </c>
      <c r="V1085" s="494">
        <v>6</v>
      </c>
      <c r="W1085" s="556" t="str">
        <f t="shared" ca="1" si="175"/>
        <v/>
      </c>
      <c r="X1085" s="494" t="s">
        <v>1601</v>
      </c>
      <c r="Y1085" s="547" t="str">
        <f t="shared" ca="1" si="179"/>
        <v/>
      </c>
      <c r="Z1085" s="494" t="s">
        <v>1602</v>
      </c>
      <c r="AA1085" s="547" t="str">
        <f t="shared" ca="1" si="180"/>
        <v/>
      </c>
      <c r="AB1085" s="494" t="s">
        <v>1603</v>
      </c>
      <c r="AC1085" s="547" t="str">
        <f t="shared" ca="1" si="181"/>
        <v/>
      </c>
      <c r="AD1085" s="557"/>
      <c r="AE1085" s="958"/>
    </row>
    <row r="1086" spans="1:31" ht="15" customHeight="1">
      <c r="A1086" s="957">
        <v>44</v>
      </c>
      <c r="B1086" s="566" t="s">
        <v>142</v>
      </c>
      <c r="C1086" s="567" t="s">
        <v>1595</v>
      </c>
      <c r="D1086" s="958" t="s">
        <v>1596</v>
      </c>
      <c r="E1086" s="959" t="s">
        <v>345</v>
      </c>
      <c r="F1086" s="558" t="s">
        <v>1484</v>
      </c>
      <c r="G1086" s="558">
        <v>344</v>
      </c>
      <c r="H1086" s="558">
        <v>3</v>
      </c>
      <c r="I1086" s="559" t="s">
        <v>990</v>
      </c>
      <c r="J1086" s="567" t="s">
        <v>1597</v>
      </c>
      <c r="K1086" s="961" t="s">
        <v>1568</v>
      </c>
      <c r="L1086" s="555" t="str">
        <f t="shared" ca="1" si="176"/>
        <v/>
      </c>
      <c r="M1086" s="494" t="s">
        <v>1373</v>
      </c>
      <c r="N1086" s="555" t="str">
        <f t="shared" ca="1" si="177"/>
        <v/>
      </c>
      <c r="O1086" s="494" t="s">
        <v>1598</v>
      </c>
      <c r="P1086" s="555" t="str">
        <f t="shared" ca="1" si="178"/>
        <v/>
      </c>
      <c r="Q1086" s="494" t="s">
        <v>1599</v>
      </c>
      <c r="R1086" s="494" t="str">
        <f t="shared" si="185"/>
        <v>I1086</v>
      </c>
      <c r="S1086" s="494" t="s">
        <v>1600</v>
      </c>
      <c r="T1086" s="494">
        <v>5</v>
      </c>
      <c r="U1086" s="556" t="str">
        <f t="shared" ca="1" si="174"/>
        <v/>
      </c>
      <c r="V1086" s="494">
        <v>6</v>
      </c>
      <c r="W1086" s="556" t="str">
        <f t="shared" ca="1" si="175"/>
        <v/>
      </c>
      <c r="X1086" s="494" t="s">
        <v>1601</v>
      </c>
      <c r="Y1086" s="547" t="str">
        <f t="shared" ca="1" si="179"/>
        <v/>
      </c>
      <c r="Z1086" s="494" t="s">
        <v>1602</v>
      </c>
      <c r="AA1086" s="547" t="str">
        <f t="shared" ca="1" si="180"/>
        <v/>
      </c>
      <c r="AB1086" s="494" t="s">
        <v>1603</v>
      </c>
      <c r="AC1086" s="547" t="str">
        <f t="shared" ca="1" si="181"/>
        <v/>
      </c>
      <c r="AD1086" s="557"/>
      <c r="AE1086" s="958"/>
    </row>
    <row r="1087" spans="1:31" ht="15" customHeight="1">
      <c r="A1087" s="957">
        <v>44</v>
      </c>
      <c r="B1087" s="566" t="s">
        <v>142</v>
      </c>
      <c r="C1087" s="567" t="s">
        <v>1595</v>
      </c>
      <c r="D1087" s="958" t="s">
        <v>1596</v>
      </c>
      <c r="E1087" s="959" t="s">
        <v>353</v>
      </c>
      <c r="F1087" s="558" t="s">
        <v>1486</v>
      </c>
      <c r="G1087" s="558">
        <v>345</v>
      </c>
      <c r="H1087" s="558">
        <v>1</v>
      </c>
      <c r="I1087" s="559" t="s">
        <v>354</v>
      </c>
      <c r="J1087" s="567" t="s">
        <v>1597</v>
      </c>
      <c r="K1087" s="961" t="s">
        <v>1568</v>
      </c>
      <c r="L1087" s="555" t="str">
        <f t="shared" ca="1" si="176"/>
        <v/>
      </c>
      <c r="M1087" s="494" t="s">
        <v>1373</v>
      </c>
      <c r="N1087" s="555" t="str">
        <f t="shared" ca="1" si="177"/>
        <v/>
      </c>
      <c r="O1087" s="494" t="s">
        <v>1598</v>
      </c>
      <c r="P1087" s="555" t="str">
        <f t="shared" ca="1" si="178"/>
        <v/>
      </c>
      <c r="Q1087" s="494" t="s">
        <v>1599</v>
      </c>
      <c r="R1087" s="494" t="str">
        <f t="shared" si="185"/>
        <v>I1087</v>
      </c>
      <c r="S1087" s="494" t="s">
        <v>1600</v>
      </c>
      <c r="T1087" s="494">
        <v>5</v>
      </c>
      <c r="U1087" s="556" t="str">
        <f t="shared" ref="U1087:U1150" ca="1" si="186">IF(AND($B1087=INDIRECT(CONCATENATE($J1087,$K1087,5)),ISBLANK(INDEX(INDIRECT(CONCATENATE($J1087,$Q1087)),MATCH(INDIRECT($R1087),INDIRECT(CONCATENATE($J1087,$S1087)),0),T1087))=FALSE),INDEX(INDIRECT(CONCATENATE($J1087,$Q1087)),MATCH(INDIRECT($R1087),INDIRECT(CONCATENATE($J1087,$S1087)),0),T1087),"")</f>
        <v/>
      </c>
      <c r="V1087" s="494">
        <v>6</v>
      </c>
      <c r="W1087" s="556" t="str">
        <f t="shared" ref="W1087:W1150" ca="1" si="187">IF(AND($B1087=INDIRECT(CONCATENATE($J1087,$K1087,5)),ISBLANK(INDEX(INDIRECT(CONCATENATE($J1087,$Q1087)),MATCH(INDIRECT($R1087),INDIRECT(CONCATENATE($J1087,$S1087)),0),V1087))=FALSE),INDEX(INDIRECT(CONCATENATE($J1087,$Q1087)),MATCH(INDIRECT($R1087),INDIRECT(CONCATENATE($J1087,$S1087)),0),V1087),"")</f>
        <v/>
      </c>
      <c r="X1087" s="494" t="s">
        <v>1601</v>
      </c>
      <c r="Y1087" s="547" t="str">
        <f t="shared" ca="1" si="179"/>
        <v/>
      </c>
      <c r="Z1087" s="494" t="s">
        <v>1602</v>
      </c>
      <c r="AA1087" s="547" t="str">
        <f t="shared" ca="1" si="180"/>
        <v/>
      </c>
      <c r="AB1087" s="494" t="s">
        <v>1603</v>
      </c>
      <c r="AC1087" s="547" t="str">
        <f t="shared" ca="1" si="181"/>
        <v/>
      </c>
      <c r="AD1087" s="557"/>
      <c r="AE1087" s="958"/>
    </row>
    <row r="1088" spans="1:31" ht="15" customHeight="1">
      <c r="A1088" s="957">
        <v>44</v>
      </c>
      <c r="B1088" s="566" t="s">
        <v>142</v>
      </c>
      <c r="C1088" s="567" t="s">
        <v>1595</v>
      </c>
      <c r="D1088" s="958" t="s">
        <v>1596</v>
      </c>
      <c r="E1088" s="959" t="s">
        <v>367</v>
      </c>
      <c r="F1088" s="558" t="s">
        <v>1488</v>
      </c>
      <c r="G1088" s="558">
        <v>347</v>
      </c>
      <c r="H1088" s="558">
        <v>1</v>
      </c>
      <c r="I1088" s="559" t="s">
        <v>391</v>
      </c>
      <c r="J1088" s="567" t="s">
        <v>1597</v>
      </c>
      <c r="K1088" s="961" t="s">
        <v>1568</v>
      </c>
      <c r="L1088" s="555" t="str">
        <f t="shared" ca="1" si="176"/>
        <v/>
      </c>
      <c r="M1088" s="494" t="s">
        <v>1373</v>
      </c>
      <c r="N1088" s="555" t="str">
        <f t="shared" ca="1" si="177"/>
        <v/>
      </c>
      <c r="O1088" s="494" t="s">
        <v>1598</v>
      </c>
      <c r="P1088" s="555" t="str">
        <f t="shared" ca="1" si="178"/>
        <v/>
      </c>
      <c r="Q1088" s="494" t="s">
        <v>1599</v>
      </c>
      <c r="R1088" s="494" t="str">
        <f t="shared" si="185"/>
        <v>I1088</v>
      </c>
      <c r="S1088" s="494" t="s">
        <v>1600</v>
      </c>
      <c r="T1088" s="494">
        <v>5</v>
      </c>
      <c r="U1088" s="556" t="str">
        <f t="shared" ca="1" si="186"/>
        <v/>
      </c>
      <c r="V1088" s="494">
        <v>6</v>
      </c>
      <c r="W1088" s="556" t="str">
        <f t="shared" ca="1" si="187"/>
        <v/>
      </c>
      <c r="X1088" s="494" t="s">
        <v>1601</v>
      </c>
      <c r="Y1088" s="547" t="str">
        <f t="shared" ca="1" si="179"/>
        <v/>
      </c>
      <c r="Z1088" s="494" t="s">
        <v>1602</v>
      </c>
      <c r="AA1088" s="547" t="str">
        <f t="shared" ca="1" si="180"/>
        <v/>
      </c>
      <c r="AB1088" s="494" t="s">
        <v>1603</v>
      </c>
      <c r="AC1088" s="547" t="str">
        <f t="shared" ca="1" si="181"/>
        <v/>
      </c>
      <c r="AD1088" s="557"/>
      <c r="AE1088" s="958"/>
    </row>
    <row r="1089" spans="1:31" ht="15" customHeight="1">
      <c r="A1089" s="957">
        <v>44</v>
      </c>
      <c r="B1089" s="566" t="s">
        <v>142</v>
      </c>
      <c r="C1089" s="567" t="s">
        <v>1595</v>
      </c>
      <c r="D1089" s="958" t="s">
        <v>1596</v>
      </c>
      <c r="E1089" s="959" t="s">
        <v>367</v>
      </c>
      <c r="F1089" s="558" t="s">
        <v>1488</v>
      </c>
      <c r="G1089" s="558">
        <v>348</v>
      </c>
      <c r="H1089" s="558">
        <v>2</v>
      </c>
      <c r="I1089" s="559" t="s">
        <v>991</v>
      </c>
      <c r="J1089" s="567" t="s">
        <v>1597</v>
      </c>
      <c r="K1089" s="961" t="s">
        <v>1568</v>
      </c>
      <c r="L1089" s="555" t="str">
        <f t="shared" ca="1" si="176"/>
        <v/>
      </c>
      <c r="M1089" s="494" t="s">
        <v>1373</v>
      </c>
      <c r="N1089" s="555" t="str">
        <f t="shared" ca="1" si="177"/>
        <v/>
      </c>
      <c r="O1089" s="494" t="s">
        <v>1598</v>
      </c>
      <c r="P1089" s="555" t="str">
        <f t="shared" ca="1" si="178"/>
        <v/>
      </c>
      <c r="Q1089" s="494" t="s">
        <v>1599</v>
      </c>
      <c r="R1089" s="494" t="str">
        <f t="shared" si="185"/>
        <v>I1089</v>
      </c>
      <c r="S1089" s="494" t="s">
        <v>1600</v>
      </c>
      <c r="T1089" s="494">
        <v>5</v>
      </c>
      <c r="U1089" s="556" t="str">
        <f t="shared" ca="1" si="186"/>
        <v/>
      </c>
      <c r="V1089" s="494">
        <v>6</v>
      </c>
      <c r="W1089" s="556" t="str">
        <f t="shared" ca="1" si="187"/>
        <v/>
      </c>
      <c r="X1089" s="494" t="s">
        <v>1601</v>
      </c>
      <c r="Y1089" s="547" t="str">
        <f t="shared" ca="1" si="179"/>
        <v/>
      </c>
      <c r="Z1089" s="494" t="s">
        <v>1602</v>
      </c>
      <c r="AA1089" s="547" t="str">
        <f t="shared" ca="1" si="180"/>
        <v/>
      </c>
      <c r="AB1089" s="494" t="s">
        <v>1603</v>
      </c>
      <c r="AC1089" s="547" t="str">
        <f t="shared" ca="1" si="181"/>
        <v/>
      </c>
      <c r="AD1089" s="557"/>
      <c r="AE1089" s="958"/>
    </row>
    <row r="1090" spans="1:31" ht="15" customHeight="1">
      <c r="A1090" s="957">
        <v>44</v>
      </c>
      <c r="B1090" s="566" t="s">
        <v>142</v>
      </c>
      <c r="C1090" s="567" t="s">
        <v>1595</v>
      </c>
      <c r="D1090" s="958" t="s">
        <v>1596</v>
      </c>
      <c r="E1090" s="959" t="s">
        <v>367</v>
      </c>
      <c r="F1090" s="558" t="s">
        <v>1488</v>
      </c>
      <c r="G1090" s="558">
        <v>349</v>
      </c>
      <c r="H1090" s="558">
        <v>3</v>
      </c>
      <c r="I1090" s="559" t="s">
        <v>992</v>
      </c>
      <c r="J1090" s="567" t="s">
        <v>1597</v>
      </c>
      <c r="K1090" s="961" t="s">
        <v>1568</v>
      </c>
      <c r="L1090" s="555" t="str">
        <f t="shared" ref="L1090:L1153" ca="1" si="188">IF(AND(INDIRECT(CONCATENATE($J1090,$K1090,5))=$B1090,ISNUMBER(SEARCH("Please",INDIRECT(CONCATENATE($J1090,$K1090,2)),1))=FALSE),SUMPRODUCT(MID(0&amp;INDIRECT(CONCATENATE($J1090,$K1090,2)), LARGE(INDEX(ISNUMBER(--MID(INDIRECT(CONCATENATE($J1090,$K1090,2)), ROW(INDIRECT("1:"&amp;LEN(INDIRECT(CONCATENATE($J1090,$K1090,2))))),1))*ROW(INDIRECT("1:"&amp;LEN(INDIRECT(CONCATENATE($J1090,$K1090,2))))),0), ROW(INDIRECT("1:"&amp;LEN(INDIRECT(CONCATENATE($J1090,$K1090,2))))))+1,1)*10^ROW(INDIRECT("1:"&amp;LEN(INDIRECT(CONCATENATE($J1090,$K1090,2)))))/10),"")</f>
        <v/>
      </c>
      <c r="M1090" s="494" t="s">
        <v>1373</v>
      </c>
      <c r="N1090" s="555" t="str">
        <f t="shared" ref="N1090:N1153" ca="1" si="189">IF(AND(INDIRECT(CONCATENATE($J1090,$K1090,5))=$B1090,ISNUMBER(SEARCH("Select",INDIRECT(CONCATENATE($J1090,$M1090,6)),1))=FALSE),INDIRECT(CONCATENATE($J1090,$M1090,6)),"")</f>
        <v/>
      </c>
      <c r="O1090" s="494" t="s">
        <v>1598</v>
      </c>
      <c r="P1090" s="555" t="str">
        <f t="shared" ref="P1090:P1153" ca="1" si="190">IF(AND(INDIRECT(CONCATENATE($J1090,$K1090,5))=$B1090,ISNUMBER(SEARCH("Select",INDIRECT(CONCATENATE($J1090,$O1090,6)),1))=FALSE),INDIRECT(CONCATENATE($J1090,$O1090,6)),"")</f>
        <v/>
      </c>
      <c r="Q1090" s="494" t="s">
        <v>1599</v>
      </c>
      <c r="R1090" s="494" t="str">
        <f t="shared" si="185"/>
        <v>I1090</v>
      </c>
      <c r="S1090" s="494" t="s">
        <v>1600</v>
      </c>
      <c r="T1090" s="494">
        <v>5</v>
      </c>
      <c r="U1090" s="556" t="str">
        <f t="shared" ca="1" si="186"/>
        <v/>
      </c>
      <c r="V1090" s="494">
        <v>6</v>
      </c>
      <c r="W1090" s="556" t="str">
        <f t="shared" ca="1" si="187"/>
        <v/>
      </c>
      <c r="X1090" s="494" t="s">
        <v>1601</v>
      </c>
      <c r="Y1090" s="547" t="str">
        <f t="shared" ref="Y1090:Y1153" ca="1" si="191">IF(AND(INDIRECT(CONCATENATE($J1090,$K1090,5))=$B1090,ISBLANK(INDIRECT(CONCATENATE($J1090,X1090)))=FALSE),INDIRECT(CONCATENATE($J1090,X1090)),"")</f>
        <v/>
      </c>
      <c r="Z1090" s="494" t="s">
        <v>1602</v>
      </c>
      <c r="AA1090" s="547" t="str">
        <f t="shared" ref="AA1090:AA1153" ca="1" si="192">IF(AND(INDIRECT(CONCATENATE($J1090,$K1090,"5"))=$B1090,ISBLANK(INDIRECT(CONCATENATE($J1090,Z1090)))=FALSE),INDIRECT(CONCATENATE($J1090,Z1090)),"")</f>
        <v/>
      </c>
      <c r="AB1090" s="494" t="s">
        <v>1603</v>
      </c>
      <c r="AC1090" s="547" t="str">
        <f t="shared" ref="AC1090:AC1153" ca="1" si="193">IF(AND(INDIRECT(CONCATENATE($J1090,$K1090,"5"))=$B1090,ISBLANK(INDIRECT(CONCATENATE($J1090,AB1090)))=FALSE),INDIRECT(CONCATENATE($J1090,AB1090)),"")</f>
        <v/>
      </c>
      <c r="AD1090" s="557"/>
      <c r="AE1090" s="958"/>
    </row>
    <row r="1091" spans="1:31" ht="15" customHeight="1">
      <c r="A1091" s="957">
        <v>44</v>
      </c>
      <c r="B1091" s="566" t="s">
        <v>142</v>
      </c>
      <c r="C1091" s="567" t="s">
        <v>1595</v>
      </c>
      <c r="D1091" s="958" t="s">
        <v>1596</v>
      </c>
      <c r="E1091" s="959" t="s">
        <v>367</v>
      </c>
      <c r="F1091" s="558" t="s">
        <v>1488</v>
      </c>
      <c r="G1091" s="558">
        <v>350</v>
      </c>
      <c r="H1091" s="558">
        <v>4</v>
      </c>
      <c r="I1091" s="559" t="s">
        <v>993</v>
      </c>
      <c r="J1091" s="567" t="s">
        <v>1597</v>
      </c>
      <c r="K1091" s="961" t="s">
        <v>1568</v>
      </c>
      <c r="L1091" s="555" t="str">
        <f t="shared" ca="1" si="188"/>
        <v/>
      </c>
      <c r="M1091" s="494" t="s">
        <v>1373</v>
      </c>
      <c r="N1091" s="555" t="str">
        <f t="shared" ca="1" si="189"/>
        <v/>
      </c>
      <c r="O1091" s="494" t="s">
        <v>1598</v>
      </c>
      <c r="P1091" s="555" t="str">
        <f t="shared" ca="1" si="190"/>
        <v/>
      </c>
      <c r="Q1091" s="494" t="s">
        <v>1599</v>
      </c>
      <c r="R1091" s="494" t="str">
        <f t="shared" si="185"/>
        <v>I1091</v>
      </c>
      <c r="S1091" s="494" t="s">
        <v>1600</v>
      </c>
      <c r="T1091" s="494">
        <v>5</v>
      </c>
      <c r="U1091" s="556" t="str">
        <f t="shared" ca="1" si="186"/>
        <v/>
      </c>
      <c r="V1091" s="494">
        <v>6</v>
      </c>
      <c r="W1091" s="556" t="str">
        <f t="shared" ca="1" si="187"/>
        <v/>
      </c>
      <c r="X1091" s="494" t="s">
        <v>1601</v>
      </c>
      <c r="Y1091" s="547" t="str">
        <f t="shared" ca="1" si="191"/>
        <v/>
      </c>
      <c r="Z1091" s="494" t="s">
        <v>1602</v>
      </c>
      <c r="AA1091" s="547" t="str">
        <f t="shared" ca="1" si="192"/>
        <v/>
      </c>
      <c r="AB1091" s="494" t="s">
        <v>1603</v>
      </c>
      <c r="AC1091" s="547" t="str">
        <f t="shared" ca="1" si="193"/>
        <v/>
      </c>
      <c r="AD1091" s="557"/>
      <c r="AE1091" s="958"/>
    </row>
    <row r="1092" spans="1:31" ht="15" customHeight="1">
      <c r="A1092" s="957">
        <v>44</v>
      </c>
      <c r="B1092" s="566" t="s">
        <v>142</v>
      </c>
      <c r="C1092" s="567" t="s">
        <v>1595</v>
      </c>
      <c r="D1092" s="958" t="s">
        <v>1596</v>
      </c>
      <c r="E1092" s="959" t="s">
        <v>367</v>
      </c>
      <c r="F1092" s="558" t="s">
        <v>1488</v>
      </c>
      <c r="G1092" s="558">
        <v>351</v>
      </c>
      <c r="H1092" s="558">
        <v>5</v>
      </c>
      <c r="I1092" s="559" t="s">
        <v>995</v>
      </c>
      <c r="J1092" s="567" t="s">
        <v>1597</v>
      </c>
      <c r="K1092" s="961" t="s">
        <v>1568</v>
      </c>
      <c r="L1092" s="555" t="str">
        <f t="shared" ca="1" si="188"/>
        <v/>
      </c>
      <c r="M1092" s="494" t="s">
        <v>1373</v>
      </c>
      <c r="N1092" s="555" t="str">
        <f t="shared" ca="1" si="189"/>
        <v/>
      </c>
      <c r="O1092" s="494" t="s">
        <v>1598</v>
      </c>
      <c r="P1092" s="555" t="str">
        <f t="shared" ca="1" si="190"/>
        <v/>
      </c>
      <c r="Q1092" s="494" t="s">
        <v>1599</v>
      </c>
      <c r="R1092" s="494" t="str">
        <f t="shared" si="185"/>
        <v>I1092</v>
      </c>
      <c r="S1092" s="494" t="s">
        <v>1600</v>
      </c>
      <c r="T1092" s="494">
        <v>5</v>
      </c>
      <c r="U1092" s="556" t="str">
        <f t="shared" ca="1" si="186"/>
        <v/>
      </c>
      <c r="V1092" s="494">
        <v>6</v>
      </c>
      <c r="W1092" s="556" t="str">
        <f t="shared" ca="1" si="187"/>
        <v/>
      </c>
      <c r="X1092" s="494" t="s">
        <v>1601</v>
      </c>
      <c r="Y1092" s="547" t="str">
        <f t="shared" ca="1" si="191"/>
        <v/>
      </c>
      <c r="Z1092" s="494" t="s">
        <v>1602</v>
      </c>
      <c r="AA1092" s="547" t="str">
        <f t="shared" ca="1" si="192"/>
        <v/>
      </c>
      <c r="AB1092" s="494" t="s">
        <v>1603</v>
      </c>
      <c r="AC1092" s="547" t="str">
        <f t="shared" ca="1" si="193"/>
        <v/>
      </c>
      <c r="AD1092" s="557"/>
      <c r="AE1092" s="958"/>
    </row>
    <row r="1093" spans="1:31" ht="15" customHeight="1">
      <c r="A1093" s="957">
        <v>44</v>
      </c>
      <c r="B1093" s="566" t="s">
        <v>142</v>
      </c>
      <c r="C1093" s="567" t="s">
        <v>1595</v>
      </c>
      <c r="D1093" s="958" t="s">
        <v>1596</v>
      </c>
      <c r="E1093" s="959" t="s">
        <v>367</v>
      </c>
      <c r="F1093" s="558" t="s">
        <v>1488</v>
      </c>
      <c r="G1093" s="558">
        <v>352</v>
      </c>
      <c r="H1093" s="558">
        <v>6</v>
      </c>
      <c r="I1093" s="559" t="s">
        <v>996</v>
      </c>
      <c r="J1093" s="567" t="s">
        <v>1597</v>
      </c>
      <c r="K1093" s="961" t="s">
        <v>1568</v>
      </c>
      <c r="L1093" s="555" t="str">
        <f t="shared" ca="1" si="188"/>
        <v/>
      </c>
      <c r="M1093" s="494" t="s">
        <v>1373</v>
      </c>
      <c r="N1093" s="555" t="str">
        <f t="shared" ca="1" si="189"/>
        <v/>
      </c>
      <c r="O1093" s="494" t="s">
        <v>1598</v>
      </c>
      <c r="P1093" s="555" t="str">
        <f t="shared" ca="1" si="190"/>
        <v/>
      </c>
      <c r="Q1093" s="494" t="s">
        <v>1599</v>
      </c>
      <c r="R1093" s="494" t="str">
        <f t="shared" si="185"/>
        <v>I1093</v>
      </c>
      <c r="S1093" s="494" t="s">
        <v>1600</v>
      </c>
      <c r="T1093" s="494">
        <v>5</v>
      </c>
      <c r="U1093" s="556" t="str">
        <f t="shared" ca="1" si="186"/>
        <v/>
      </c>
      <c r="V1093" s="494">
        <v>6</v>
      </c>
      <c r="W1093" s="556" t="str">
        <f t="shared" ca="1" si="187"/>
        <v/>
      </c>
      <c r="X1093" s="494" t="s">
        <v>1601</v>
      </c>
      <c r="Y1093" s="547" t="str">
        <f t="shared" ca="1" si="191"/>
        <v/>
      </c>
      <c r="Z1093" s="494" t="s">
        <v>1602</v>
      </c>
      <c r="AA1093" s="547" t="str">
        <f t="shared" ca="1" si="192"/>
        <v/>
      </c>
      <c r="AB1093" s="494" t="s">
        <v>1603</v>
      </c>
      <c r="AC1093" s="547" t="str">
        <f t="shared" ca="1" si="193"/>
        <v/>
      </c>
      <c r="AD1093" s="557"/>
      <c r="AE1093" s="958"/>
    </row>
    <row r="1094" spans="1:31" ht="15" customHeight="1">
      <c r="A1094" s="957">
        <v>44</v>
      </c>
      <c r="B1094" s="566" t="s">
        <v>142</v>
      </c>
      <c r="C1094" s="567" t="s">
        <v>1595</v>
      </c>
      <c r="D1094" s="958" t="s">
        <v>1596</v>
      </c>
      <c r="E1094" s="959" t="s">
        <v>367</v>
      </c>
      <c r="F1094" s="558" t="s">
        <v>1488</v>
      </c>
      <c r="G1094" s="558">
        <v>353</v>
      </c>
      <c r="H1094" s="558">
        <v>7</v>
      </c>
      <c r="I1094" s="559" t="s">
        <v>997</v>
      </c>
      <c r="J1094" s="567" t="s">
        <v>1597</v>
      </c>
      <c r="K1094" s="961" t="s">
        <v>1568</v>
      </c>
      <c r="L1094" s="555" t="str">
        <f t="shared" ca="1" si="188"/>
        <v/>
      </c>
      <c r="M1094" s="494" t="s">
        <v>1373</v>
      </c>
      <c r="N1094" s="555" t="str">
        <f t="shared" ca="1" si="189"/>
        <v/>
      </c>
      <c r="O1094" s="494" t="s">
        <v>1598</v>
      </c>
      <c r="P1094" s="555" t="str">
        <f t="shared" ca="1" si="190"/>
        <v/>
      </c>
      <c r="Q1094" s="494" t="s">
        <v>1599</v>
      </c>
      <c r="R1094" s="494" t="str">
        <f t="shared" si="185"/>
        <v>I1094</v>
      </c>
      <c r="S1094" s="494" t="s">
        <v>1600</v>
      </c>
      <c r="T1094" s="494">
        <v>5</v>
      </c>
      <c r="U1094" s="556" t="str">
        <f t="shared" ca="1" si="186"/>
        <v/>
      </c>
      <c r="V1094" s="494">
        <v>6</v>
      </c>
      <c r="W1094" s="556" t="str">
        <f t="shared" ca="1" si="187"/>
        <v/>
      </c>
      <c r="X1094" s="494" t="s">
        <v>1601</v>
      </c>
      <c r="Y1094" s="547" t="str">
        <f t="shared" ca="1" si="191"/>
        <v/>
      </c>
      <c r="Z1094" s="494" t="s">
        <v>1602</v>
      </c>
      <c r="AA1094" s="547" t="str">
        <f t="shared" ca="1" si="192"/>
        <v/>
      </c>
      <c r="AB1094" s="494" t="s">
        <v>1603</v>
      </c>
      <c r="AC1094" s="547" t="str">
        <f t="shared" ca="1" si="193"/>
        <v/>
      </c>
      <c r="AD1094" s="557"/>
      <c r="AE1094" s="958"/>
    </row>
    <row r="1095" spans="1:31" ht="15" customHeight="1">
      <c r="A1095" s="957">
        <v>44</v>
      </c>
      <c r="B1095" s="566" t="s">
        <v>142</v>
      </c>
      <c r="C1095" s="567" t="s">
        <v>1595</v>
      </c>
      <c r="D1095" s="958" t="s">
        <v>1596</v>
      </c>
      <c r="E1095" s="959" t="s">
        <v>396</v>
      </c>
      <c r="F1095" s="558" t="s">
        <v>1498</v>
      </c>
      <c r="G1095" s="558">
        <v>354</v>
      </c>
      <c r="H1095" s="558">
        <v>1</v>
      </c>
      <c r="I1095" s="559" t="s">
        <v>1000</v>
      </c>
      <c r="J1095" s="567" t="s">
        <v>1597</v>
      </c>
      <c r="K1095" s="961" t="s">
        <v>1568</v>
      </c>
      <c r="L1095" s="555" t="str">
        <f t="shared" ca="1" si="188"/>
        <v/>
      </c>
      <c r="M1095" s="494" t="s">
        <v>1373</v>
      </c>
      <c r="N1095" s="555" t="str">
        <f t="shared" ca="1" si="189"/>
        <v/>
      </c>
      <c r="O1095" s="494" t="s">
        <v>1598</v>
      </c>
      <c r="P1095" s="555" t="str">
        <f t="shared" ca="1" si="190"/>
        <v/>
      </c>
      <c r="Q1095" s="494" t="s">
        <v>1599</v>
      </c>
      <c r="R1095" s="494" t="str">
        <f t="shared" si="185"/>
        <v>I1095</v>
      </c>
      <c r="S1095" s="494" t="s">
        <v>1600</v>
      </c>
      <c r="T1095" s="494">
        <v>5</v>
      </c>
      <c r="U1095" s="556" t="str">
        <f t="shared" ca="1" si="186"/>
        <v/>
      </c>
      <c r="V1095" s="494">
        <v>6</v>
      </c>
      <c r="W1095" s="556" t="str">
        <f t="shared" ca="1" si="187"/>
        <v/>
      </c>
      <c r="X1095" s="494" t="s">
        <v>1601</v>
      </c>
      <c r="Y1095" s="547" t="str">
        <f t="shared" ca="1" si="191"/>
        <v/>
      </c>
      <c r="Z1095" s="494" t="s">
        <v>1602</v>
      </c>
      <c r="AA1095" s="547" t="str">
        <f t="shared" ca="1" si="192"/>
        <v/>
      </c>
      <c r="AB1095" s="494" t="s">
        <v>1603</v>
      </c>
      <c r="AC1095" s="547" t="str">
        <f t="shared" ca="1" si="193"/>
        <v/>
      </c>
      <c r="AD1095" s="557"/>
      <c r="AE1095" s="958"/>
    </row>
    <row r="1096" spans="1:31" ht="15" customHeight="1">
      <c r="A1096" s="957">
        <v>44</v>
      </c>
      <c r="B1096" s="566" t="s">
        <v>142</v>
      </c>
      <c r="C1096" s="567" t="s">
        <v>1595</v>
      </c>
      <c r="D1096" s="958" t="s">
        <v>1596</v>
      </c>
      <c r="E1096" s="959" t="s">
        <v>404</v>
      </c>
      <c r="F1096" s="558" t="s">
        <v>1499</v>
      </c>
      <c r="G1096" s="558">
        <v>355</v>
      </c>
      <c r="H1096" s="558">
        <v>1</v>
      </c>
      <c r="I1096" s="559" t="s">
        <v>1002</v>
      </c>
      <c r="J1096" s="567" t="s">
        <v>1597</v>
      </c>
      <c r="K1096" s="961" t="s">
        <v>1568</v>
      </c>
      <c r="L1096" s="555" t="str">
        <f t="shared" ca="1" si="188"/>
        <v/>
      </c>
      <c r="M1096" s="494" t="s">
        <v>1373</v>
      </c>
      <c r="N1096" s="555" t="str">
        <f t="shared" ca="1" si="189"/>
        <v/>
      </c>
      <c r="O1096" s="494" t="s">
        <v>1598</v>
      </c>
      <c r="P1096" s="555" t="str">
        <f t="shared" ca="1" si="190"/>
        <v/>
      </c>
      <c r="Q1096" s="494" t="s">
        <v>1599</v>
      </c>
      <c r="R1096" s="494" t="str">
        <f t="shared" si="185"/>
        <v>I1096</v>
      </c>
      <c r="S1096" s="494" t="s">
        <v>1600</v>
      </c>
      <c r="T1096" s="494">
        <v>5</v>
      </c>
      <c r="U1096" s="556" t="str">
        <f t="shared" ca="1" si="186"/>
        <v/>
      </c>
      <c r="V1096" s="494">
        <v>6</v>
      </c>
      <c r="W1096" s="556" t="str">
        <f t="shared" ca="1" si="187"/>
        <v/>
      </c>
      <c r="X1096" s="494" t="s">
        <v>1601</v>
      </c>
      <c r="Y1096" s="547" t="str">
        <f t="shared" ca="1" si="191"/>
        <v/>
      </c>
      <c r="Z1096" s="494" t="s">
        <v>1602</v>
      </c>
      <c r="AA1096" s="547" t="str">
        <f t="shared" ca="1" si="192"/>
        <v/>
      </c>
      <c r="AB1096" s="494" t="s">
        <v>1603</v>
      </c>
      <c r="AC1096" s="547" t="str">
        <f t="shared" ca="1" si="193"/>
        <v/>
      </c>
      <c r="AD1096" s="557"/>
      <c r="AE1096" s="958"/>
    </row>
    <row r="1097" spans="1:31" ht="15" customHeight="1">
      <c r="A1097" s="957">
        <v>44</v>
      </c>
      <c r="B1097" s="566" t="s">
        <v>142</v>
      </c>
      <c r="C1097" s="567" t="s">
        <v>1595</v>
      </c>
      <c r="D1097" s="958" t="s">
        <v>1596</v>
      </c>
      <c r="E1097" s="959" t="s">
        <v>404</v>
      </c>
      <c r="F1097" s="558" t="s">
        <v>1499</v>
      </c>
      <c r="G1097" s="558">
        <v>355</v>
      </c>
      <c r="H1097" s="558">
        <v>1</v>
      </c>
      <c r="I1097" s="559" t="s">
        <v>1003</v>
      </c>
      <c r="J1097" s="567" t="s">
        <v>1597</v>
      </c>
      <c r="K1097" s="961" t="s">
        <v>1568</v>
      </c>
      <c r="L1097" s="555" t="str">
        <f t="shared" ca="1" si="188"/>
        <v/>
      </c>
      <c r="M1097" s="494" t="s">
        <v>1373</v>
      </c>
      <c r="N1097" s="555" t="str">
        <f t="shared" ca="1" si="189"/>
        <v/>
      </c>
      <c r="O1097" s="494" t="s">
        <v>1598</v>
      </c>
      <c r="P1097" s="555" t="str">
        <f t="shared" ca="1" si="190"/>
        <v/>
      </c>
      <c r="Q1097" s="494" t="s">
        <v>1599</v>
      </c>
      <c r="R1097" s="494" t="str">
        <f t="shared" si="185"/>
        <v>I1097</v>
      </c>
      <c r="S1097" s="494" t="s">
        <v>1600</v>
      </c>
      <c r="T1097" s="494">
        <v>5</v>
      </c>
      <c r="U1097" s="556" t="str">
        <f t="shared" ca="1" si="186"/>
        <v/>
      </c>
      <c r="V1097" s="494">
        <v>6</v>
      </c>
      <c r="W1097" s="556" t="str">
        <f t="shared" ca="1" si="187"/>
        <v/>
      </c>
      <c r="X1097" s="494" t="s">
        <v>1601</v>
      </c>
      <c r="Y1097" s="547" t="str">
        <f t="shared" ca="1" si="191"/>
        <v/>
      </c>
      <c r="Z1097" s="494" t="s">
        <v>1602</v>
      </c>
      <c r="AA1097" s="547" t="str">
        <f t="shared" ca="1" si="192"/>
        <v/>
      </c>
      <c r="AB1097" s="494" t="s">
        <v>1603</v>
      </c>
      <c r="AC1097" s="547" t="str">
        <f t="shared" ca="1" si="193"/>
        <v/>
      </c>
      <c r="AD1097" s="557"/>
      <c r="AE1097" s="958"/>
    </row>
    <row r="1098" spans="1:31" ht="15" customHeight="1">
      <c r="A1098" s="957">
        <v>44</v>
      </c>
      <c r="B1098" s="566" t="s">
        <v>142</v>
      </c>
      <c r="C1098" s="567" t="s">
        <v>1595</v>
      </c>
      <c r="D1098" s="958" t="s">
        <v>1596</v>
      </c>
      <c r="E1098" s="959" t="s">
        <v>404</v>
      </c>
      <c r="F1098" s="558" t="s">
        <v>1499</v>
      </c>
      <c r="G1098" s="558">
        <v>356</v>
      </c>
      <c r="H1098" s="558">
        <v>2</v>
      </c>
      <c r="I1098" s="559" t="s">
        <v>409</v>
      </c>
      <c r="J1098" s="567" t="s">
        <v>1597</v>
      </c>
      <c r="K1098" s="961" t="s">
        <v>1568</v>
      </c>
      <c r="L1098" s="555" t="str">
        <f t="shared" ca="1" si="188"/>
        <v/>
      </c>
      <c r="M1098" s="494" t="s">
        <v>1373</v>
      </c>
      <c r="N1098" s="555" t="str">
        <f t="shared" ca="1" si="189"/>
        <v/>
      </c>
      <c r="O1098" s="494" t="s">
        <v>1598</v>
      </c>
      <c r="P1098" s="555" t="str">
        <f t="shared" ca="1" si="190"/>
        <v/>
      </c>
      <c r="Q1098" s="494" t="s">
        <v>1599</v>
      </c>
      <c r="R1098" s="494" t="str">
        <f t="shared" si="185"/>
        <v>I1098</v>
      </c>
      <c r="S1098" s="494" t="s">
        <v>1600</v>
      </c>
      <c r="T1098" s="494">
        <v>5</v>
      </c>
      <c r="U1098" s="556" t="str">
        <f t="shared" ca="1" si="186"/>
        <v/>
      </c>
      <c r="V1098" s="494">
        <v>6</v>
      </c>
      <c r="W1098" s="556" t="str">
        <f t="shared" ca="1" si="187"/>
        <v/>
      </c>
      <c r="X1098" s="494" t="s">
        <v>1601</v>
      </c>
      <c r="Y1098" s="547" t="str">
        <f t="shared" ca="1" si="191"/>
        <v/>
      </c>
      <c r="Z1098" s="494" t="s">
        <v>1602</v>
      </c>
      <c r="AA1098" s="547" t="str">
        <f t="shared" ca="1" si="192"/>
        <v/>
      </c>
      <c r="AB1098" s="494" t="s">
        <v>1603</v>
      </c>
      <c r="AC1098" s="547" t="str">
        <f t="shared" ca="1" si="193"/>
        <v/>
      </c>
      <c r="AD1098" s="557"/>
      <c r="AE1098" s="958"/>
    </row>
    <row r="1099" spans="1:31" ht="15" customHeight="1">
      <c r="A1099" s="957">
        <v>56</v>
      </c>
      <c r="B1099" s="566" t="s">
        <v>68</v>
      </c>
      <c r="C1099" s="567" t="s">
        <v>1595</v>
      </c>
      <c r="D1099" s="958">
        <v>1</v>
      </c>
      <c r="E1099" s="959" t="s">
        <v>254</v>
      </c>
      <c r="F1099" s="558" t="s">
        <v>1444</v>
      </c>
      <c r="G1099" s="558">
        <v>813</v>
      </c>
      <c r="H1099" s="558">
        <v>1</v>
      </c>
      <c r="I1099" s="559" t="s">
        <v>492</v>
      </c>
      <c r="J1099" s="567" t="s">
        <v>1606</v>
      </c>
      <c r="K1099" s="961" t="s">
        <v>1607</v>
      </c>
      <c r="L1099" s="555" t="str">
        <f t="shared" ca="1" si="188"/>
        <v/>
      </c>
      <c r="M1099" s="494" t="s">
        <v>1608</v>
      </c>
      <c r="N1099" s="555" t="str">
        <f t="shared" ca="1" si="189"/>
        <v/>
      </c>
      <c r="O1099" s="494" t="s">
        <v>1609</v>
      </c>
      <c r="P1099" s="555" t="str">
        <f t="shared" ca="1" si="190"/>
        <v/>
      </c>
      <c r="Q1099" s="494" t="s">
        <v>1610</v>
      </c>
      <c r="R1099" s="494" t="str">
        <f>CONCATENATE("H",ROW(J1099))</f>
        <v>H1099</v>
      </c>
      <c r="S1099" s="494" t="s">
        <v>1611</v>
      </c>
      <c r="T1099" s="494">
        <v>6</v>
      </c>
      <c r="U1099" s="556" t="str">
        <f t="shared" ca="1" si="186"/>
        <v/>
      </c>
      <c r="V1099" s="494">
        <v>7</v>
      </c>
      <c r="W1099" s="556" t="str">
        <f t="shared" ca="1" si="187"/>
        <v/>
      </c>
      <c r="X1099" s="494" t="s">
        <v>198</v>
      </c>
      <c r="Y1099" s="547" t="str">
        <f t="shared" ca="1" si="191"/>
        <v/>
      </c>
      <c r="Z1099" s="494" t="s">
        <v>1612</v>
      </c>
      <c r="AA1099" s="547" t="str">
        <f t="shared" ca="1" si="192"/>
        <v/>
      </c>
      <c r="AB1099" s="494" t="s">
        <v>1613</v>
      </c>
      <c r="AC1099" s="547" t="str">
        <f t="shared" ca="1" si="193"/>
        <v/>
      </c>
      <c r="AD1099" s="557"/>
      <c r="AE1099" s="958"/>
    </row>
    <row r="1100" spans="1:31" ht="15" customHeight="1">
      <c r="A1100" s="957">
        <v>56</v>
      </c>
      <c r="B1100" s="566" t="s">
        <v>68</v>
      </c>
      <c r="C1100" s="567" t="s">
        <v>1595</v>
      </c>
      <c r="D1100" s="958">
        <v>1</v>
      </c>
      <c r="E1100" s="959" t="s">
        <v>254</v>
      </c>
      <c r="F1100" s="558" t="s">
        <v>1444</v>
      </c>
      <c r="G1100" s="558">
        <v>814</v>
      </c>
      <c r="H1100" s="558">
        <v>2</v>
      </c>
      <c r="I1100" s="559" t="s">
        <v>263</v>
      </c>
      <c r="J1100" s="567" t="s">
        <v>1606</v>
      </c>
      <c r="K1100" s="961" t="s">
        <v>1607</v>
      </c>
      <c r="L1100" s="555" t="str">
        <f t="shared" ca="1" si="188"/>
        <v/>
      </c>
      <c r="M1100" s="494" t="s">
        <v>1608</v>
      </c>
      <c r="N1100" s="555" t="str">
        <f t="shared" ca="1" si="189"/>
        <v/>
      </c>
      <c r="O1100" s="494" t="s">
        <v>1609</v>
      </c>
      <c r="P1100" s="555" t="str">
        <f t="shared" ca="1" si="190"/>
        <v/>
      </c>
      <c r="Q1100" s="494" t="s">
        <v>1610</v>
      </c>
      <c r="R1100" s="494" t="str">
        <f t="shared" ref="R1100:R1164" si="194">CONCATENATE("H",ROW(J1100))</f>
        <v>H1100</v>
      </c>
      <c r="S1100" s="494" t="s">
        <v>1611</v>
      </c>
      <c r="T1100" s="494">
        <v>6</v>
      </c>
      <c r="U1100" s="556" t="str">
        <f t="shared" ca="1" si="186"/>
        <v/>
      </c>
      <c r="V1100" s="494">
        <v>7</v>
      </c>
      <c r="W1100" s="556" t="str">
        <f t="shared" ca="1" si="187"/>
        <v/>
      </c>
      <c r="X1100" s="494" t="s">
        <v>198</v>
      </c>
      <c r="Y1100" s="547" t="str">
        <f t="shared" ca="1" si="191"/>
        <v/>
      </c>
      <c r="Z1100" s="494" t="s">
        <v>1612</v>
      </c>
      <c r="AA1100" s="547" t="str">
        <f t="shared" ca="1" si="192"/>
        <v/>
      </c>
      <c r="AB1100" s="494" t="s">
        <v>1613</v>
      </c>
      <c r="AC1100" s="547" t="str">
        <f t="shared" ca="1" si="193"/>
        <v/>
      </c>
      <c r="AD1100" s="557"/>
      <c r="AE1100" s="958"/>
    </row>
    <row r="1101" spans="1:31" ht="15" customHeight="1">
      <c r="A1101" s="957">
        <v>56</v>
      </c>
      <c r="B1101" s="566" t="s">
        <v>68</v>
      </c>
      <c r="C1101" s="567" t="s">
        <v>1595</v>
      </c>
      <c r="D1101" s="958">
        <v>1</v>
      </c>
      <c r="E1101" s="959" t="s">
        <v>254</v>
      </c>
      <c r="F1101" s="558" t="s">
        <v>1444</v>
      </c>
      <c r="G1101" s="558">
        <v>815</v>
      </c>
      <c r="H1101" s="558">
        <v>2.1</v>
      </c>
      <c r="I1101" s="559" t="s">
        <v>270</v>
      </c>
      <c r="J1101" s="567" t="s">
        <v>1606</v>
      </c>
      <c r="K1101" s="961" t="s">
        <v>1607</v>
      </c>
      <c r="L1101" s="555" t="str">
        <f t="shared" ca="1" si="188"/>
        <v/>
      </c>
      <c r="M1101" s="494" t="s">
        <v>1608</v>
      </c>
      <c r="N1101" s="555" t="str">
        <f t="shared" ca="1" si="189"/>
        <v/>
      </c>
      <c r="O1101" s="494" t="s">
        <v>1609</v>
      </c>
      <c r="P1101" s="555" t="str">
        <f t="shared" ca="1" si="190"/>
        <v/>
      </c>
      <c r="Q1101" s="494" t="s">
        <v>1610</v>
      </c>
      <c r="R1101" s="494" t="str">
        <f t="shared" si="194"/>
        <v>H1101</v>
      </c>
      <c r="S1101" s="494" t="s">
        <v>1611</v>
      </c>
      <c r="T1101" s="494">
        <v>6</v>
      </c>
      <c r="U1101" s="556" t="str">
        <f t="shared" ca="1" si="186"/>
        <v/>
      </c>
      <c r="V1101" s="494">
        <v>7</v>
      </c>
      <c r="W1101" s="556" t="str">
        <f t="shared" ca="1" si="187"/>
        <v/>
      </c>
      <c r="X1101" s="494" t="s">
        <v>198</v>
      </c>
      <c r="Y1101" s="547" t="str">
        <f t="shared" ca="1" si="191"/>
        <v/>
      </c>
      <c r="Z1101" s="494" t="s">
        <v>1612</v>
      </c>
      <c r="AA1101" s="547" t="str">
        <f t="shared" ca="1" si="192"/>
        <v/>
      </c>
      <c r="AB1101" s="494" t="s">
        <v>1613</v>
      </c>
      <c r="AC1101" s="547" t="str">
        <f t="shared" ca="1" si="193"/>
        <v/>
      </c>
      <c r="AD1101" s="557"/>
      <c r="AE1101" s="958"/>
    </row>
    <row r="1102" spans="1:31" ht="15" customHeight="1">
      <c r="A1102" s="957">
        <v>56</v>
      </c>
      <c r="B1102" s="566" t="s">
        <v>68</v>
      </c>
      <c r="C1102" s="567" t="s">
        <v>1595</v>
      </c>
      <c r="D1102" s="958">
        <v>1</v>
      </c>
      <c r="E1102" s="959" t="s">
        <v>254</v>
      </c>
      <c r="F1102" s="558" t="s">
        <v>1444</v>
      </c>
      <c r="G1102" s="558">
        <v>816</v>
      </c>
      <c r="H1102" s="558">
        <v>2.2000000000000002</v>
      </c>
      <c r="I1102" s="559" t="s">
        <v>542</v>
      </c>
      <c r="J1102" s="567" t="s">
        <v>1606</v>
      </c>
      <c r="K1102" s="961" t="s">
        <v>1607</v>
      </c>
      <c r="L1102" s="555" t="str">
        <f t="shared" ca="1" si="188"/>
        <v/>
      </c>
      <c r="M1102" s="494" t="s">
        <v>1608</v>
      </c>
      <c r="N1102" s="555" t="str">
        <f t="shared" ca="1" si="189"/>
        <v/>
      </c>
      <c r="O1102" s="494" t="s">
        <v>1609</v>
      </c>
      <c r="P1102" s="555" t="str">
        <f t="shared" ca="1" si="190"/>
        <v/>
      </c>
      <c r="Q1102" s="494" t="s">
        <v>1610</v>
      </c>
      <c r="R1102" s="494" t="str">
        <f t="shared" si="194"/>
        <v>H1102</v>
      </c>
      <c r="S1102" s="494" t="s">
        <v>1611</v>
      </c>
      <c r="T1102" s="494">
        <v>6</v>
      </c>
      <c r="U1102" s="556" t="str">
        <f t="shared" ca="1" si="186"/>
        <v/>
      </c>
      <c r="V1102" s="494">
        <v>7</v>
      </c>
      <c r="W1102" s="556" t="str">
        <f t="shared" ca="1" si="187"/>
        <v/>
      </c>
      <c r="X1102" s="494" t="s">
        <v>198</v>
      </c>
      <c r="Y1102" s="547" t="str">
        <f t="shared" ca="1" si="191"/>
        <v/>
      </c>
      <c r="Z1102" s="494" t="s">
        <v>1612</v>
      </c>
      <c r="AA1102" s="547" t="str">
        <f t="shared" ca="1" si="192"/>
        <v/>
      </c>
      <c r="AB1102" s="494" t="s">
        <v>1613</v>
      </c>
      <c r="AC1102" s="547" t="str">
        <f t="shared" ca="1" si="193"/>
        <v/>
      </c>
      <c r="AD1102" s="557"/>
      <c r="AE1102" s="958"/>
    </row>
    <row r="1103" spans="1:31" ht="15" customHeight="1">
      <c r="A1103" s="957">
        <v>56</v>
      </c>
      <c r="B1103" s="566" t="s">
        <v>68</v>
      </c>
      <c r="C1103" s="567" t="s">
        <v>1595</v>
      </c>
      <c r="D1103" s="958">
        <v>1</v>
      </c>
      <c r="E1103" s="959" t="s">
        <v>254</v>
      </c>
      <c r="F1103" s="558" t="s">
        <v>1444</v>
      </c>
      <c r="G1103" s="558">
        <v>817</v>
      </c>
      <c r="H1103" s="558">
        <v>2.2999999999999998</v>
      </c>
      <c r="I1103" s="559" t="s">
        <v>543</v>
      </c>
      <c r="J1103" s="567" t="s">
        <v>1606</v>
      </c>
      <c r="K1103" s="961" t="s">
        <v>1607</v>
      </c>
      <c r="L1103" s="555" t="str">
        <f t="shared" ca="1" si="188"/>
        <v/>
      </c>
      <c r="M1103" s="494" t="s">
        <v>1608</v>
      </c>
      <c r="N1103" s="555" t="str">
        <f t="shared" ca="1" si="189"/>
        <v/>
      </c>
      <c r="O1103" s="494" t="s">
        <v>1609</v>
      </c>
      <c r="P1103" s="555" t="str">
        <f t="shared" ca="1" si="190"/>
        <v/>
      </c>
      <c r="Q1103" s="494" t="s">
        <v>1610</v>
      </c>
      <c r="R1103" s="494" t="str">
        <f t="shared" si="194"/>
        <v>H1103</v>
      </c>
      <c r="S1103" s="494" t="s">
        <v>1611</v>
      </c>
      <c r="T1103" s="494">
        <v>6</v>
      </c>
      <c r="U1103" s="556" t="str">
        <f t="shared" ca="1" si="186"/>
        <v/>
      </c>
      <c r="V1103" s="494">
        <v>7</v>
      </c>
      <c r="W1103" s="556" t="str">
        <f t="shared" ca="1" si="187"/>
        <v/>
      </c>
      <c r="X1103" s="494" t="s">
        <v>198</v>
      </c>
      <c r="Y1103" s="547" t="str">
        <f t="shared" ca="1" si="191"/>
        <v/>
      </c>
      <c r="Z1103" s="494" t="s">
        <v>1612</v>
      </c>
      <c r="AA1103" s="547" t="str">
        <f t="shared" ca="1" si="192"/>
        <v/>
      </c>
      <c r="AB1103" s="494" t="s">
        <v>1613</v>
      </c>
      <c r="AC1103" s="547" t="str">
        <f t="shared" ca="1" si="193"/>
        <v/>
      </c>
      <c r="AD1103" s="557"/>
      <c r="AE1103" s="958"/>
    </row>
    <row r="1104" spans="1:31" ht="15" customHeight="1">
      <c r="A1104" s="957">
        <v>56</v>
      </c>
      <c r="B1104" s="566" t="s">
        <v>68</v>
      </c>
      <c r="C1104" s="567" t="s">
        <v>1595</v>
      </c>
      <c r="D1104" s="958">
        <v>1</v>
      </c>
      <c r="E1104" s="959" t="s">
        <v>254</v>
      </c>
      <c r="F1104" s="558" t="s">
        <v>1444</v>
      </c>
      <c r="G1104" s="558">
        <v>818</v>
      </c>
      <c r="H1104" s="558">
        <v>2.4</v>
      </c>
      <c r="I1104" s="559" t="s">
        <v>281</v>
      </c>
      <c r="J1104" s="567" t="s">
        <v>1606</v>
      </c>
      <c r="K1104" s="961" t="s">
        <v>1607</v>
      </c>
      <c r="L1104" s="555" t="str">
        <f t="shared" ca="1" si="188"/>
        <v/>
      </c>
      <c r="M1104" s="494" t="s">
        <v>1608</v>
      </c>
      <c r="N1104" s="555" t="str">
        <f t="shared" ca="1" si="189"/>
        <v/>
      </c>
      <c r="O1104" s="494" t="s">
        <v>1609</v>
      </c>
      <c r="P1104" s="555" t="str">
        <f t="shared" ca="1" si="190"/>
        <v/>
      </c>
      <c r="Q1104" s="494" t="s">
        <v>1610</v>
      </c>
      <c r="R1104" s="494" t="str">
        <f t="shared" si="194"/>
        <v>H1104</v>
      </c>
      <c r="S1104" s="494" t="s">
        <v>1611</v>
      </c>
      <c r="T1104" s="494">
        <v>6</v>
      </c>
      <c r="U1104" s="556" t="str">
        <f t="shared" ca="1" si="186"/>
        <v/>
      </c>
      <c r="V1104" s="494">
        <v>7</v>
      </c>
      <c r="W1104" s="556" t="str">
        <f t="shared" ca="1" si="187"/>
        <v/>
      </c>
      <c r="X1104" s="494" t="s">
        <v>198</v>
      </c>
      <c r="Y1104" s="547" t="str">
        <f t="shared" ca="1" si="191"/>
        <v/>
      </c>
      <c r="Z1104" s="494" t="s">
        <v>1612</v>
      </c>
      <c r="AA1104" s="547" t="str">
        <f t="shared" ca="1" si="192"/>
        <v/>
      </c>
      <c r="AB1104" s="494" t="s">
        <v>1613</v>
      </c>
      <c r="AC1104" s="547" t="str">
        <f t="shared" ca="1" si="193"/>
        <v/>
      </c>
      <c r="AD1104" s="557"/>
      <c r="AE1104" s="958"/>
    </row>
    <row r="1105" spans="1:31" ht="15" customHeight="1">
      <c r="A1105" s="957">
        <v>56</v>
      </c>
      <c r="B1105" s="566" t="s">
        <v>68</v>
      </c>
      <c r="C1105" s="567" t="s">
        <v>1595</v>
      </c>
      <c r="D1105" s="958">
        <v>1</v>
      </c>
      <c r="E1105" s="959" t="s">
        <v>254</v>
      </c>
      <c r="F1105" s="558" t="s">
        <v>1444</v>
      </c>
      <c r="G1105" s="558">
        <v>819</v>
      </c>
      <c r="H1105" s="558">
        <v>3.1</v>
      </c>
      <c r="I1105" s="559" t="s">
        <v>71</v>
      </c>
      <c r="J1105" s="567" t="s">
        <v>1606</v>
      </c>
      <c r="K1105" s="961" t="s">
        <v>1607</v>
      </c>
      <c r="L1105" s="555" t="str">
        <f t="shared" ca="1" si="188"/>
        <v/>
      </c>
      <c r="M1105" s="494" t="s">
        <v>1608</v>
      </c>
      <c r="N1105" s="555" t="str">
        <f t="shared" ca="1" si="189"/>
        <v/>
      </c>
      <c r="O1105" s="494" t="s">
        <v>1609</v>
      </c>
      <c r="P1105" s="555" t="str">
        <f t="shared" ca="1" si="190"/>
        <v/>
      </c>
      <c r="Q1105" s="494" t="s">
        <v>1610</v>
      </c>
      <c r="R1105" s="494" t="str">
        <f t="shared" si="194"/>
        <v>H1105</v>
      </c>
      <c r="S1105" s="494" t="s">
        <v>1611</v>
      </c>
      <c r="T1105" s="494">
        <v>6</v>
      </c>
      <c r="U1105" s="556" t="str">
        <f t="shared" ca="1" si="186"/>
        <v/>
      </c>
      <c r="V1105" s="494">
        <v>7</v>
      </c>
      <c r="W1105" s="556" t="str">
        <f t="shared" ca="1" si="187"/>
        <v/>
      </c>
      <c r="X1105" s="494" t="s">
        <v>198</v>
      </c>
      <c r="Y1105" s="547" t="str">
        <f t="shared" ca="1" si="191"/>
        <v/>
      </c>
      <c r="Z1105" s="494" t="s">
        <v>1612</v>
      </c>
      <c r="AA1105" s="547" t="str">
        <f t="shared" ca="1" si="192"/>
        <v/>
      </c>
      <c r="AB1105" s="494" t="s">
        <v>1613</v>
      </c>
      <c r="AC1105" s="547" t="str">
        <f t="shared" ca="1" si="193"/>
        <v/>
      </c>
      <c r="AD1105" s="557"/>
      <c r="AE1105" s="958"/>
    </row>
    <row r="1106" spans="1:31" ht="15" customHeight="1">
      <c r="A1106" s="957">
        <v>56</v>
      </c>
      <c r="B1106" s="566" t="s">
        <v>68</v>
      </c>
      <c r="C1106" s="567" t="s">
        <v>1595</v>
      </c>
      <c r="D1106" s="958">
        <v>1</v>
      </c>
      <c r="E1106" s="959" t="s">
        <v>254</v>
      </c>
      <c r="F1106" s="558" t="s">
        <v>1444</v>
      </c>
      <c r="G1106" s="558">
        <v>820</v>
      </c>
      <c r="H1106" s="558">
        <v>3.2</v>
      </c>
      <c r="I1106" s="559" t="s">
        <v>74</v>
      </c>
      <c r="J1106" s="567" t="s">
        <v>1606</v>
      </c>
      <c r="K1106" s="961" t="s">
        <v>1607</v>
      </c>
      <c r="L1106" s="555" t="str">
        <f t="shared" ca="1" si="188"/>
        <v/>
      </c>
      <c r="M1106" s="494" t="s">
        <v>1608</v>
      </c>
      <c r="N1106" s="555" t="str">
        <f t="shared" ca="1" si="189"/>
        <v/>
      </c>
      <c r="O1106" s="494" t="s">
        <v>1609</v>
      </c>
      <c r="P1106" s="555" t="str">
        <f t="shared" ca="1" si="190"/>
        <v/>
      </c>
      <c r="Q1106" s="494" t="s">
        <v>1610</v>
      </c>
      <c r="R1106" s="494" t="str">
        <f t="shared" si="194"/>
        <v>H1106</v>
      </c>
      <c r="S1106" s="494" t="s">
        <v>1611</v>
      </c>
      <c r="T1106" s="494">
        <v>6</v>
      </c>
      <c r="U1106" s="556" t="str">
        <f t="shared" ca="1" si="186"/>
        <v/>
      </c>
      <c r="V1106" s="494">
        <v>7</v>
      </c>
      <c r="W1106" s="556" t="str">
        <f t="shared" ca="1" si="187"/>
        <v/>
      </c>
      <c r="X1106" s="494" t="s">
        <v>198</v>
      </c>
      <c r="Y1106" s="547" t="str">
        <f t="shared" ca="1" si="191"/>
        <v/>
      </c>
      <c r="Z1106" s="494" t="s">
        <v>1612</v>
      </c>
      <c r="AA1106" s="547" t="str">
        <f t="shared" ca="1" si="192"/>
        <v/>
      </c>
      <c r="AB1106" s="494" t="s">
        <v>1613</v>
      </c>
      <c r="AC1106" s="547" t="str">
        <f t="shared" ca="1" si="193"/>
        <v/>
      </c>
      <c r="AD1106" s="557"/>
      <c r="AE1106" s="958"/>
    </row>
    <row r="1107" spans="1:31" ht="15" customHeight="1">
      <c r="A1107" s="957">
        <v>56</v>
      </c>
      <c r="B1107" s="566" t="s">
        <v>68</v>
      </c>
      <c r="C1107" s="567" t="s">
        <v>1595</v>
      </c>
      <c r="D1107" s="958">
        <v>1</v>
      </c>
      <c r="E1107" s="959" t="s">
        <v>254</v>
      </c>
      <c r="F1107" s="558" t="s">
        <v>1444</v>
      </c>
      <c r="G1107" s="558">
        <v>821</v>
      </c>
      <c r="H1107" s="558">
        <v>4.0999999999999996</v>
      </c>
      <c r="I1107" s="559" t="s">
        <v>546</v>
      </c>
      <c r="J1107" s="567" t="s">
        <v>1606</v>
      </c>
      <c r="K1107" s="961" t="s">
        <v>1607</v>
      </c>
      <c r="L1107" s="555" t="str">
        <f t="shared" ca="1" si="188"/>
        <v/>
      </c>
      <c r="M1107" s="494" t="s">
        <v>1608</v>
      </c>
      <c r="N1107" s="555" t="str">
        <f t="shared" ca="1" si="189"/>
        <v/>
      </c>
      <c r="O1107" s="494" t="s">
        <v>1609</v>
      </c>
      <c r="P1107" s="555" t="str">
        <f t="shared" ca="1" si="190"/>
        <v/>
      </c>
      <c r="Q1107" s="494" t="s">
        <v>1610</v>
      </c>
      <c r="R1107" s="494" t="str">
        <f t="shared" si="194"/>
        <v>H1107</v>
      </c>
      <c r="S1107" s="494" t="s">
        <v>1611</v>
      </c>
      <c r="T1107" s="494">
        <v>6</v>
      </c>
      <c r="U1107" s="556" t="str">
        <f t="shared" ca="1" si="186"/>
        <v/>
      </c>
      <c r="V1107" s="494">
        <v>7</v>
      </c>
      <c r="W1107" s="556" t="str">
        <f t="shared" ca="1" si="187"/>
        <v/>
      </c>
      <c r="X1107" s="494" t="s">
        <v>198</v>
      </c>
      <c r="Y1107" s="547" t="str">
        <f t="shared" ca="1" si="191"/>
        <v/>
      </c>
      <c r="Z1107" s="494" t="s">
        <v>1612</v>
      </c>
      <c r="AA1107" s="547" t="str">
        <f t="shared" ca="1" si="192"/>
        <v/>
      </c>
      <c r="AB1107" s="494" t="s">
        <v>1613</v>
      </c>
      <c r="AC1107" s="547" t="str">
        <f t="shared" ca="1" si="193"/>
        <v/>
      </c>
      <c r="AD1107" s="557"/>
      <c r="AE1107" s="958"/>
    </row>
    <row r="1108" spans="1:31" ht="15" customHeight="1">
      <c r="A1108" s="957">
        <v>56</v>
      </c>
      <c r="B1108" s="566" t="s">
        <v>68</v>
      </c>
      <c r="C1108" s="567" t="s">
        <v>1595</v>
      </c>
      <c r="D1108" s="958">
        <v>1</v>
      </c>
      <c r="E1108" s="959" t="s">
        <v>254</v>
      </c>
      <c r="F1108" s="558" t="s">
        <v>1444</v>
      </c>
      <c r="G1108" s="558">
        <v>822</v>
      </c>
      <c r="H1108" s="558">
        <v>4.2</v>
      </c>
      <c r="I1108" s="559" t="s">
        <v>291</v>
      </c>
      <c r="J1108" s="567" t="s">
        <v>1606</v>
      </c>
      <c r="K1108" s="961" t="s">
        <v>1607</v>
      </c>
      <c r="L1108" s="555" t="str">
        <f t="shared" ca="1" si="188"/>
        <v/>
      </c>
      <c r="M1108" s="494" t="s">
        <v>1608</v>
      </c>
      <c r="N1108" s="555" t="str">
        <f t="shared" ca="1" si="189"/>
        <v/>
      </c>
      <c r="O1108" s="494" t="s">
        <v>1609</v>
      </c>
      <c r="P1108" s="555" t="str">
        <f t="shared" ca="1" si="190"/>
        <v/>
      </c>
      <c r="Q1108" s="494" t="s">
        <v>1610</v>
      </c>
      <c r="R1108" s="494" t="str">
        <f t="shared" si="194"/>
        <v>H1108</v>
      </c>
      <c r="S1108" s="494" t="s">
        <v>1611</v>
      </c>
      <c r="T1108" s="494">
        <v>6</v>
      </c>
      <c r="U1108" s="556" t="str">
        <f t="shared" ca="1" si="186"/>
        <v/>
      </c>
      <c r="V1108" s="494">
        <v>7</v>
      </c>
      <c r="W1108" s="556" t="str">
        <f t="shared" ca="1" si="187"/>
        <v/>
      </c>
      <c r="X1108" s="494" t="s">
        <v>198</v>
      </c>
      <c r="Y1108" s="547" t="str">
        <f t="shared" ca="1" si="191"/>
        <v/>
      </c>
      <c r="Z1108" s="494" t="s">
        <v>1612</v>
      </c>
      <c r="AA1108" s="547" t="str">
        <f t="shared" ca="1" si="192"/>
        <v/>
      </c>
      <c r="AB1108" s="494" t="s">
        <v>1613</v>
      </c>
      <c r="AC1108" s="547" t="str">
        <f t="shared" ca="1" si="193"/>
        <v/>
      </c>
      <c r="AD1108" s="557"/>
      <c r="AE1108" s="958"/>
    </row>
    <row r="1109" spans="1:31" ht="15" customHeight="1">
      <c r="A1109" s="957">
        <v>56</v>
      </c>
      <c r="B1109" s="566" t="s">
        <v>68</v>
      </c>
      <c r="C1109" s="567" t="s">
        <v>1595</v>
      </c>
      <c r="D1109" s="958">
        <v>1</v>
      </c>
      <c r="E1109" s="959" t="s">
        <v>254</v>
      </c>
      <c r="F1109" s="558" t="s">
        <v>1444</v>
      </c>
      <c r="G1109" s="558">
        <v>823</v>
      </c>
      <c r="H1109" s="558">
        <v>4.3</v>
      </c>
      <c r="I1109" s="559" t="s">
        <v>547</v>
      </c>
      <c r="J1109" s="567" t="s">
        <v>1606</v>
      </c>
      <c r="K1109" s="961" t="s">
        <v>1607</v>
      </c>
      <c r="L1109" s="555" t="str">
        <f t="shared" ca="1" si="188"/>
        <v/>
      </c>
      <c r="M1109" s="494" t="s">
        <v>1608</v>
      </c>
      <c r="N1109" s="555" t="str">
        <f t="shared" ca="1" si="189"/>
        <v/>
      </c>
      <c r="O1109" s="494" t="s">
        <v>1609</v>
      </c>
      <c r="P1109" s="555" t="str">
        <f t="shared" ca="1" si="190"/>
        <v/>
      </c>
      <c r="Q1109" s="494" t="s">
        <v>1610</v>
      </c>
      <c r="R1109" s="494" t="str">
        <f t="shared" si="194"/>
        <v>H1109</v>
      </c>
      <c r="S1109" s="494" t="s">
        <v>1611</v>
      </c>
      <c r="T1109" s="494">
        <v>6</v>
      </c>
      <c r="U1109" s="556" t="str">
        <f t="shared" ca="1" si="186"/>
        <v/>
      </c>
      <c r="V1109" s="494">
        <v>7</v>
      </c>
      <c r="W1109" s="556" t="str">
        <f t="shared" ca="1" si="187"/>
        <v/>
      </c>
      <c r="X1109" s="494" t="s">
        <v>198</v>
      </c>
      <c r="Y1109" s="547" t="str">
        <f t="shared" ca="1" si="191"/>
        <v/>
      </c>
      <c r="Z1109" s="494" t="s">
        <v>1612</v>
      </c>
      <c r="AA1109" s="547" t="str">
        <f t="shared" ca="1" si="192"/>
        <v/>
      </c>
      <c r="AB1109" s="494" t="s">
        <v>1613</v>
      </c>
      <c r="AC1109" s="547" t="str">
        <f t="shared" ca="1" si="193"/>
        <v/>
      </c>
      <c r="AD1109" s="557"/>
      <c r="AE1109" s="958"/>
    </row>
    <row r="1110" spans="1:31" ht="15" customHeight="1">
      <c r="A1110" s="957">
        <v>56</v>
      </c>
      <c r="B1110" s="566" t="s">
        <v>68</v>
      </c>
      <c r="C1110" s="567" t="s">
        <v>1595</v>
      </c>
      <c r="D1110" s="958">
        <v>1</v>
      </c>
      <c r="E1110" s="959" t="s">
        <v>254</v>
      </c>
      <c r="F1110" s="558" t="s">
        <v>1444</v>
      </c>
      <c r="G1110" s="558">
        <v>825</v>
      </c>
      <c r="H1110" s="558">
        <v>5</v>
      </c>
      <c r="I1110" s="559" t="s">
        <v>548</v>
      </c>
      <c r="J1110" s="567" t="s">
        <v>1606</v>
      </c>
      <c r="K1110" s="961" t="s">
        <v>1607</v>
      </c>
      <c r="L1110" s="555" t="str">
        <f t="shared" ca="1" si="188"/>
        <v/>
      </c>
      <c r="M1110" s="494" t="s">
        <v>1608</v>
      </c>
      <c r="N1110" s="555" t="str">
        <f t="shared" ca="1" si="189"/>
        <v/>
      </c>
      <c r="O1110" s="494" t="s">
        <v>1609</v>
      </c>
      <c r="P1110" s="555" t="str">
        <f t="shared" ca="1" si="190"/>
        <v/>
      </c>
      <c r="Q1110" s="494" t="s">
        <v>1610</v>
      </c>
      <c r="R1110" s="494" t="str">
        <f t="shared" si="194"/>
        <v>H1110</v>
      </c>
      <c r="S1110" s="494" t="s">
        <v>1611</v>
      </c>
      <c r="T1110" s="494">
        <v>6</v>
      </c>
      <c r="U1110" s="556" t="str">
        <f t="shared" ca="1" si="186"/>
        <v/>
      </c>
      <c r="V1110" s="494">
        <v>7</v>
      </c>
      <c r="W1110" s="556" t="str">
        <f t="shared" ca="1" si="187"/>
        <v/>
      </c>
      <c r="X1110" s="494" t="s">
        <v>198</v>
      </c>
      <c r="Y1110" s="547" t="str">
        <f t="shared" ca="1" si="191"/>
        <v/>
      </c>
      <c r="Z1110" s="494" t="s">
        <v>1612</v>
      </c>
      <c r="AA1110" s="547" t="str">
        <f t="shared" ca="1" si="192"/>
        <v/>
      </c>
      <c r="AB1110" s="494" t="s">
        <v>1613</v>
      </c>
      <c r="AC1110" s="547" t="str">
        <f t="shared" ca="1" si="193"/>
        <v/>
      </c>
      <c r="AD1110" s="557"/>
      <c r="AE1110" s="958"/>
    </row>
    <row r="1111" spans="1:31" ht="15" customHeight="1">
      <c r="A1111" s="957">
        <v>56</v>
      </c>
      <c r="B1111" s="566" t="s">
        <v>68</v>
      </c>
      <c r="C1111" s="567" t="s">
        <v>1595</v>
      </c>
      <c r="D1111" s="958">
        <v>1</v>
      </c>
      <c r="E1111" s="959" t="s">
        <v>254</v>
      </c>
      <c r="F1111" s="558" t="s">
        <v>1444</v>
      </c>
      <c r="G1111" s="558">
        <v>826</v>
      </c>
      <c r="H1111" s="558">
        <v>5.0999999999999996</v>
      </c>
      <c r="I1111" s="559" t="s">
        <v>549</v>
      </c>
      <c r="J1111" s="567" t="s">
        <v>1606</v>
      </c>
      <c r="K1111" s="961" t="s">
        <v>1607</v>
      </c>
      <c r="L1111" s="555" t="str">
        <f t="shared" ca="1" si="188"/>
        <v/>
      </c>
      <c r="M1111" s="494" t="s">
        <v>1608</v>
      </c>
      <c r="N1111" s="555" t="str">
        <f t="shared" ca="1" si="189"/>
        <v/>
      </c>
      <c r="O1111" s="494" t="s">
        <v>1609</v>
      </c>
      <c r="P1111" s="555" t="str">
        <f t="shared" ca="1" si="190"/>
        <v/>
      </c>
      <c r="Q1111" s="494" t="s">
        <v>1610</v>
      </c>
      <c r="R1111" s="494" t="str">
        <f t="shared" si="194"/>
        <v>H1111</v>
      </c>
      <c r="S1111" s="494" t="s">
        <v>1611</v>
      </c>
      <c r="T1111" s="494">
        <v>6</v>
      </c>
      <c r="U1111" s="556" t="str">
        <f t="shared" ca="1" si="186"/>
        <v/>
      </c>
      <c r="V1111" s="494">
        <v>7</v>
      </c>
      <c r="W1111" s="556" t="str">
        <f t="shared" ca="1" si="187"/>
        <v/>
      </c>
      <c r="X1111" s="494" t="s">
        <v>198</v>
      </c>
      <c r="Y1111" s="547" t="str">
        <f t="shared" ca="1" si="191"/>
        <v/>
      </c>
      <c r="Z1111" s="494" t="s">
        <v>1612</v>
      </c>
      <c r="AA1111" s="547" t="str">
        <f t="shared" ca="1" si="192"/>
        <v/>
      </c>
      <c r="AB1111" s="494" t="s">
        <v>1613</v>
      </c>
      <c r="AC1111" s="547" t="str">
        <f t="shared" ca="1" si="193"/>
        <v/>
      </c>
      <c r="AD1111" s="557"/>
      <c r="AE1111" s="958"/>
    </row>
    <row r="1112" spans="1:31" ht="15" customHeight="1">
      <c r="A1112" s="957">
        <v>56</v>
      </c>
      <c r="B1112" s="566" t="s">
        <v>68</v>
      </c>
      <c r="C1112" s="567" t="s">
        <v>1595</v>
      </c>
      <c r="D1112" s="958">
        <v>1</v>
      </c>
      <c r="E1112" s="959" t="s">
        <v>254</v>
      </c>
      <c r="F1112" s="558" t="s">
        <v>1444</v>
      </c>
      <c r="G1112" s="558">
        <v>827</v>
      </c>
      <c r="H1112" s="558">
        <v>6</v>
      </c>
      <c r="I1112" s="559" t="s">
        <v>551</v>
      </c>
      <c r="J1112" s="567" t="s">
        <v>1606</v>
      </c>
      <c r="K1112" s="961" t="s">
        <v>1607</v>
      </c>
      <c r="L1112" s="555" t="str">
        <f t="shared" ca="1" si="188"/>
        <v/>
      </c>
      <c r="M1112" s="494" t="s">
        <v>1608</v>
      </c>
      <c r="N1112" s="555" t="str">
        <f t="shared" ca="1" si="189"/>
        <v/>
      </c>
      <c r="O1112" s="494" t="s">
        <v>1609</v>
      </c>
      <c r="P1112" s="555" t="str">
        <f t="shared" ca="1" si="190"/>
        <v/>
      </c>
      <c r="Q1112" s="494" t="s">
        <v>1610</v>
      </c>
      <c r="R1112" s="494" t="str">
        <f t="shared" si="194"/>
        <v>H1112</v>
      </c>
      <c r="S1112" s="494" t="s">
        <v>1611</v>
      </c>
      <c r="T1112" s="494">
        <v>6</v>
      </c>
      <c r="U1112" s="556" t="str">
        <f t="shared" ca="1" si="186"/>
        <v/>
      </c>
      <c r="V1112" s="494">
        <v>7</v>
      </c>
      <c r="W1112" s="556" t="str">
        <f t="shared" ca="1" si="187"/>
        <v/>
      </c>
      <c r="X1112" s="494" t="s">
        <v>198</v>
      </c>
      <c r="Y1112" s="547" t="str">
        <f t="shared" ca="1" si="191"/>
        <v/>
      </c>
      <c r="Z1112" s="494" t="s">
        <v>1612</v>
      </c>
      <c r="AA1112" s="547" t="str">
        <f t="shared" ca="1" si="192"/>
        <v/>
      </c>
      <c r="AB1112" s="494" t="s">
        <v>1613</v>
      </c>
      <c r="AC1112" s="547" t="str">
        <f t="shared" ca="1" si="193"/>
        <v/>
      </c>
      <c r="AD1112" s="557"/>
      <c r="AE1112" s="958"/>
    </row>
    <row r="1113" spans="1:31" ht="15" customHeight="1">
      <c r="A1113" s="957">
        <v>56</v>
      </c>
      <c r="B1113" s="566" t="s">
        <v>68</v>
      </c>
      <c r="C1113" s="567" t="s">
        <v>1595</v>
      </c>
      <c r="D1113" s="958">
        <v>1</v>
      </c>
      <c r="E1113" s="959" t="s">
        <v>254</v>
      </c>
      <c r="F1113" s="558" t="s">
        <v>1444</v>
      </c>
      <c r="G1113" s="558">
        <v>828</v>
      </c>
      <c r="H1113" s="558">
        <v>6.1</v>
      </c>
      <c r="I1113" s="559" t="s">
        <v>552</v>
      </c>
      <c r="J1113" s="567" t="s">
        <v>1606</v>
      </c>
      <c r="K1113" s="961" t="s">
        <v>1607</v>
      </c>
      <c r="L1113" s="555" t="str">
        <f t="shared" ca="1" si="188"/>
        <v/>
      </c>
      <c r="M1113" s="494" t="s">
        <v>1608</v>
      </c>
      <c r="N1113" s="555" t="str">
        <f t="shared" ca="1" si="189"/>
        <v/>
      </c>
      <c r="O1113" s="494" t="s">
        <v>1609</v>
      </c>
      <c r="P1113" s="555" t="str">
        <f t="shared" ca="1" si="190"/>
        <v/>
      </c>
      <c r="Q1113" s="494" t="s">
        <v>1610</v>
      </c>
      <c r="R1113" s="494" t="str">
        <f t="shared" si="194"/>
        <v>H1113</v>
      </c>
      <c r="S1113" s="494" t="s">
        <v>1611</v>
      </c>
      <c r="T1113" s="494">
        <v>6</v>
      </c>
      <c r="U1113" s="556" t="str">
        <f t="shared" ca="1" si="186"/>
        <v/>
      </c>
      <c r="V1113" s="494">
        <v>7</v>
      </c>
      <c r="W1113" s="556" t="str">
        <f t="shared" ca="1" si="187"/>
        <v/>
      </c>
      <c r="X1113" s="494" t="s">
        <v>198</v>
      </c>
      <c r="Y1113" s="547" t="str">
        <f t="shared" ca="1" si="191"/>
        <v/>
      </c>
      <c r="Z1113" s="494" t="s">
        <v>1612</v>
      </c>
      <c r="AA1113" s="547" t="str">
        <f t="shared" ca="1" si="192"/>
        <v/>
      </c>
      <c r="AB1113" s="494" t="s">
        <v>1613</v>
      </c>
      <c r="AC1113" s="547" t="str">
        <f t="shared" ca="1" si="193"/>
        <v/>
      </c>
      <c r="AD1113" s="557"/>
      <c r="AE1113" s="958"/>
    </row>
    <row r="1114" spans="1:31" ht="15" customHeight="1">
      <c r="A1114" s="957">
        <v>56</v>
      </c>
      <c r="B1114" s="566" t="s">
        <v>68</v>
      </c>
      <c r="C1114" s="567" t="s">
        <v>1595</v>
      </c>
      <c r="D1114" s="958">
        <v>1</v>
      </c>
      <c r="E1114" s="959" t="s">
        <v>254</v>
      </c>
      <c r="F1114" s="558" t="s">
        <v>1444</v>
      </c>
      <c r="G1114" s="558">
        <v>829</v>
      </c>
      <c r="H1114" s="558" t="s">
        <v>553</v>
      </c>
      <c r="I1114" s="559" t="s">
        <v>913</v>
      </c>
      <c r="J1114" s="567" t="s">
        <v>1606</v>
      </c>
      <c r="K1114" s="961" t="s">
        <v>1607</v>
      </c>
      <c r="L1114" s="555" t="str">
        <f t="shared" ca="1" si="188"/>
        <v/>
      </c>
      <c r="M1114" s="494" t="s">
        <v>1608</v>
      </c>
      <c r="N1114" s="555" t="str">
        <f t="shared" ca="1" si="189"/>
        <v/>
      </c>
      <c r="O1114" s="494" t="s">
        <v>1609</v>
      </c>
      <c r="P1114" s="555" t="str">
        <f t="shared" ca="1" si="190"/>
        <v/>
      </c>
      <c r="Q1114" s="494" t="s">
        <v>1610</v>
      </c>
      <c r="R1114" s="494" t="str">
        <f t="shared" si="194"/>
        <v>H1114</v>
      </c>
      <c r="S1114" s="494" t="s">
        <v>1611</v>
      </c>
      <c r="T1114" s="494">
        <v>6</v>
      </c>
      <c r="U1114" s="556" t="str">
        <f t="shared" ca="1" si="186"/>
        <v/>
      </c>
      <c r="V1114" s="494">
        <v>7</v>
      </c>
      <c r="W1114" s="556" t="str">
        <f t="shared" ca="1" si="187"/>
        <v/>
      </c>
      <c r="X1114" s="494" t="s">
        <v>198</v>
      </c>
      <c r="Y1114" s="547" t="str">
        <f t="shared" ca="1" si="191"/>
        <v/>
      </c>
      <c r="Z1114" s="494" t="s">
        <v>1612</v>
      </c>
      <c r="AA1114" s="547" t="str">
        <f t="shared" ca="1" si="192"/>
        <v/>
      </c>
      <c r="AB1114" s="494" t="s">
        <v>1613</v>
      </c>
      <c r="AC1114" s="547" t="str">
        <f t="shared" ca="1" si="193"/>
        <v/>
      </c>
      <c r="AD1114" s="557"/>
      <c r="AE1114" s="958"/>
    </row>
    <row r="1115" spans="1:31" ht="15" customHeight="1">
      <c r="A1115" s="957">
        <v>56</v>
      </c>
      <c r="B1115" s="566" t="s">
        <v>68</v>
      </c>
      <c r="C1115" s="567" t="s">
        <v>1595</v>
      </c>
      <c r="D1115" s="958">
        <v>1</v>
      </c>
      <c r="E1115" s="959" t="s">
        <v>254</v>
      </c>
      <c r="F1115" s="558" t="s">
        <v>1444</v>
      </c>
      <c r="G1115" s="558">
        <v>829</v>
      </c>
      <c r="H1115" s="558" t="s">
        <v>555</v>
      </c>
      <c r="I1115" s="559" t="s">
        <v>1614</v>
      </c>
      <c r="J1115" s="567" t="s">
        <v>1606</v>
      </c>
      <c r="K1115" s="961" t="s">
        <v>1607</v>
      </c>
      <c r="L1115" s="555" t="str">
        <f t="shared" ca="1" si="188"/>
        <v/>
      </c>
      <c r="M1115" s="494" t="s">
        <v>1608</v>
      </c>
      <c r="N1115" s="555" t="str">
        <f t="shared" ca="1" si="189"/>
        <v/>
      </c>
      <c r="O1115" s="494" t="s">
        <v>1609</v>
      </c>
      <c r="P1115" s="555" t="str">
        <f t="shared" ca="1" si="190"/>
        <v/>
      </c>
      <c r="Q1115" s="494" t="s">
        <v>1610</v>
      </c>
      <c r="R1115" s="494" t="str">
        <f>CONCATENATE("H",ROW(J1115))</f>
        <v>H1115</v>
      </c>
      <c r="S1115" s="494" t="s">
        <v>1611</v>
      </c>
      <c r="T1115" s="494">
        <v>6</v>
      </c>
      <c r="U1115" s="556" t="str">
        <f t="shared" ca="1" si="186"/>
        <v/>
      </c>
      <c r="V1115" s="494">
        <v>7</v>
      </c>
      <c r="W1115" s="556" t="str">
        <f t="shared" ca="1" si="187"/>
        <v/>
      </c>
      <c r="X1115" s="494" t="s">
        <v>198</v>
      </c>
      <c r="Y1115" s="547" t="str">
        <f t="shared" ca="1" si="191"/>
        <v/>
      </c>
      <c r="Z1115" s="494" t="s">
        <v>1612</v>
      </c>
      <c r="AA1115" s="547" t="str">
        <f t="shared" ca="1" si="192"/>
        <v/>
      </c>
      <c r="AB1115" s="494" t="s">
        <v>1613</v>
      </c>
      <c r="AC1115" s="547" t="str">
        <f t="shared" ca="1" si="193"/>
        <v/>
      </c>
      <c r="AD1115" s="557"/>
      <c r="AE1115" s="958"/>
    </row>
    <row r="1116" spans="1:31" ht="15" customHeight="1">
      <c r="A1116" s="957">
        <v>56</v>
      </c>
      <c r="B1116" s="566" t="s">
        <v>68</v>
      </c>
      <c r="C1116" s="567" t="s">
        <v>1595</v>
      </c>
      <c r="D1116" s="958">
        <v>1</v>
      </c>
      <c r="E1116" s="959" t="s">
        <v>306</v>
      </c>
      <c r="F1116" s="558" t="s">
        <v>1454</v>
      </c>
      <c r="G1116" s="558">
        <v>830</v>
      </c>
      <c r="H1116" s="558">
        <v>8.1</v>
      </c>
      <c r="I1116" s="559" t="s">
        <v>309</v>
      </c>
      <c r="J1116" s="567" t="s">
        <v>1606</v>
      </c>
      <c r="K1116" s="961" t="s">
        <v>1607</v>
      </c>
      <c r="L1116" s="555" t="str">
        <f t="shared" ca="1" si="188"/>
        <v/>
      </c>
      <c r="M1116" s="494" t="s">
        <v>1608</v>
      </c>
      <c r="N1116" s="555" t="str">
        <f t="shared" ca="1" si="189"/>
        <v/>
      </c>
      <c r="O1116" s="494" t="s">
        <v>1609</v>
      </c>
      <c r="P1116" s="555" t="str">
        <f t="shared" ca="1" si="190"/>
        <v/>
      </c>
      <c r="Q1116" s="494" t="s">
        <v>1610</v>
      </c>
      <c r="R1116" s="494" t="str">
        <f t="shared" si="194"/>
        <v>H1116</v>
      </c>
      <c r="S1116" s="494" t="s">
        <v>1611</v>
      </c>
      <c r="T1116" s="494">
        <v>6</v>
      </c>
      <c r="U1116" s="556" t="str">
        <f t="shared" ca="1" si="186"/>
        <v/>
      </c>
      <c r="V1116" s="494">
        <v>7</v>
      </c>
      <c r="W1116" s="556" t="str">
        <f t="shared" ca="1" si="187"/>
        <v/>
      </c>
      <c r="X1116" s="494" t="s">
        <v>198</v>
      </c>
      <c r="Y1116" s="547" t="str">
        <f t="shared" ca="1" si="191"/>
        <v/>
      </c>
      <c r="Z1116" s="494" t="s">
        <v>1612</v>
      </c>
      <c r="AA1116" s="547" t="str">
        <f t="shared" ca="1" si="192"/>
        <v/>
      </c>
      <c r="AB1116" s="494" t="s">
        <v>1613</v>
      </c>
      <c r="AC1116" s="547" t="str">
        <f t="shared" ca="1" si="193"/>
        <v/>
      </c>
      <c r="AD1116" s="557"/>
      <c r="AE1116" s="958"/>
    </row>
    <row r="1117" spans="1:31" ht="15" customHeight="1">
      <c r="A1117" s="957">
        <v>56</v>
      </c>
      <c r="B1117" s="566" t="s">
        <v>68</v>
      </c>
      <c r="C1117" s="567" t="s">
        <v>1595</v>
      </c>
      <c r="D1117" s="958">
        <v>1</v>
      </c>
      <c r="E1117" s="959" t="s">
        <v>306</v>
      </c>
      <c r="F1117" s="558" t="s">
        <v>1454</v>
      </c>
      <c r="G1117" s="558">
        <v>831</v>
      </c>
      <c r="H1117" s="558">
        <v>8.1999999999999993</v>
      </c>
      <c r="I1117" s="559" t="s">
        <v>310</v>
      </c>
      <c r="J1117" s="567" t="s">
        <v>1606</v>
      </c>
      <c r="K1117" s="961" t="s">
        <v>1607</v>
      </c>
      <c r="L1117" s="555" t="str">
        <f t="shared" ca="1" si="188"/>
        <v/>
      </c>
      <c r="M1117" s="494" t="s">
        <v>1608</v>
      </c>
      <c r="N1117" s="555" t="str">
        <f t="shared" ca="1" si="189"/>
        <v/>
      </c>
      <c r="O1117" s="494" t="s">
        <v>1609</v>
      </c>
      <c r="P1117" s="555" t="str">
        <f t="shared" ca="1" si="190"/>
        <v/>
      </c>
      <c r="Q1117" s="494" t="s">
        <v>1610</v>
      </c>
      <c r="R1117" s="494" t="str">
        <f t="shared" si="194"/>
        <v>H1117</v>
      </c>
      <c r="S1117" s="494" t="s">
        <v>1611</v>
      </c>
      <c r="T1117" s="494">
        <v>6</v>
      </c>
      <c r="U1117" s="556" t="str">
        <f t="shared" ca="1" si="186"/>
        <v/>
      </c>
      <c r="V1117" s="494">
        <v>7</v>
      </c>
      <c r="W1117" s="556" t="str">
        <f t="shared" ca="1" si="187"/>
        <v/>
      </c>
      <c r="X1117" s="494" t="s">
        <v>198</v>
      </c>
      <c r="Y1117" s="547" t="str">
        <f t="shared" ca="1" si="191"/>
        <v/>
      </c>
      <c r="Z1117" s="494" t="s">
        <v>1612</v>
      </c>
      <c r="AA1117" s="547" t="str">
        <f t="shared" ca="1" si="192"/>
        <v/>
      </c>
      <c r="AB1117" s="494" t="s">
        <v>1613</v>
      </c>
      <c r="AC1117" s="547" t="str">
        <f t="shared" ca="1" si="193"/>
        <v/>
      </c>
      <c r="AD1117" s="557"/>
      <c r="AE1117" s="958"/>
    </row>
    <row r="1118" spans="1:31" ht="15" customHeight="1">
      <c r="A1118" s="957">
        <v>56</v>
      </c>
      <c r="B1118" s="566" t="s">
        <v>68</v>
      </c>
      <c r="C1118" s="567" t="s">
        <v>1595</v>
      </c>
      <c r="D1118" s="958">
        <v>1</v>
      </c>
      <c r="E1118" s="959" t="s">
        <v>306</v>
      </c>
      <c r="F1118" s="558" t="s">
        <v>1454</v>
      </c>
      <c r="G1118" s="558">
        <v>832</v>
      </c>
      <c r="H1118" s="558">
        <v>8.3000000000000007</v>
      </c>
      <c r="I1118" s="559" t="s">
        <v>311</v>
      </c>
      <c r="J1118" s="567" t="s">
        <v>1606</v>
      </c>
      <c r="K1118" s="961" t="s">
        <v>1607</v>
      </c>
      <c r="L1118" s="555" t="str">
        <f t="shared" ca="1" si="188"/>
        <v/>
      </c>
      <c r="M1118" s="494" t="s">
        <v>1608</v>
      </c>
      <c r="N1118" s="555" t="str">
        <f t="shared" ca="1" si="189"/>
        <v/>
      </c>
      <c r="O1118" s="494" t="s">
        <v>1609</v>
      </c>
      <c r="P1118" s="555" t="str">
        <f t="shared" ca="1" si="190"/>
        <v/>
      </c>
      <c r="Q1118" s="494" t="s">
        <v>1610</v>
      </c>
      <c r="R1118" s="494" t="str">
        <f t="shared" si="194"/>
        <v>H1118</v>
      </c>
      <c r="S1118" s="494" t="s">
        <v>1611</v>
      </c>
      <c r="T1118" s="494">
        <v>6</v>
      </c>
      <c r="U1118" s="556" t="str">
        <f t="shared" ca="1" si="186"/>
        <v/>
      </c>
      <c r="V1118" s="494">
        <v>7</v>
      </c>
      <c r="W1118" s="556" t="str">
        <f t="shared" ca="1" si="187"/>
        <v/>
      </c>
      <c r="X1118" s="494" t="s">
        <v>198</v>
      </c>
      <c r="Y1118" s="547" t="str">
        <f t="shared" ca="1" si="191"/>
        <v/>
      </c>
      <c r="Z1118" s="494" t="s">
        <v>1612</v>
      </c>
      <c r="AA1118" s="547" t="str">
        <f t="shared" ca="1" si="192"/>
        <v/>
      </c>
      <c r="AB1118" s="494" t="s">
        <v>1613</v>
      </c>
      <c r="AC1118" s="547" t="str">
        <f t="shared" ca="1" si="193"/>
        <v/>
      </c>
      <c r="AD1118" s="557"/>
      <c r="AE1118" s="958"/>
    </row>
    <row r="1119" spans="1:31" ht="15" customHeight="1">
      <c r="A1119" s="957">
        <v>56</v>
      </c>
      <c r="B1119" s="566" t="s">
        <v>68</v>
      </c>
      <c r="C1119" s="567" t="s">
        <v>1595</v>
      </c>
      <c r="D1119" s="958">
        <v>1</v>
      </c>
      <c r="E1119" s="959" t="s">
        <v>306</v>
      </c>
      <c r="F1119" s="558" t="s">
        <v>1454</v>
      </c>
      <c r="G1119" s="558">
        <v>833</v>
      </c>
      <c r="H1119" s="558">
        <v>9.1</v>
      </c>
      <c r="I1119" s="559" t="s">
        <v>314</v>
      </c>
      <c r="J1119" s="567" t="s">
        <v>1606</v>
      </c>
      <c r="K1119" s="961" t="s">
        <v>1607</v>
      </c>
      <c r="L1119" s="555" t="str">
        <f t="shared" ca="1" si="188"/>
        <v/>
      </c>
      <c r="M1119" s="494" t="s">
        <v>1608</v>
      </c>
      <c r="N1119" s="555" t="str">
        <f t="shared" ca="1" si="189"/>
        <v/>
      </c>
      <c r="O1119" s="494" t="s">
        <v>1609</v>
      </c>
      <c r="P1119" s="555" t="str">
        <f t="shared" ca="1" si="190"/>
        <v/>
      </c>
      <c r="Q1119" s="494" t="s">
        <v>1610</v>
      </c>
      <c r="R1119" s="494" t="str">
        <f t="shared" si="194"/>
        <v>H1119</v>
      </c>
      <c r="S1119" s="494" t="s">
        <v>1611</v>
      </c>
      <c r="T1119" s="494">
        <v>6</v>
      </c>
      <c r="U1119" s="556" t="str">
        <f t="shared" ca="1" si="186"/>
        <v/>
      </c>
      <c r="V1119" s="494">
        <v>7</v>
      </c>
      <c r="W1119" s="556" t="str">
        <f t="shared" ca="1" si="187"/>
        <v/>
      </c>
      <c r="X1119" s="494" t="s">
        <v>198</v>
      </c>
      <c r="Y1119" s="547" t="str">
        <f t="shared" ca="1" si="191"/>
        <v/>
      </c>
      <c r="Z1119" s="494" t="s">
        <v>1612</v>
      </c>
      <c r="AA1119" s="547" t="str">
        <f t="shared" ca="1" si="192"/>
        <v/>
      </c>
      <c r="AB1119" s="494" t="s">
        <v>1613</v>
      </c>
      <c r="AC1119" s="547" t="str">
        <f t="shared" ca="1" si="193"/>
        <v/>
      </c>
      <c r="AD1119" s="557"/>
      <c r="AE1119" s="958"/>
    </row>
    <row r="1120" spans="1:31" ht="15" customHeight="1">
      <c r="A1120" s="957">
        <v>56</v>
      </c>
      <c r="B1120" s="566" t="s">
        <v>68</v>
      </c>
      <c r="C1120" s="567" t="s">
        <v>1595</v>
      </c>
      <c r="D1120" s="958">
        <v>1</v>
      </c>
      <c r="E1120" s="959" t="s">
        <v>306</v>
      </c>
      <c r="F1120" s="558" t="s">
        <v>1454</v>
      </c>
      <c r="G1120" s="558">
        <v>834</v>
      </c>
      <c r="H1120" s="558">
        <v>9.1999999999999993</v>
      </c>
      <c r="I1120" s="559" t="s">
        <v>315</v>
      </c>
      <c r="J1120" s="567" t="s">
        <v>1606</v>
      </c>
      <c r="K1120" s="961" t="s">
        <v>1607</v>
      </c>
      <c r="L1120" s="555" t="str">
        <f t="shared" ca="1" si="188"/>
        <v/>
      </c>
      <c r="M1120" s="494" t="s">
        <v>1608</v>
      </c>
      <c r="N1120" s="555" t="str">
        <f t="shared" ca="1" si="189"/>
        <v/>
      </c>
      <c r="O1120" s="494" t="s">
        <v>1609</v>
      </c>
      <c r="P1120" s="555" t="str">
        <f t="shared" ca="1" si="190"/>
        <v/>
      </c>
      <c r="Q1120" s="494" t="s">
        <v>1610</v>
      </c>
      <c r="R1120" s="494" t="str">
        <f t="shared" si="194"/>
        <v>H1120</v>
      </c>
      <c r="S1120" s="494" t="s">
        <v>1611</v>
      </c>
      <c r="T1120" s="494">
        <v>6</v>
      </c>
      <c r="U1120" s="556" t="str">
        <f t="shared" ca="1" si="186"/>
        <v/>
      </c>
      <c r="V1120" s="494">
        <v>7</v>
      </c>
      <c r="W1120" s="556" t="str">
        <f t="shared" ca="1" si="187"/>
        <v/>
      </c>
      <c r="X1120" s="494" t="s">
        <v>198</v>
      </c>
      <c r="Y1120" s="547" t="str">
        <f t="shared" ca="1" si="191"/>
        <v/>
      </c>
      <c r="Z1120" s="494" t="s">
        <v>1612</v>
      </c>
      <c r="AA1120" s="547" t="str">
        <f t="shared" ca="1" si="192"/>
        <v/>
      </c>
      <c r="AB1120" s="494" t="s">
        <v>1613</v>
      </c>
      <c r="AC1120" s="547" t="str">
        <f t="shared" ca="1" si="193"/>
        <v/>
      </c>
      <c r="AD1120" s="557"/>
      <c r="AE1120" s="958"/>
    </row>
    <row r="1121" spans="1:31" ht="15" customHeight="1">
      <c r="A1121" s="957">
        <v>56</v>
      </c>
      <c r="B1121" s="566" t="s">
        <v>68</v>
      </c>
      <c r="C1121" s="567" t="s">
        <v>1595</v>
      </c>
      <c r="D1121" s="958">
        <v>1</v>
      </c>
      <c r="E1121" s="959" t="s">
        <v>306</v>
      </c>
      <c r="F1121" s="558" t="s">
        <v>1454</v>
      </c>
      <c r="G1121" s="558">
        <v>835</v>
      </c>
      <c r="H1121" s="558">
        <v>9.3000000000000007</v>
      </c>
      <c r="I1121" s="559" t="s">
        <v>316</v>
      </c>
      <c r="J1121" s="567" t="s">
        <v>1606</v>
      </c>
      <c r="K1121" s="961" t="s">
        <v>1607</v>
      </c>
      <c r="L1121" s="555" t="str">
        <f t="shared" ca="1" si="188"/>
        <v/>
      </c>
      <c r="M1121" s="494" t="s">
        <v>1608</v>
      </c>
      <c r="N1121" s="555" t="str">
        <f t="shared" ca="1" si="189"/>
        <v/>
      </c>
      <c r="O1121" s="494" t="s">
        <v>1609</v>
      </c>
      <c r="P1121" s="555" t="str">
        <f t="shared" ca="1" si="190"/>
        <v/>
      </c>
      <c r="Q1121" s="494" t="s">
        <v>1610</v>
      </c>
      <c r="R1121" s="494" t="str">
        <f t="shared" si="194"/>
        <v>H1121</v>
      </c>
      <c r="S1121" s="494" t="s">
        <v>1611</v>
      </c>
      <c r="T1121" s="494">
        <v>6</v>
      </c>
      <c r="U1121" s="556" t="str">
        <f t="shared" ca="1" si="186"/>
        <v/>
      </c>
      <c r="V1121" s="494">
        <v>7</v>
      </c>
      <c r="W1121" s="556" t="str">
        <f t="shared" ca="1" si="187"/>
        <v/>
      </c>
      <c r="X1121" s="494" t="s">
        <v>198</v>
      </c>
      <c r="Y1121" s="547" t="str">
        <f t="shared" ca="1" si="191"/>
        <v/>
      </c>
      <c r="Z1121" s="494" t="s">
        <v>1612</v>
      </c>
      <c r="AA1121" s="547" t="str">
        <f t="shared" ca="1" si="192"/>
        <v/>
      </c>
      <c r="AB1121" s="494" t="s">
        <v>1613</v>
      </c>
      <c r="AC1121" s="547" t="str">
        <f t="shared" ca="1" si="193"/>
        <v/>
      </c>
      <c r="AD1121" s="557"/>
      <c r="AE1121" s="958"/>
    </row>
    <row r="1122" spans="1:31" ht="15" customHeight="1">
      <c r="A1122" s="957">
        <v>56</v>
      </c>
      <c r="B1122" s="566" t="s">
        <v>68</v>
      </c>
      <c r="C1122" s="567" t="s">
        <v>1595</v>
      </c>
      <c r="D1122" s="958">
        <v>1</v>
      </c>
      <c r="E1122" s="959" t="s">
        <v>306</v>
      </c>
      <c r="F1122" s="558" t="s">
        <v>1454</v>
      </c>
      <c r="G1122" s="558">
        <v>836</v>
      </c>
      <c r="H1122" s="558">
        <v>10</v>
      </c>
      <c r="I1122" s="559" t="s">
        <v>319</v>
      </c>
      <c r="J1122" s="567" t="s">
        <v>1606</v>
      </c>
      <c r="K1122" s="961" t="s">
        <v>1607</v>
      </c>
      <c r="L1122" s="555" t="str">
        <f t="shared" ca="1" si="188"/>
        <v/>
      </c>
      <c r="M1122" s="494" t="s">
        <v>1608</v>
      </c>
      <c r="N1122" s="555" t="str">
        <f t="shared" ca="1" si="189"/>
        <v/>
      </c>
      <c r="O1122" s="494" t="s">
        <v>1609</v>
      </c>
      <c r="P1122" s="555" t="str">
        <f t="shared" ca="1" si="190"/>
        <v/>
      </c>
      <c r="Q1122" s="494" t="s">
        <v>1610</v>
      </c>
      <c r="R1122" s="494" t="str">
        <f t="shared" si="194"/>
        <v>H1122</v>
      </c>
      <c r="S1122" s="494" t="s">
        <v>1611</v>
      </c>
      <c r="T1122" s="494">
        <v>6</v>
      </c>
      <c r="U1122" s="556" t="str">
        <f t="shared" ca="1" si="186"/>
        <v/>
      </c>
      <c r="V1122" s="494">
        <v>7</v>
      </c>
      <c r="W1122" s="556" t="str">
        <f t="shared" ca="1" si="187"/>
        <v/>
      </c>
      <c r="X1122" s="494" t="s">
        <v>198</v>
      </c>
      <c r="Y1122" s="547" t="str">
        <f t="shared" ca="1" si="191"/>
        <v/>
      </c>
      <c r="Z1122" s="494" t="s">
        <v>1612</v>
      </c>
      <c r="AA1122" s="547" t="str">
        <f t="shared" ca="1" si="192"/>
        <v/>
      </c>
      <c r="AB1122" s="494" t="s">
        <v>1613</v>
      </c>
      <c r="AC1122" s="547" t="str">
        <f t="shared" ca="1" si="193"/>
        <v/>
      </c>
      <c r="AD1122" s="557"/>
      <c r="AE1122" s="958"/>
    </row>
    <row r="1123" spans="1:31" ht="15" customHeight="1">
      <c r="A1123" s="957">
        <v>56</v>
      </c>
      <c r="B1123" s="566" t="s">
        <v>68</v>
      </c>
      <c r="C1123" s="567" t="s">
        <v>1595</v>
      </c>
      <c r="D1123" s="958">
        <v>1</v>
      </c>
      <c r="E1123" s="959" t="s">
        <v>306</v>
      </c>
      <c r="F1123" s="558" t="s">
        <v>1454</v>
      </c>
      <c r="G1123" s="558">
        <v>837</v>
      </c>
      <c r="H1123" s="558">
        <v>10.1</v>
      </c>
      <c r="I1123" s="559" t="s">
        <v>320</v>
      </c>
      <c r="J1123" s="567" t="s">
        <v>1606</v>
      </c>
      <c r="K1123" s="961" t="s">
        <v>1607</v>
      </c>
      <c r="L1123" s="555" t="str">
        <f t="shared" ca="1" si="188"/>
        <v/>
      </c>
      <c r="M1123" s="494" t="s">
        <v>1608</v>
      </c>
      <c r="N1123" s="555" t="str">
        <f t="shared" ca="1" si="189"/>
        <v/>
      </c>
      <c r="O1123" s="494" t="s">
        <v>1609</v>
      </c>
      <c r="P1123" s="555" t="str">
        <f t="shared" ca="1" si="190"/>
        <v/>
      </c>
      <c r="Q1123" s="494" t="s">
        <v>1610</v>
      </c>
      <c r="R1123" s="494" t="str">
        <f t="shared" si="194"/>
        <v>H1123</v>
      </c>
      <c r="S1123" s="494" t="s">
        <v>1611</v>
      </c>
      <c r="T1123" s="494">
        <v>6</v>
      </c>
      <c r="U1123" s="556" t="str">
        <f t="shared" ca="1" si="186"/>
        <v/>
      </c>
      <c r="V1123" s="494">
        <v>7</v>
      </c>
      <c r="W1123" s="556" t="str">
        <f t="shared" ca="1" si="187"/>
        <v/>
      </c>
      <c r="X1123" s="494" t="s">
        <v>198</v>
      </c>
      <c r="Y1123" s="547" t="str">
        <f t="shared" ca="1" si="191"/>
        <v/>
      </c>
      <c r="Z1123" s="494" t="s">
        <v>1612</v>
      </c>
      <c r="AA1123" s="547" t="str">
        <f t="shared" ca="1" si="192"/>
        <v/>
      </c>
      <c r="AB1123" s="494" t="s">
        <v>1613</v>
      </c>
      <c r="AC1123" s="547" t="str">
        <f t="shared" ca="1" si="193"/>
        <v/>
      </c>
      <c r="AD1123" s="557"/>
      <c r="AE1123" s="958"/>
    </row>
    <row r="1124" spans="1:31" ht="15" customHeight="1">
      <c r="A1124" s="957">
        <v>56</v>
      </c>
      <c r="B1124" s="566" t="s">
        <v>68</v>
      </c>
      <c r="C1124" s="567" t="s">
        <v>1595</v>
      </c>
      <c r="D1124" s="958">
        <v>1</v>
      </c>
      <c r="E1124" s="959" t="s">
        <v>306</v>
      </c>
      <c r="F1124" s="558" t="s">
        <v>1454</v>
      </c>
      <c r="G1124" s="558">
        <v>838</v>
      </c>
      <c r="H1124" s="558">
        <v>10.199999999999999</v>
      </c>
      <c r="I1124" s="559" t="s">
        <v>321</v>
      </c>
      <c r="J1124" s="567" t="s">
        <v>1606</v>
      </c>
      <c r="K1124" s="961" t="s">
        <v>1607</v>
      </c>
      <c r="L1124" s="555" t="str">
        <f t="shared" ca="1" si="188"/>
        <v/>
      </c>
      <c r="M1124" s="494" t="s">
        <v>1608</v>
      </c>
      <c r="N1124" s="555" t="str">
        <f t="shared" ca="1" si="189"/>
        <v/>
      </c>
      <c r="O1124" s="494" t="s">
        <v>1609</v>
      </c>
      <c r="P1124" s="555" t="str">
        <f t="shared" ca="1" si="190"/>
        <v/>
      </c>
      <c r="Q1124" s="494" t="s">
        <v>1610</v>
      </c>
      <c r="R1124" s="494" t="str">
        <f t="shared" si="194"/>
        <v>H1124</v>
      </c>
      <c r="S1124" s="494" t="s">
        <v>1611</v>
      </c>
      <c r="T1124" s="494">
        <v>6</v>
      </c>
      <c r="U1124" s="556" t="str">
        <f t="shared" ca="1" si="186"/>
        <v/>
      </c>
      <c r="V1124" s="494">
        <v>7</v>
      </c>
      <c r="W1124" s="556" t="str">
        <f t="shared" ca="1" si="187"/>
        <v/>
      </c>
      <c r="X1124" s="494" t="s">
        <v>198</v>
      </c>
      <c r="Y1124" s="547" t="str">
        <f t="shared" ca="1" si="191"/>
        <v/>
      </c>
      <c r="Z1124" s="494" t="s">
        <v>1612</v>
      </c>
      <c r="AA1124" s="547" t="str">
        <f t="shared" ca="1" si="192"/>
        <v/>
      </c>
      <c r="AB1124" s="494" t="s">
        <v>1613</v>
      </c>
      <c r="AC1124" s="547" t="str">
        <f t="shared" ca="1" si="193"/>
        <v/>
      </c>
      <c r="AD1124" s="557"/>
      <c r="AE1124" s="958"/>
    </row>
    <row r="1125" spans="1:31" ht="15" customHeight="1">
      <c r="A1125" s="957">
        <v>56</v>
      </c>
      <c r="B1125" s="566" t="s">
        <v>68</v>
      </c>
      <c r="C1125" s="567" t="s">
        <v>1595</v>
      </c>
      <c r="D1125" s="958">
        <v>1</v>
      </c>
      <c r="E1125" s="959" t="s">
        <v>306</v>
      </c>
      <c r="F1125" s="558" t="s">
        <v>1454</v>
      </c>
      <c r="G1125" s="558">
        <v>839</v>
      </c>
      <c r="H1125" s="558">
        <v>10.3</v>
      </c>
      <c r="I1125" s="559" t="s">
        <v>322</v>
      </c>
      <c r="J1125" s="567" t="s">
        <v>1606</v>
      </c>
      <c r="K1125" s="961" t="s">
        <v>1607</v>
      </c>
      <c r="L1125" s="555" t="str">
        <f t="shared" ca="1" si="188"/>
        <v/>
      </c>
      <c r="M1125" s="494" t="s">
        <v>1608</v>
      </c>
      <c r="N1125" s="555" t="str">
        <f t="shared" ca="1" si="189"/>
        <v/>
      </c>
      <c r="O1125" s="494" t="s">
        <v>1609</v>
      </c>
      <c r="P1125" s="555" t="str">
        <f t="shared" ca="1" si="190"/>
        <v/>
      </c>
      <c r="Q1125" s="494" t="s">
        <v>1610</v>
      </c>
      <c r="R1125" s="494" t="str">
        <f t="shared" si="194"/>
        <v>H1125</v>
      </c>
      <c r="S1125" s="494" t="s">
        <v>1611</v>
      </c>
      <c r="T1125" s="494">
        <v>6</v>
      </c>
      <c r="U1125" s="556" t="str">
        <f t="shared" ca="1" si="186"/>
        <v/>
      </c>
      <c r="V1125" s="494">
        <v>7</v>
      </c>
      <c r="W1125" s="556" t="str">
        <f t="shared" ca="1" si="187"/>
        <v/>
      </c>
      <c r="X1125" s="494" t="s">
        <v>198</v>
      </c>
      <c r="Y1125" s="547" t="str">
        <f t="shared" ca="1" si="191"/>
        <v/>
      </c>
      <c r="Z1125" s="494" t="s">
        <v>1612</v>
      </c>
      <c r="AA1125" s="547" t="str">
        <f t="shared" ca="1" si="192"/>
        <v/>
      </c>
      <c r="AB1125" s="494" t="s">
        <v>1613</v>
      </c>
      <c r="AC1125" s="547" t="str">
        <f t="shared" ca="1" si="193"/>
        <v/>
      </c>
      <c r="AD1125" s="557"/>
      <c r="AE1125" s="958"/>
    </row>
    <row r="1126" spans="1:31" ht="15" customHeight="1">
      <c r="A1126" s="957">
        <v>56</v>
      </c>
      <c r="B1126" s="566" t="s">
        <v>68</v>
      </c>
      <c r="C1126" s="567" t="s">
        <v>1595</v>
      </c>
      <c r="D1126" s="958">
        <v>1</v>
      </c>
      <c r="E1126" s="959" t="s">
        <v>306</v>
      </c>
      <c r="F1126" s="558" t="s">
        <v>1454</v>
      </c>
      <c r="G1126" s="558">
        <v>840</v>
      </c>
      <c r="H1126" s="558">
        <v>11</v>
      </c>
      <c r="I1126" s="559" t="s">
        <v>325</v>
      </c>
      <c r="J1126" s="567" t="s">
        <v>1606</v>
      </c>
      <c r="K1126" s="961" t="s">
        <v>1607</v>
      </c>
      <c r="L1126" s="555" t="str">
        <f t="shared" ca="1" si="188"/>
        <v/>
      </c>
      <c r="M1126" s="494" t="s">
        <v>1608</v>
      </c>
      <c r="N1126" s="555" t="str">
        <f t="shared" ca="1" si="189"/>
        <v/>
      </c>
      <c r="O1126" s="494" t="s">
        <v>1609</v>
      </c>
      <c r="P1126" s="555" t="str">
        <f t="shared" ca="1" si="190"/>
        <v/>
      </c>
      <c r="Q1126" s="494" t="s">
        <v>1610</v>
      </c>
      <c r="R1126" s="494" t="str">
        <f t="shared" si="194"/>
        <v>H1126</v>
      </c>
      <c r="S1126" s="494" t="s">
        <v>1611</v>
      </c>
      <c r="T1126" s="494">
        <v>6</v>
      </c>
      <c r="U1126" s="556" t="str">
        <f t="shared" ca="1" si="186"/>
        <v/>
      </c>
      <c r="V1126" s="494">
        <v>7</v>
      </c>
      <c r="W1126" s="556" t="str">
        <f t="shared" ca="1" si="187"/>
        <v/>
      </c>
      <c r="X1126" s="494" t="s">
        <v>198</v>
      </c>
      <c r="Y1126" s="547" t="str">
        <f t="shared" ca="1" si="191"/>
        <v/>
      </c>
      <c r="Z1126" s="494" t="s">
        <v>1612</v>
      </c>
      <c r="AA1126" s="547" t="str">
        <f t="shared" ca="1" si="192"/>
        <v/>
      </c>
      <c r="AB1126" s="494" t="s">
        <v>1613</v>
      </c>
      <c r="AC1126" s="547" t="str">
        <f t="shared" ca="1" si="193"/>
        <v/>
      </c>
      <c r="AD1126" s="557"/>
      <c r="AE1126" s="958"/>
    </row>
    <row r="1127" spans="1:31" ht="15" customHeight="1">
      <c r="A1127" s="957">
        <v>56</v>
      </c>
      <c r="B1127" s="566" t="s">
        <v>68</v>
      </c>
      <c r="C1127" s="567" t="s">
        <v>1595</v>
      </c>
      <c r="D1127" s="958">
        <v>1</v>
      </c>
      <c r="E1127" s="959" t="s">
        <v>306</v>
      </c>
      <c r="F1127" s="558" t="s">
        <v>1454</v>
      </c>
      <c r="G1127" s="558">
        <v>841</v>
      </c>
      <c r="H1127" s="558">
        <v>11.1</v>
      </c>
      <c r="I1127" s="559" t="s">
        <v>326</v>
      </c>
      <c r="J1127" s="567" t="s">
        <v>1606</v>
      </c>
      <c r="K1127" s="961" t="s">
        <v>1607</v>
      </c>
      <c r="L1127" s="555" t="str">
        <f t="shared" ca="1" si="188"/>
        <v/>
      </c>
      <c r="M1127" s="494" t="s">
        <v>1608</v>
      </c>
      <c r="N1127" s="555" t="str">
        <f t="shared" ca="1" si="189"/>
        <v/>
      </c>
      <c r="O1127" s="494" t="s">
        <v>1609</v>
      </c>
      <c r="P1127" s="555" t="str">
        <f t="shared" ca="1" si="190"/>
        <v/>
      </c>
      <c r="Q1127" s="494" t="s">
        <v>1610</v>
      </c>
      <c r="R1127" s="494" t="str">
        <f t="shared" si="194"/>
        <v>H1127</v>
      </c>
      <c r="S1127" s="494" t="s">
        <v>1611</v>
      </c>
      <c r="T1127" s="494">
        <v>6</v>
      </c>
      <c r="U1127" s="556" t="str">
        <f t="shared" ca="1" si="186"/>
        <v/>
      </c>
      <c r="V1127" s="494">
        <v>7</v>
      </c>
      <c r="W1127" s="556" t="str">
        <f t="shared" ca="1" si="187"/>
        <v/>
      </c>
      <c r="X1127" s="494" t="s">
        <v>198</v>
      </c>
      <c r="Y1127" s="547" t="str">
        <f t="shared" ca="1" si="191"/>
        <v/>
      </c>
      <c r="Z1127" s="494" t="s">
        <v>1612</v>
      </c>
      <c r="AA1127" s="547" t="str">
        <f t="shared" ca="1" si="192"/>
        <v/>
      </c>
      <c r="AB1127" s="494" t="s">
        <v>1613</v>
      </c>
      <c r="AC1127" s="547" t="str">
        <f t="shared" ca="1" si="193"/>
        <v/>
      </c>
      <c r="AD1127" s="557"/>
      <c r="AE1127" s="958"/>
    </row>
    <row r="1128" spans="1:31" ht="15" customHeight="1">
      <c r="A1128" s="957">
        <v>56</v>
      </c>
      <c r="B1128" s="566" t="s">
        <v>68</v>
      </c>
      <c r="C1128" s="567" t="s">
        <v>1595</v>
      </c>
      <c r="D1128" s="958">
        <v>1</v>
      </c>
      <c r="E1128" s="959" t="s">
        <v>306</v>
      </c>
      <c r="F1128" s="558" t="s">
        <v>1454</v>
      </c>
      <c r="G1128" s="558">
        <v>842</v>
      </c>
      <c r="H1128" s="558">
        <v>11.2</v>
      </c>
      <c r="I1128" s="559" t="s">
        <v>327</v>
      </c>
      <c r="J1128" s="567" t="s">
        <v>1606</v>
      </c>
      <c r="K1128" s="961" t="s">
        <v>1607</v>
      </c>
      <c r="L1128" s="555" t="str">
        <f t="shared" ca="1" si="188"/>
        <v/>
      </c>
      <c r="M1128" s="494" t="s">
        <v>1608</v>
      </c>
      <c r="N1128" s="555" t="str">
        <f t="shared" ca="1" si="189"/>
        <v/>
      </c>
      <c r="O1128" s="494" t="s">
        <v>1609</v>
      </c>
      <c r="P1128" s="555" t="str">
        <f t="shared" ca="1" si="190"/>
        <v/>
      </c>
      <c r="Q1128" s="494" t="s">
        <v>1610</v>
      </c>
      <c r="R1128" s="494" t="str">
        <f t="shared" si="194"/>
        <v>H1128</v>
      </c>
      <c r="S1128" s="494" t="s">
        <v>1611</v>
      </c>
      <c r="T1128" s="494">
        <v>6</v>
      </c>
      <c r="U1128" s="556" t="str">
        <f t="shared" ca="1" si="186"/>
        <v/>
      </c>
      <c r="V1128" s="494">
        <v>7</v>
      </c>
      <c r="W1128" s="556" t="str">
        <f t="shared" ca="1" si="187"/>
        <v/>
      </c>
      <c r="X1128" s="494" t="s">
        <v>198</v>
      </c>
      <c r="Y1128" s="547" t="str">
        <f t="shared" ca="1" si="191"/>
        <v/>
      </c>
      <c r="Z1128" s="494" t="s">
        <v>1612</v>
      </c>
      <c r="AA1128" s="547" t="str">
        <f t="shared" ca="1" si="192"/>
        <v/>
      </c>
      <c r="AB1128" s="494" t="s">
        <v>1613</v>
      </c>
      <c r="AC1128" s="547" t="str">
        <f t="shared" ca="1" si="193"/>
        <v/>
      </c>
      <c r="AD1128" s="557"/>
      <c r="AE1128" s="958"/>
    </row>
    <row r="1129" spans="1:31" ht="15" customHeight="1">
      <c r="A1129" s="957">
        <v>56</v>
      </c>
      <c r="B1129" s="566" t="s">
        <v>68</v>
      </c>
      <c r="C1129" s="567" t="s">
        <v>1595</v>
      </c>
      <c r="D1129" s="958">
        <v>1</v>
      </c>
      <c r="E1129" s="959" t="s">
        <v>306</v>
      </c>
      <c r="F1129" s="558" t="s">
        <v>1454</v>
      </c>
      <c r="G1129" s="558">
        <v>843</v>
      </c>
      <c r="H1129" s="558">
        <v>12.1</v>
      </c>
      <c r="I1129" s="559" t="s">
        <v>330</v>
      </c>
      <c r="J1129" s="567" t="s">
        <v>1606</v>
      </c>
      <c r="K1129" s="961" t="s">
        <v>1607</v>
      </c>
      <c r="L1129" s="555" t="str">
        <f t="shared" ca="1" si="188"/>
        <v/>
      </c>
      <c r="M1129" s="494" t="s">
        <v>1608</v>
      </c>
      <c r="N1129" s="555" t="str">
        <f t="shared" ca="1" si="189"/>
        <v/>
      </c>
      <c r="O1129" s="494" t="s">
        <v>1609</v>
      </c>
      <c r="P1129" s="555" t="str">
        <f t="shared" ca="1" si="190"/>
        <v/>
      </c>
      <c r="Q1129" s="494" t="s">
        <v>1610</v>
      </c>
      <c r="R1129" s="494" t="str">
        <f t="shared" si="194"/>
        <v>H1129</v>
      </c>
      <c r="S1129" s="494" t="s">
        <v>1611</v>
      </c>
      <c r="T1129" s="494">
        <v>6</v>
      </c>
      <c r="U1129" s="556" t="str">
        <f t="shared" ca="1" si="186"/>
        <v/>
      </c>
      <c r="V1129" s="494">
        <v>7</v>
      </c>
      <c r="W1129" s="556" t="str">
        <f t="shared" ca="1" si="187"/>
        <v/>
      </c>
      <c r="X1129" s="494" t="s">
        <v>198</v>
      </c>
      <c r="Y1129" s="547" t="str">
        <f t="shared" ca="1" si="191"/>
        <v/>
      </c>
      <c r="Z1129" s="494" t="s">
        <v>1612</v>
      </c>
      <c r="AA1129" s="547" t="str">
        <f t="shared" ca="1" si="192"/>
        <v/>
      </c>
      <c r="AB1129" s="494" t="s">
        <v>1613</v>
      </c>
      <c r="AC1129" s="547" t="str">
        <f t="shared" ca="1" si="193"/>
        <v/>
      </c>
      <c r="AD1129" s="557"/>
      <c r="AE1129" s="958"/>
    </row>
    <row r="1130" spans="1:31" ht="15" customHeight="1">
      <c r="A1130" s="957">
        <v>56</v>
      </c>
      <c r="B1130" s="566" t="s">
        <v>68</v>
      </c>
      <c r="C1130" s="567" t="s">
        <v>1595</v>
      </c>
      <c r="D1130" s="958">
        <v>1</v>
      </c>
      <c r="E1130" s="959" t="s">
        <v>306</v>
      </c>
      <c r="F1130" s="558" t="s">
        <v>1454</v>
      </c>
      <c r="G1130" s="558">
        <v>844</v>
      </c>
      <c r="H1130" s="558">
        <v>12.2</v>
      </c>
      <c r="I1130" s="559" t="s">
        <v>331</v>
      </c>
      <c r="J1130" s="567" t="s">
        <v>1606</v>
      </c>
      <c r="K1130" s="961" t="s">
        <v>1607</v>
      </c>
      <c r="L1130" s="555" t="str">
        <f t="shared" ca="1" si="188"/>
        <v/>
      </c>
      <c r="M1130" s="494" t="s">
        <v>1608</v>
      </c>
      <c r="N1130" s="555" t="str">
        <f t="shared" ca="1" si="189"/>
        <v/>
      </c>
      <c r="O1130" s="494" t="s">
        <v>1609</v>
      </c>
      <c r="P1130" s="555" t="str">
        <f t="shared" ca="1" si="190"/>
        <v/>
      </c>
      <c r="Q1130" s="494" t="s">
        <v>1610</v>
      </c>
      <c r="R1130" s="494" t="str">
        <f t="shared" si="194"/>
        <v>H1130</v>
      </c>
      <c r="S1130" s="494" t="s">
        <v>1611</v>
      </c>
      <c r="T1130" s="494">
        <v>6</v>
      </c>
      <c r="U1130" s="556" t="str">
        <f t="shared" ca="1" si="186"/>
        <v/>
      </c>
      <c r="V1130" s="494">
        <v>7</v>
      </c>
      <c r="W1130" s="556" t="str">
        <f t="shared" ca="1" si="187"/>
        <v/>
      </c>
      <c r="X1130" s="494" t="s">
        <v>198</v>
      </c>
      <c r="Y1130" s="547" t="str">
        <f t="shared" ca="1" si="191"/>
        <v/>
      </c>
      <c r="Z1130" s="494" t="s">
        <v>1612</v>
      </c>
      <c r="AA1130" s="547" t="str">
        <f t="shared" ca="1" si="192"/>
        <v/>
      </c>
      <c r="AB1130" s="494" t="s">
        <v>1613</v>
      </c>
      <c r="AC1130" s="547" t="str">
        <f t="shared" ca="1" si="193"/>
        <v/>
      </c>
      <c r="AD1130" s="557"/>
      <c r="AE1130" s="958"/>
    </row>
    <row r="1131" spans="1:31" ht="15" customHeight="1">
      <c r="A1131" s="957">
        <v>56</v>
      </c>
      <c r="B1131" s="566" t="s">
        <v>68</v>
      </c>
      <c r="C1131" s="567" t="s">
        <v>1595</v>
      </c>
      <c r="D1131" s="958">
        <v>1</v>
      </c>
      <c r="E1131" s="959" t="s">
        <v>306</v>
      </c>
      <c r="F1131" s="558" t="s">
        <v>1454</v>
      </c>
      <c r="G1131" s="558">
        <v>845</v>
      </c>
      <c r="H1131" s="558">
        <v>12.3</v>
      </c>
      <c r="I1131" s="559" t="s">
        <v>556</v>
      </c>
      <c r="J1131" s="567" t="s">
        <v>1606</v>
      </c>
      <c r="K1131" s="961" t="s">
        <v>1607</v>
      </c>
      <c r="L1131" s="555" t="str">
        <f t="shared" ca="1" si="188"/>
        <v/>
      </c>
      <c r="M1131" s="494" t="s">
        <v>1608</v>
      </c>
      <c r="N1131" s="555" t="str">
        <f t="shared" ca="1" si="189"/>
        <v/>
      </c>
      <c r="O1131" s="494" t="s">
        <v>1609</v>
      </c>
      <c r="P1131" s="555" t="str">
        <f t="shared" ca="1" si="190"/>
        <v/>
      </c>
      <c r="Q1131" s="494" t="s">
        <v>1610</v>
      </c>
      <c r="R1131" s="494" t="str">
        <f t="shared" si="194"/>
        <v>H1131</v>
      </c>
      <c r="S1131" s="494" t="s">
        <v>1611</v>
      </c>
      <c r="T1131" s="494">
        <v>6</v>
      </c>
      <c r="U1131" s="556" t="str">
        <f t="shared" ca="1" si="186"/>
        <v/>
      </c>
      <c r="V1131" s="494">
        <v>7</v>
      </c>
      <c r="W1131" s="556" t="str">
        <f t="shared" ca="1" si="187"/>
        <v/>
      </c>
      <c r="X1131" s="494" t="s">
        <v>198</v>
      </c>
      <c r="Y1131" s="547" t="str">
        <f t="shared" ca="1" si="191"/>
        <v/>
      </c>
      <c r="Z1131" s="494" t="s">
        <v>1612</v>
      </c>
      <c r="AA1131" s="547" t="str">
        <f t="shared" ca="1" si="192"/>
        <v/>
      </c>
      <c r="AB1131" s="494" t="s">
        <v>1613</v>
      </c>
      <c r="AC1131" s="547" t="str">
        <f t="shared" ca="1" si="193"/>
        <v/>
      </c>
      <c r="AD1131" s="557"/>
      <c r="AE1131" s="958"/>
    </row>
    <row r="1132" spans="1:31" ht="15" customHeight="1">
      <c r="A1132" s="957">
        <v>56</v>
      </c>
      <c r="B1132" s="566" t="s">
        <v>68</v>
      </c>
      <c r="C1132" s="567" t="s">
        <v>1595</v>
      </c>
      <c r="D1132" s="958">
        <v>1</v>
      </c>
      <c r="E1132" s="959" t="s">
        <v>306</v>
      </c>
      <c r="F1132" s="558" t="s">
        <v>1454</v>
      </c>
      <c r="G1132" s="558">
        <v>846</v>
      </c>
      <c r="H1132" s="558">
        <v>13.1</v>
      </c>
      <c r="I1132" s="559" t="s">
        <v>332</v>
      </c>
      <c r="J1132" s="567" t="s">
        <v>1606</v>
      </c>
      <c r="K1132" s="961" t="s">
        <v>1607</v>
      </c>
      <c r="L1132" s="555" t="str">
        <f t="shared" ca="1" si="188"/>
        <v/>
      </c>
      <c r="M1132" s="494" t="s">
        <v>1608</v>
      </c>
      <c r="N1132" s="555" t="str">
        <f t="shared" ca="1" si="189"/>
        <v/>
      </c>
      <c r="O1132" s="494" t="s">
        <v>1609</v>
      </c>
      <c r="P1132" s="555" t="str">
        <f t="shared" ca="1" si="190"/>
        <v/>
      </c>
      <c r="Q1132" s="494" t="s">
        <v>1610</v>
      </c>
      <c r="R1132" s="494" t="str">
        <f t="shared" si="194"/>
        <v>H1132</v>
      </c>
      <c r="S1132" s="494" t="s">
        <v>1611</v>
      </c>
      <c r="T1132" s="494">
        <v>6</v>
      </c>
      <c r="U1132" s="556" t="str">
        <f t="shared" ca="1" si="186"/>
        <v/>
      </c>
      <c r="V1132" s="494">
        <v>7</v>
      </c>
      <c r="W1132" s="556" t="str">
        <f t="shared" ca="1" si="187"/>
        <v/>
      </c>
      <c r="X1132" s="494" t="s">
        <v>198</v>
      </c>
      <c r="Y1132" s="547" t="str">
        <f t="shared" ca="1" si="191"/>
        <v/>
      </c>
      <c r="Z1132" s="494" t="s">
        <v>1612</v>
      </c>
      <c r="AA1132" s="547" t="str">
        <f t="shared" ca="1" si="192"/>
        <v/>
      </c>
      <c r="AB1132" s="494" t="s">
        <v>1613</v>
      </c>
      <c r="AC1132" s="547" t="str">
        <f t="shared" ca="1" si="193"/>
        <v/>
      </c>
      <c r="AD1132" s="557"/>
      <c r="AE1132" s="958"/>
    </row>
    <row r="1133" spans="1:31" ht="15" customHeight="1">
      <c r="A1133" s="957">
        <v>56</v>
      </c>
      <c r="B1133" s="566" t="s">
        <v>68</v>
      </c>
      <c r="C1133" s="567" t="s">
        <v>1595</v>
      </c>
      <c r="D1133" s="958">
        <v>1</v>
      </c>
      <c r="E1133" s="959" t="s">
        <v>306</v>
      </c>
      <c r="F1133" s="558" t="s">
        <v>1454</v>
      </c>
      <c r="G1133" s="558">
        <v>847</v>
      </c>
      <c r="H1133" s="558">
        <v>13.2</v>
      </c>
      <c r="I1133" s="559" t="s">
        <v>334</v>
      </c>
      <c r="J1133" s="567" t="s">
        <v>1606</v>
      </c>
      <c r="K1133" s="961" t="s">
        <v>1607</v>
      </c>
      <c r="L1133" s="555" t="str">
        <f t="shared" ca="1" si="188"/>
        <v/>
      </c>
      <c r="M1133" s="494" t="s">
        <v>1608</v>
      </c>
      <c r="N1133" s="555" t="str">
        <f t="shared" ca="1" si="189"/>
        <v/>
      </c>
      <c r="O1133" s="494" t="s">
        <v>1609</v>
      </c>
      <c r="P1133" s="555" t="str">
        <f t="shared" ca="1" si="190"/>
        <v/>
      </c>
      <c r="Q1133" s="494" t="s">
        <v>1610</v>
      </c>
      <c r="R1133" s="494" t="str">
        <f t="shared" si="194"/>
        <v>H1133</v>
      </c>
      <c r="S1133" s="494" t="s">
        <v>1611</v>
      </c>
      <c r="T1133" s="494">
        <v>6</v>
      </c>
      <c r="U1133" s="556" t="str">
        <f t="shared" ca="1" si="186"/>
        <v/>
      </c>
      <c r="V1133" s="494">
        <v>7</v>
      </c>
      <c r="W1133" s="556" t="str">
        <f t="shared" ca="1" si="187"/>
        <v/>
      </c>
      <c r="X1133" s="494" t="s">
        <v>198</v>
      </c>
      <c r="Y1133" s="547" t="str">
        <f t="shared" ca="1" si="191"/>
        <v/>
      </c>
      <c r="Z1133" s="494" t="s">
        <v>1612</v>
      </c>
      <c r="AA1133" s="547" t="str">
        <f t="shared" ca="1" si="192"/>
        <v/>
      </c>
      <c r="AB1133" s="494" t="s">
        <v>1613</v>
      </c>
      <c r="AC1133" s="547" t="str">
        <f t="shared" ca="1" si="193"/>
        <v/>
      </c>
      <c r="AD1133" s="557"/>
      <c r="AE1133" s="958"/>
    </row>
    <row r="1134" spans="1:31" ht="15" customHeight="1">
      <c r="A1134" s="957">
        <v>56</v>
      </c>
      <c r="B1134" s="566" t="s">
        <v>68</v>
      </c>
      <c r="C1134" s="567" t="s">
        <v>1595</v>
      </c>
      <c r="D1134" s="958">
        <v>1</v>
      </c>
      <c r="E1134" s="959" t="s">
        <v>306</v>
      </c>
      <c r="F1134" s="558" t="s">
        <v>1454</v>
      </c>
      <c r="G1134" s="558">
        <v>848</v>
      </c>
      <c r="H1134" s="558" t="s">
        <v>559</v>
      </c>
      <c r="I1134" s="559" t="s">
        <v>560</v>
      </c>
      <c r="J1134" s="567" t="s">
        <v>1606</v>
      </c>
      <c r="K1134" s="961" t="s">
        <v>1607</v>
      </c>
      <c r="L1134" s="555" t="str">
        <f t="shared" ca="1" si="188"/>
        <v/>
      </c>
      <c r="M1134" s="494" t="s">
        <v>1608</v>
      </c>
      <c r="N1134" s="555" t="str">
        <f t="shared" ca="1" si="189"/>
        <v/>
      </c>
      <c r="O1134" s="494" t="s">
        <v>1609</v>
      </c>
      <c r="P1134" s="555" t="str">
        <f t="shared" ca="1" si="190"/>
        <v/>
      </c>
      <c r="Q1134" s="494" t="s">
        <v>1610</v>
      </c>
      <c r="R1134" s="494" t="str">
        <f t="shared" si="194"/>
        <v>H1134</v>
      </c>
      <c r="S1134" s="494" t="s">
        <v>1611</v>
      </c>
      <c r="T1134" s="494">
        <v>6</v>
      </c>
      <c r="U1134" s="556" t="str">
        <f t="shared" ca="1" si="186"/>
        <v/>
      </c>
      <c r="V1134" s="494">
        <v>7</v>
      </c>
      <c r="W1134" s="556" t="str">
        <f t="shared" ca="1" si="187"/>
        <v/>
      </c>
      <c r="X1134" s="494" t="s">
        <v>198</v>
      </c>
      <c r="Y1134" s="547" t="str">
        <f t="shared" ca="1" si="191"/>
        <v/>
      </c>
      <c r="Z1134" s="494" t="s">
        <v>1612</v>
      </c>
      <c r="AA1134" s="547" t="str">
        <f t="shared" ca="1" si="192"/>
        <v/>
      </c>
      <c r="AB1134" s="494" t="s">
        <v>1613</v>
      </c>
      <c r="AC1134" s="547" t="str">
        <f t="shared" ca="1" si="193"/>
        <v/>
      </c>
      <c r="AD1134" s="557"/>
      <c r="AE1134" s="958"/>
    </row>
    <row r="1135" spans="1:31" ht="15" customHeight="1">
      <c r="A1135" s="957">
        <v>56</v>
      </c>
      <c r="B1135" s="566" t="s">
        <v>68</v>
      </c>
      <c r="C1135" s="567" t="s">
        <v>1595</v>
      </c>
      <c r="D1135" s="958">
        <v>1</v>
      </c>
      <c r="E1135" s="959" t="s">
        <v>306</v>
      </c>
      <c r="F1135" s="558" t="s">
        <v>1454</v>
      </c>
      <c r="G1135" s="558">
        <v>848</v>
      </c>
      <c r="H1135" s="558" t="s">
        <v>561</v>
      </c>
      <c r="I1135" s="559" t="s">
        <v>558</v>
      </c>
      <c r="J1135" s="567" t="s">
        <v>1606</v>
      </c>
      <c r="K1135" s="961" t="s">
        <v>1607</v>
      </c>
      <c r="L1135" s="555" t="str">
        <f t="shared" ca="1" si="188"/>
        <v/>
      </c>
      <c r="M1135" s="494" t="s">
        <v>1608</v>
      </c>
      <c r="N1135" s="555" t="str">
        <f t="shared" ca="1" si="189"/>
        <v/>
      </c>
      <c r="O1135" s="494" t="s">
        <v>1609</v>
      </c>
      <c r="P1135" s="555" t="str">
        <f t="shared" ca="1" si="190"/>
        <v/>
      </c>
      <c r="Q1135" s="494" t="s">
        <v>1610</v>
      </c>
      <c r="R1135" s="494" t="str">
        <f t="shared" si="194"/>
        <v>H1135</v>
      </c>
      <c r="S1135" s="494" t="s">
        <v>1611</v>
      </c>
      <c r="T1135" s="494">
        <v>6</v>
      </c>
      <c r="U1135" s="556" t="str">
        <f t="shared" ca="1" si="186"/>
        <v/>
      </c>
      <c r="V1135" s="494">
        <v>7</v>
      </c>
      <c r="W1135" s="556" t="str">
        <f t="shared" ca="1" si="187"/>
        <v/>
      </c>
      <c r="X1135" s="494" t="s">
        <v>198</v>
      </c>
      <c r="Y1135" s="547" t="str">
        <f t="shared" ca="1" si="191"/>
        <v/>
      </c>
      <c r="Z1135" s="494" t="s">
        <v>1612</v>
      </c>
      <c r="AA1135" s="547" t="str">
        <f t="shared" ca="1" si="192"/>
        <v/>
      </c>
      <c r="AB1135" s="494" t="s">
        <v>1613</v>
      </c>
      <c r="AC1135" s="547" t="str">
        <f t="shared" ca="1" si="193"/>
        <v/>
      </c>
      <c r="AD1135" s="557"/>
      <c r="AE1135" s="958"/>
    </row>
    <row r="1136" spans="1:31" ht="15" customHeight="1">
      <c r="A1136" s="957">
        <v>56</v>
      </c>
      <c r="B1136" s="566" t="s">
        <v>68</v>
      </c>
      <c r="C1136" s="567" t="s">
        <v>1595</v>
      </c>
      <c r="D1136" s="958">
        <v>1</v>
      </c>
      <c r="E1136" s="959" t="s">
        <v>306</v>
      </c>
      <c r="F1136" s="558" t="s">
        <v>1454</v>
      </c>
      <c r="G1136" s="558">
        <v>849</v>
      </c>
      <c r="H1136" s="558">
        <v>15</v>
      </c>
      <c r="I1136" s="559" t="s">
        <v>564</v>
      </c>
      <c r="J1136" s="567" t="s">
        <v>1606</v>
      </c>
      <c r="K1136" s="961" t="s">
        <v>1607</v>
      </c>
      <c r="L1136" s="555" t="str">
        <f t="shared" ca="1" si="188"/>
        <v/>
      </c>
      <c r="M1136" s="494" t="s">
        <v>1608</v>
      </c>
      <c r="N1136" s="555" t="str">
        <f t="shared" ca="1" si="189"/>
        <v/>
      </c>
      <c r="O1136" s="494" t="s">
        <v>1609</v>
      </c>
      <c r="P1136" s="555" t="str">
        <f t="shared" ca="1" si="190"/>
        <v/>
      </c>
      <c r="Q1136" s="494" t="s">
        <v>1610</v>
      </c>
      <c r="R1136" s="494" t="str">
        <f t="shared" si="194"/>
        <v>H1136</v>
      </c>
      <c r="S1136" s="494" t="s">
        <v>1611</v>
      </c>
      <c r="T1136" s="494">
        <v>6</v>
      </c>
      <c r="U1136" s="556" t="str">
        <f t="shared" ca="1" si="186"/>
        <v/>
      </c>
      <c r="V1136" s="494">
        <v>7</v>
      </c>
      <c r="W1136" s="556" t="str">
        <f t="shared" ca="1" si="187"/>
        <v/>
      </c>
      <c r="X1136" s="494" t="s">
        <v>198</v>
      </c>
      <c r="Y1136" s="547" t="str">
        <f t="shared" ca="1" si="191"/>
        <v/>
      </c>
      <c r="Z1136" s="494" t="s">
        <v>1612</v>
      </c>
      <c r="AA1136" s="547" t="str">
        <f t="shared" ca="1" si="192"/>
        <v/>
      </c>
      <c r="AB1136" s="494" t="s">
        <v>1613</v>
      </c>
      <c r="AC1136" s="547" t="str">
        <f t="shared" ca="1" si="193"/>
        <v/>
      </c>
      <c r="AD1136" s="557"/>
      <c r="AE1136" s="958"/>
    </row>
    <row r="1137" spans="1:31" ht="15" customHeight="1">
      <c r="A1137" s="957">
        <v>56</v>
      </c>
      <c r="B1137" s="566" t="s">
        <v>68</v>
      </c>
      <c r="C1137" s="567" t="s">
        <v>1595</v>
      </c>
      <c r="D1137" s="958">
        <v>1</v>
      </c>
      <c r="E1137" s="959" t="s">
        <v>335</v>
      </c>
      <c r="F1137" s="558" t="s">
        <v>1455</v>
      </c>
      <c r="G1137" s="558">
        <v>851</v>
      </c>
      <c r="H1137" s="558" t="s">
        <v>617</v>
      </c>
      <c r="I1137" s="559" t="s">
        <v>565</v>
      </c>
      <c r="J1137" s="567" t="s">
        <v>1606</v>
      </c>
      <c r="K1137" s="961" t="s">
        <v>1607</v>
      </c>
      <c r="L1137" s="555" t="str">
        <f t="shared" ca="1" si="188"/>
        <v/>
      </c>
      <c r="M1137" s="494" t="s">
        <v>1608</v>
      </c>
      <c r="N1137" s="555" t="str">
        <f t="shared" ca="1" si="189"/>
        <v/>
      </c>
      <c r="O1137" s="494" t="s">
        <v>1609</v>
      </c>
      <c r="P1137" s="555" t="str">
        <f t="shared" ca="1" si="190"/>
        <v/>
      </c>
      <c r="Q1137" s="494" t="s">
        <v>1610</v>
      </c>
      <c r="R1137" s="494" t="str">
        <f t="shared" si="194"/>
        <v>H1137</v>
      </c>
      <c r="S1137" s="494" t="s">
        <v>1611</v>
      </c>
      <c r="T1137" s="494">
        <v>6</v>
      </c>
      <c r="U1137" s="556" t="str">
        <f t="shared" ca="1" si="186"/>
        <v/>
      </c>
      <c r="V1137" s="494">
        <v>7</v>
      </c>
      <c r="W1137" s="556" t="str">
        <f t="shared" ca="1" si="187"/>
        <v/>
      </c>
      <c r="X1137" s="494" t="s">
        <v>198</v>
      </c>
      <c r="Y1137" s="547" t="str">
        <f t="shared" ca="1" si="191"/>
        <v/>
      </c>
      <c r="Z1137" s="494" t="s">
        <v>1612</v>
      </c>
      <c r="AA1137" s="547" t="str">
        <f t="shared" ca="1" si="192"/>
        <v/>
      </c>
      <c r="AB1137" s="494" t="s">
        <v>1613</v>
      </c>
      <c r="AC1137" s="547" t="str">
        <f t="shared" ca="1" si="193"/>
        <v/>
      </c>
      <c r="AD1137" s="557"/>
      <c r="AE1137" s="958"/>
    </row>
    <row r="1138" spans="1:31" ht="15" customHeight="1">
      <c r="A1138" s="957">
        <v>56</v>
      </c>
      <c r="B1138" s="566" t="s">
        <v>68</v>
      </c>
      <c r="C1138" s="567" t="s">
        <v>1595</v>
      </c>
      <c r="D1138" s="958">
        <v>1</v>
      </c>
      <c r="E1138" s="959" t="s">
        <v>335</v>
      </c>
      <c r="F1138" s="558" t="s">
        <v>1455</v>
      </c>
      <c r="G1138" s="558">
        <v>851</v>
      </c>
      <c r="H1138" s="558" t="s">
        <v>618</v>
      </c>
      <c r="I1138" s="559" t="s">
        <v>619</v>
      </c>
      <c r="J1138" s="567" t="s">
        <v>1606</v>
      </c>
      <c r="K1138" s="961" t="s">
        <v>1607</v>
      </c>
      <c r="L1138" s="555" t="str">
        <f t="shared" ca="1" si="188"/>
        <v/>
      </c>
      <c r="M1138" s="494" t="s">
        <v>1608</v>
      </c>
      <c r="N1138" s="555" t="str">
        <f t="shared" ca="1" si="189"/>
        <v/>
      </c>
      <c r="O1138" s="494" t="s">
        <v>1609</v>
      </c>
      <c r="P1138" s="555" t="str">
        <f t="shared" ca="1" si="190"/>
        <v/>
      </c>
      <c r="Q1138" s="494" t="s">
        <v>1610</v>
      </c>
      <c r="R1138" s="494" t="str">
        <f t="shared" si="194"/>
        <v>H1138</v>
      </c>
      <c r="S1138" s="494" t="s">
        <v>1611</v>
      </c>
      <c r="T1138" s="494">
        <v>6</v>
      </c>
      <c r="U1138" s="556" t="str">
        <f t="shared" ca="1" si="186"/>
        <v/>
      </c>
      <c r="V1138" s="494">
        <v>7</v>
      </c>
      <c r="W1138" s="556" t="str">
        <f t="shared" ca="1" si="187"/>
        <v/>
      </c>
      <c r="X1138" s="494" t="s">
        <v>198</v>
      </c>
      <c r="Y1138" s="547" t="str">
        <f t="shared" ca="1" si="191"/>
        <v/>
      </c>
      <c r="Z1138" s="494" t="s">
        <v>1612</v>
      </c>
      <c r="AA1138" s="547" t="str">
        <f t="shared" ca="1" si="192"/>
        <v/>
      </c>
      <c r="AB1138" s="494" t="s">
        <v>1613</v>
      </c>
      <c r="AC1138" s="547" t="str">
        <f t="shared" ca="1" si="193"/>
        <v/>
      </c>
      <c r="AD1138" s="557"/>
      <c r="AE1138" s="958"/>
    </row>
    <row r="1139" spans="1:31" ht="15" customHeight="1">
      <c r="A1139" s="957">
        <v>56</v>
      </c>
      <c r="B1139" s="566" t="s">
        <v>68</v>
      </c>
      <c r="C1139" s="567" t="s">
        <v>1595</v>
      </c>
      <c r="D1139" s="958">
        <v>1</v>
      </c>
      <c r="E1139" s="959" t="s">
        <v>335</v>
      </c>
      <c r="F1139" s="558" t="s">
        <v>1455</v>
      </c>
      <c r="G1139" s="558">
        <v>851</v>
      </c>
      <c r="H1139" s="558" t="s">
        <v>620</v>
      </c>
      <c r="I1139" s="559" t="s">
        <v>621</v>
      </c>
      <c r="J1139" s="567" t="s">
        <v>1606</v>
      </c>
      <c r="K1139" s="961" t="s">
        <v>1607</v>
      </c>
      <c r="L1139" s="555" t="str">
        <f t="shared" ca="1" si="188"/>
        <v/>
      </c>
      <c r="M1139" s="494" t="s">
        <v>1608</v>
      </c>
      <c r="N1139" s="555" t="str">
        <f t="shared" ca="1" si="189"/>
        <v/>
      </c>
      <c r="O1139" s="494" t="s">
        <v>1609</v>
      </c>
      <c r="P1139" s="555" t="str">
        <f t="shared" ca="1" si="190"/>
        <v/>
      </c>
      <c r="Q1139" s="494" t="s">
        <v>1610</v>
      </c>
      <c r="R1139" s="494" t="str">
        <f t="shared" si="194"/>
        <v>H1139</v>
      </c>
      <c r="S1139" s="494" t="s">
        <v>1611</v>
      </c>
      <c r="T1139" s="494">
        <v>6</v>
      </c>
      <c r="U1139" s="556" t="str">
        <f t="shared" ca="1" si="186"/>
        <v/>
      </c>
      <c r="V1139" s="494">
        <v>7</v>
      </c>
      <c r="W1139" s="556" t="str">
        <f t="shared" ca="1" si="187"/>
        <v/>
      </c>
      <c r="X1139" s="494" t="s">
        <v>198</v>
      </c>
      <c r="Y1139" s="547" t="str">
        <f t="shared" ca="1" si="191"/>
        <v/>
      </c>
      <c r="Z1139" s="494" t="s">
        <v>1612</v>
      </c>
      <c r="AA1139" s="547" t="str">
        <f t="shared" ca="1" si="192"/>
        <v/>
      </c>
      <c r="AB1139" s="494" t="s">
        <v>1613</v>
      </c>
      <c r="AC1139" s="547" t="str">
        <f t="shared" ca="1" si="193"/>
        <v/>
      </c>
      <c r="AD1139" s="557"/>
      <c r="AE1139" s="958"/>
    </row>
    <row r="1140" spans="1:31" ht="15" customHeight="1">
      <c r="A1140" s="957">
        <v>56</v>
      </c>
      <c r="B1140" s="566" t="s">
        <v>68</v>
      </c>
      <c r="C1140" s="567" t="s">
        <v>1595</v>
      </c>
      <c r="D1140" s="958">
        <v>1</v>
      </c>
      <c r="E1140" s="959" t="s">
        <v>335</v>
      </c>
      <c r="F1140" s="558" t="s">
        <v>1455</v>
      </c>
      <c r="G1140" s="558">
        <v>851</v>
      </c>
      <c r="H1140" s="558" t="s">
        <v>623</v>
      </c>
      <c r="I1140" s="559" t="s">
        <v>1465</v>
      </c>
      <c r="J1140" s="567" t="s">
        <v>1606</v>
      </c>
      <c r="K1140" s="961" t="s">
        <v>1607</v>
      </c>
      <c r="L1140" s="555" t="str">
        <f t="shared" ca="1" si="188"/>
        <v/>
      </c>
      <c r="M1140" s="494" t="s">
        <v>1608</v>
      </c>
      <c r="N1140" s="555" t="str">
        <f t="shared" ca="1" si="189"/>
        <v/>
      </c>
      <c r="O1140" s="494" t="s">
        <v>1609</v>
      </c>
      <c r="P1140" s="555" t="str">
        <f t="shared" ca="1" si="190"/>
        <v/>
      </c>
      <c r="Q1140" s="494" t="s">
        <v>1610</v>
      </c>
      <c r="R1140" s="494" t="str">
        <f t="shared" si="194"/>
        <v>H1140</v>
      </c>
      <c r="S1140" s="494" t="s">
        <v>1611</v>
      </c>
      <c r="T1140" s="494">
        <v>6</v>
      </c>
      <c r="U1140" s="556" t="str">
        <f t="shared" ca="1" si="186"/>
        <v/>
      </c>
      <c r="V1140" s="494">
        <v>7</v>
      </c>
      <c r="W1140" s="556" t="str">
        <f t="shared" ca="1" si="187"/>
        <v/>
      </c>
      <c r="X1140" s="494" t="s">
        <v>198</v>
      </c>
      <c r="Y1140" s="547" t="str">
        <f t="shared" ca="1" si="191"/>
        <v/>
      </c>
      <c r="Z1140" s="494" t="s">
        <v>1612</v>
      </c>
      <c r="AA1140" s="547" t="str">
        <f t="shared" ca="1" si="192"/>
        <v/>
      </c>
      <c r="AB1140" s="494" t="s">
        <v>1613</v>
      </c>
      <c r="AC1140" s="547" t="str">
        <f t="shared" ca="1" si="193"/>
        <v/>
      </c>
      <c r="AD1140" s="557"/>
      <c r="AE1140" s="958"/>
    </row>
    <row r="1141" spans="1:31" ht="15" customHeight="1">
      <c r="A1141" s="957">
        <v>56</v>
      </c>
      <c r="B1141" s="566" t="s">
        <v>68</v>
      </c>
      <c r="C1141" s="567" t="s">
        <v>1595</v>
      </c>
      <c r="D1141" s="958">
        <v>1</v>
      </c>
      <c r="E1141" s="959" t="s">
        <v>335</v>
      </c>
      <c r="F1141" s="558" t="s">
        <v>1455</v>
      </c>
      <c r="G1141" s="558">
        <v>851</v>
      </c>
      <c r="H1141" s="558" t="s">
        <v>625</v>
      </c>
      <c r="I1141" s="559" t="s">
        <v>626</v>
      </c>
      <c r="J1141" s="567" t="s">
        <v>1606</v>
      </c>
      <c r="K1141" s="961" t="s">
        <v>1607</v>
      </c>
      <c r="L1141" s="555" t="str">
        <f t="shared" ca="1" si="188"/>
        <v/>
      </c>
      <c r="M1141" s="494" t="s">
        <v>1608</v>
      </c>
      <c r="N1141" s="555" t="str">
        <f t="shared" ca="1" si="189"/>
        <v/>
      </c>
      <c r="O1141" s="494" t="s">
        <v>1609</v>
      </c>
      <c r="P1141" s="555" t="str">
        <f t="shared" ca="1" si="190"/>
        <v/>
      </c>
      <c r="Q1141" s="494" t="s">
        <v>1610</v>
      </c>
      <c r="R1141" s="494" t="str">
        <f t="shared" si="194"/>
        <v>H1141</v>
      </c>
      <c r="S1141" s="494" t="s">
        <v>1611</v>
      </c>
      <c r="T1141" s="494">
        <v>6</v>
      </c>
      <c r="U1141" s="556" t="str">
        <f t="shared" ca="1" si="186"/>
        <v/>
      </c>
      <c r="V1141" s="494">
        <v>7</v>
      </c>
      <c r="W1141" s="556" t="str">
        <f t="shared" ca="1" si="187"/>
        <v/>
      </c>
      <c r="X1141" s="494" t="s">
        <v>198</v>
      </c>
      <c r="Y1141" s="547" t="str">
        <f t="shared" ca="1" si="191"/>
        <v/>
      </c>
      <c r="Z1141" s="494" t="s">
        <v>1612</v>
      </c>
      <c r="AA1141" s="547" t="str">
        <f t="shared" ca="1" si="192"/>
        <v/>
      </c>
      <c r="AB1141" s="494" t="s">
        <v>1613</v>
      </c>
      <c r="AC1141" s="547" t="str">
        <f t="shared" ca="1" si="193"/>
        <v/>
      </c>
      <c r="AD1141" s="557"/>
      <c r="AE1141" s="958"/>
    </row>
    <row r="1142" spans="1:31" ht="15" customHeight="1">
      <c r="A1142" s="957">
        <v>56</v>
      </c>
      <c r="B1142" s="566" t="s">
        <v>68</v>
      </c>
      <c r="C1142" s="567" t="s">
        <v>1595</v>
      </c>
      <c r="D1142" s="958">
        <v>1</v>
      </c>
      <c r="E1142" s="959" t="s">
        <v>335</v>
      </c>
      <c r="F1142" s="558" t="s">
        <v>1455</v>
      </c>
      <c r="G1142" s="558">
        <v>851</v>
      </c>
      <c r="H1142" s="558" t="s">
        <v>627</v>
      </c>
      <c r="I1142" s="559" t="s">
        <v>628</v>
      </c>
      <c r="J1142" s="567" t="s">
        <v>1606</v>
      </c>
      <c r="K1142" s="961" t="s">
        <v>1607</v>
      </c>
      <c r="L1142" s="555" t="str">
        <f t="shared" ca="1" si="188"/>
        <v/>
      </c>
      <c r="M1142" s="494" t="s">
        <v>1608</v>
      </c>
      <c r="N1142" s="555" t="str">
        <f t="shared" ca="1" si="189"/>
        <v/>
      </c>
      <c r="O1142" s="494" t="s">
        <v>1609</v>
      </c>
      <c r="P1142" s="555" t="str">
        <f t="shared" ca="1" si="190"/>
        <v/>
      </c>
      <c r="Q1142" s="494" t="s">
        <v>1610</v>
      </c>
      <c r="R1142" s="494" t="str">
        <f t="shared" si="194"/>
        <v>H1142</v>
      </c>
      <c r="S1142" s="494" t="s">
        <v>1611</v>
      </c>
      <c r="T1142" s="494">
        <v>6</v>
      </c>
      <c r="U1142" s="556" t="str">
        <f t="shared" ca="1" si="186"/>
        <v/>
      </c>
      <c r="V1142" s="494">
        <v>7</v>
      </c>
      <c r="W1142" s="556" t="str">
        <f t="shared" ca="1" si="187"/>
        <v/>
      </c>
      <c r="X1142" s="494" t="s">
        <v>198</v>
      </c>
      <c r="Y1142" s="547" t="str">
        <f t="shared" ca="1" si="191"/>
        <v/>
      </c>
      <c r="Z1142" s="494" t="s">
        <v>1612</v>
      </c>
      <c r="AA1142" s="547" t="str">
        <f t="shared" ca="1" si="192"/>
        <v/>
      </c>
      <c r="AB1142" s="494" t="s">
        <v>1613</v>
      </c>
      <c r="AC1142" s="547" t="str">
        <f t="shared" ca="1" si="193"/>
        <v/>
      </c>
      <c r="AD1142" s="557"/>
      <c r="AE1142" s="958"/>
    </row>
    <row r="1143" spans="1:31" ht="15" customHeight="1">
      <c r="A1143" s="957">
        <v>56</v>
      </c>
      <c r="B1143" s="566" t="s">
        <v>68</v>
      </c>
      <c r="C1143" s="567" t="s">
        <v>1595</v>
      </c>
      <c r="D1143" s="958">
        <v>1</v>
      </c>
      <c r="E1143" s="959" t="s">
        <v>335</v>
      </c>
      <c r="F1143" s="558" t="s">
        <v>1455</v>
      </c>
      <c r="G1143" s="558">
        <v>851</v>
      </c>
      <c r="H1143" s="558" t="s">
        <v>629</v>
      </c>
      <c r="I1143" s="559" t="s">
        <v>67</v>
      </c>
      <c r="J1143" s="567" t="s">
        <v>1606</v>
      </c>
      <c r="K1143" s="961" t="s">
        <v>1607</v>
      </c>
      <c r="L1143" s="555" t="str">
        <f t="shared" ca="1" si="188"/>
        <v/>
      </c>
      <c r="M1143" s="494" t="s">
        <v>1608</v>
      </c>
      <c r="N1143" s="555" t="str">
        <f t="shared" ca="1" si="189"/>
        <v/>
      </c>
      <c r="O1143" s="494" t="s">
        <v>1609</v>
      </c>
      <c r="P1143" s="555" t="str">
        <f t="shared" ca="1" si="190"/>
        <v/>
      </c>
      <c r="Q1143" s="494" t="s">
        <v>1610</v>
      </c>
      <c r="R1143" s="494" t="str">
        <f t="shared" si="194"/>
        <v>H1143</v>
      </c>
      <c r="S1143" s="494" t="s">
        <v>1611</v>
      </c>
      <c r="T1143" s="494">
        <v>6</v>
      </c>
      <c r="U1143" s="556" t="str">
        <f t="shared" ca="1" si="186"/>
        <v/>
      </c>
      <c r="V1143" s="494">
        <v>7</v>
      </c>
      <c r="W1143" s="556" t="str">
        <f t="shared" ca="1" si="187"/>
        <v/>
      </c>
      <c r="X1143" s="494" t="s">
        <v>198</v>
      </c>
      <c r="Y1143" s="547" t="str">
        <f t="shared" ca="1" si="191"/>
        <v/>
      </c>
      <c r="Z1143" s="494" t="s">
        <v>1612</v>
      </c>
      <c r="AA1143" s="547" t="str">
        <f t="shared" ca="1" si="192"/>
        <v/>
      </c>
      <c r="AB1143" s="494" t="s">
        <v>1613</v>
      </c>
      <c r="AC1143" s="547" t="str">
        <f t="shared" ca="1" si="193"/>
        <v/>
      </c>
      <c r="AD1143" s="557"/>
      <c r="AE1143" s="958"/>
    </row>
    <row r="1144" spans="1:31" ht="15" customHeight="1">
      <c r="A1144" s="957">
        <v>56</v>
      </c>
      <c r="B1144" s="566" t="s">
        <v>68</v>
      </c>
      <c r="C1144" s="567" t="s">
        <v>1595</v>
      </c>
      <c r="D1144" s="958">
        <v>1</v>
      </c>
      <c r="E1144" s="959" t="s">
        <v>335</v>
      </c>
      <c r="F1144" s="558" t="s">
        <v>1455</v>
      </c>
      <c r="G1144" s="558">
        <v>851</v>
      </c>
      <c r="H1144" s="558" t="s">
        <v>630</v>
      </c>
      <c r="I1144" s="559" t="s">
        <v>631</v>
      </c>
      <c r="J1144" s="567" t="s">
        <v>1606</v>
      </c>
      <c r="K1144" s="961" t="s">
        <v>1607</v>
      </c>
      <c r="L1144" s="555" t="str">
        <f t="shared" ca="1" si="188"/>
        <v/>
      </c>
      <c r="M1144" s="494" t="s">
        <v>1608</v>
      </c>
      <c r="N1144" s="555" t="str">
        <f t="shared" ca="1" si="189"/>
        <v/>
      </c>
      <c r="O1144" s="494" t="s">
        <v>1609</v>
      </c>
      <c r="P1144" s="555" t="str">
        <f t="shared" ca="1" si="190"/>
        <v/>
      </c>
      <c r="Q1144" s="494" t="s">
        <v>1610</v>
      </c>
      <c r="R1144" s="494" t="str">
        <f t="shared" si="194"/>
        <v>H1144</v>
      </c>
      <c r="S1144" s="494" t="s">
        <v>1611</v>
      </c>
      <c r="T1144" s="494">
        <v>6</v>
      </c>
      <c r="U1144" s="556" t="str">
        <f t="shared" ca="1" si="186"/>
        <v/>
      </c>
      <c r="V1144" s="494">
        <v>7</v>
      </c>
      <c r="W1144" s="556" t="str">
        <f t="shared" ca="1" si="187"/>
        <v/>
      </c>
      <c r="X1144" s="494" t="s">
        <v>198</v>
      </c>
      <c r="Y1144" s="547" t="str">
        <f t="shared" ca="1" si="191"/>
        <v/>
      </c>
      <c r="Z1144" s="494" t="s">
        <v>1612</v>
      </c>
      <c r="AA1144" s="547" t="str">
        <f t="shared" ca="1" si="192"/>
        <v/>
      </c>
      <c r="AB1144" s="494" t="s">
        <v>1613</v>
      </c>
      <c r="AC1144" s="547" t="str">
        <f t="shared" ca="1" si="193"/>
        <v/>
      </c>
      <c r="AD1144" s="557"/>
      <c r="AE1144" s="958"/>
    </row>
    <row r="1145" spans="1:31" ht="15" customHeight="1">
      <c r="A1145" s="957">
        <v>56</v>
      </c>
      <c r="B1145" s="566" t="s">
        <v>68</v>
      </c>
      <c r="C1145" s="567" t="s">
        <v>1595</v>
      </c>
      <c r="D1145" s="958">
        <v>1</v>
      </c>
      <c r="E1145" s="959" t="s">
        <v>335</v>
      </c>
      <c r="F1145" s="558" t="s">
        <v>1455</v>
      </c>
      <c r="G1145" s="558">
        <v>851</v>
      </c>
      <c r="H1145" s="558" t="s">
        <v>632</v>
      </c>
      <c r="I1145" s="559" t="s">
        <v>619</v>
      </c>
      <c r="J1145" s="567" t="s">
        <v>1606</v>
      </c>
      <c r="K1145" s="961" t="s">
        <v>1607</v>
      </c>
      <c r="L1145" s="555" t="str">
        <f t="shared" ca="1" si="188"/>
        <v/>
      </c>
      <c r="M1145" s="494" t="s">
        <v>1608</v>
      </c>
      <c r="N1145" s="555" t="str">
        <f t="shared" ca="1" si="189"/>
        <v/>
      </c>
      <c r="O1145" s="494" t="s">
        <v>1609</v>
      </c>
      <c r="P1145" s="555" t="str">
        <f t="shared" ca="1" si="190"/>
        <v/>
      </c>
      <c r="Q1145" s="494" t="s">
        <v>1610</v>
      </c>
      <c r="R1145" s="494" t="str">
        <f t="shared" si="194"/>
        <v>H1145</v>
      </c>
      <c r="S1145" s="494" t="s">
        <v>1611</v>
      </c>
      <c r="T1145" s="494">
        <v>6</v>
      </c>
      <c r="U1145" s="556" t="str">
        <f t="shared" ca="1" si="186"/>
        <v/>
      </c>
      <c r="V1145" s="494">
        <v>7</v>
      </c>
      <c r="W1145" s="556" t="str">
        <f t="shared" ca="1" si="187"/>
        <v/>
      </c>
      <c r="X1145" s="494" t="s">
        <v>198</v>
      </c>
      <c r="Y1145" s="547" t="str">
        <f t="shared" ca="1" si="191"/>
        <v/>
      </c>
      <c r="Z1145" s="494" t="s">
        <v>1612</v>
      </c>
      <c r="AA1145" s="547" t="str">
        <f t="shared" ca="1" si="192"/>
        <v/>
      </c>
      <c r="AB1145" s="494" t="s">
        <v>1613</v>
      </c>
      <c r="AC1145" s="547" t="str">
        <f t="shared" ca="1" si="193"/>
        <v/>
      </c>
      <c r="AD1145" s="557"/>
      <c r="AE1145" s="958"/>
    </row>
    <row r="1146" spans="1:31" ht="15" customHeight="1">
      <c r="A1146" s="957">
        <v>56</v>
      </c>
      <c r="B1146" s="566" t="s">
        <v>68</v>
      </c>
      <c r="C1146" s="567" t="s">
        <v>1595</v>
      </c>
      <c r="D1146" s="958">
        <v>1</v>
      </c>
      <c r="E1146" s="959" t="s">
        <v>335</v>
      </c>
      <c r="F1146" s="558" t="s">
        <v>1455</v>
      </c>
      <c r="G1146" s="558">
        <v>851</v>
      </c>
      <c r="H1146" s="558" t="s">
        <v>633</v>
      </c>
      <c r="I1146" s="559" t="s">
        <v>621</v>
      </c>
      <c r="J1146" s="567" t="s">
        <v>1606</v>
      </c>
      <c r="K1146" s="961" t="s">
        <v>1607</v>
      </c>
      <c r="L1146" s="555" t="str">
        <f t="shared" ca="1" si="188"/>
        <v/>
      </c>
      <c r="M1146" s="494" t="s">
        <v>1608</v>
      </c>
      <c r="N1146" s="555" t="str">
        <f t="shared" ca="1" si="189"/>
        <v/>
      </c>
      <c r="O1146" s="494" t="s">
        <v>1609</v>
      </c>
      <c r="P1146" s="555" t="str">
        <f t="shared" ca="1" si="190"/>
        <v/>
      </c>
      <c r="Q1146" s="494" t="s">
        <v>1610</v>
      </c>
      <c r="R1146" s="494" t="str">
        <f t="shared" si="194"/>
        <v>H1146</v>
      </c>
      <c r="S1146" s="494" t="s">
        <v>1611</v>
      </c>
      <c r="T1146" s="494">
        <v>6</v>
      </c>
      <c r="U1146" s="556" t="str">
        <f t="shared" ca="1" si="186"/>
        <v/>
      </c>
      <c r="V1146" s="494">
        <v>7</v>
      </c>
      <c r="W1146" s="556" t="str">
        <f t="shared" ca="1" si="187"/>
        <v/>
      </c>
      <c r="X1146" s="494" t="s">
        <v>198</v>
      </c>
      <c r="Y1146" s="547" t="str">
        <f t="shared" ca="1" si="191"/>
        <v/>
      </c>
      <c r="Z1146" s="494" t="s">
        <v>1612</v>
      </c>
      <c r="AA1146" s="547" t="str">
        <f t="shared" ca="1" si="192"/>
        <v/>
      </c>
      <c r="AB1146" s="494" t="s">
        <v>1613</v>
      </c>
      <c r="AC1146" s="547" t="str">
        <f t="shared" ca="1" si="193"/>
        <v/>
      </c>
      <c r="AD1146" s="557"/>
      <c r="AE1146" s="958"/>
    </row>
    <row r="1147" spans="1:31" ht="15" customHeight="1">
      <c r="A1147" s="957">
        <v>56</v>
      </c>
      <c r="B1147" s="566" t="s">
        <v>68</v>
      </c>
      <c r="C1147" s="567" t="s">
        <v>1595</v>
      </c>
      <c r="D1147" s="958">
        <v>1</v>
      </c>
      <c r="E1147" s="959" t="s">
        <v>335</v>
      </c>
      <c r="F1147" s="558" t="s">
        <v>1455</v>
      </c>
      <c r="G1147" s="558">
        <v>851</v>
      </c>
      <c r="H1147" s="558" t="s">
        <v>634</v>
      </c>
      <c r="I1147" s="559" t="s">
        <v>635</v>
      </c>
      <c r="J1147" s="567" t="s">
        <v>1606</v>
      </c>
      <c r="K1147" s="961" t="s">
        <v>1607</v>
      </c>
      <c r="L1147" s="555" t="str">
        <f t="shared" ca="1" si="188"/>
        <v/>
      </c>
      <c r="M1147" s="494" t="s">
        <v>1608</v>
      </c>
      <c r="N1147" s="555" t="str">
        <f t="shared" ca="1" si="189"/>
        <v/>
      </c>
      <c r="O1147" s="494" t="s">
        <v>1609</v>
      </c>
      <c r="P1147" s="555" t="str">
        <f t="shared" ca="1" si="190"/>
        <v/>
      </c>
      <c r="Q1147" s="494" t="s">
        <v>1610</v>
      </c>
      <c r="R1147" s="494" t="str">
        <f t="shared" si="194"/>
        <v>H1147</v>
      </c>
      <c r="S1147" s="494" t="s">
        <v>1611</v>
      </c>
      <c r="T1147" s="494">
        <v>6</v>
      </c>
      <c r="U1147" s="556" t="str">
        <f t="shared" ca="1" si="186"/>
        <v/>
      </c>
      <c r="V1147" s="494">
        <v>7</v>
      </c>
      <c r="W1147" s="556" t="str">
        <f t="shared" ca="1" si="187"/>
        <v/>
      </c>
      <c r="X1147" s="494" t="s">
        <v>198</v>
      </c>
      <c r="Y1147" s="547" t="str">
        <f t="shared" ca="1" si="191"/>
        <v/>
      </c>
      <c r="Z1147" s="494" t="s">
        <v>1612</v>
      </c>
      <c r="AA1147" s="547" t="str">
        <f t="shared" ca="1" si="192"/>
        <v/>
      </c>
      <c r="AB1147" s="494" t="s">
        <v>1613</v>
      </c>
      <c r="AC1147" s="547" t="str">
        <f t="shared" ca="1" si="193"/>
        <v/>
      </c>
      <c r="AD1147" s="557"/>
      <c r="AE1147" s="958"/>
    </row>
    <row r="1148" spans="1:31" ht="15" customHeight="1">
      <c r="A1148" s="957">
        <v>56</v>
      </c>
      <c r="B1148" s="566" t="s">
        <v>68</v>
      </c>
      <c r="C1148" s="567" t="s">
        <v>1595</v>
      </c>
      <c r="D1148" s="958">
        <v>1</v>
      </c>
      <c r="E1148" s="959" t="s">
        <v>335</v>
      </c>
      <c r="F1148" s="558" t="s">
        <v>1455</v>
      </c>
      <c r="G1148" s="558">
        <v>851</v>
      </c>
      <c r="H1148" s="558" t="s">
        <v>636</v>
      </c>
      <c r="I1148" s="559" t="s">
        <v>637</v>
      </c>
      <c r="J1148" s="567" t="s">
        <v>1606</v>
      </c>
      <c r="K1148" s="961" t="s">
        <v>1607</v>
      </c>
      <c r="L1148" s="555" t="str">
        <f t="shared" ca="1" si="188"/>
        <v/>
      </c>
      <c r="M1148" s="494" t="s">
        <v>1608</v>
      </c>
      <c r="N1148" s="555" t="str">
        <f t="shared" ca="1" si="189"/>
        <v/>
      </c>
      <c r="O1148" s="494" t="s">
        <v>1609</v>
      </c>
      <c r="P1148" s="555" t="str">
        <f t="shared" ca="1" si="190"/>
        <v/>
      </c>
      <c r="Q1148" s="494" t="s">
        <v>1610</v>
      </c>
      <c r="R1148" s="494" t="str">
        <f t="shared" si="194"/>
        <v>H1148</v>
      </c>
      <c r="S1148" s="494" t="s">
        <v>1611</v>
      </c>
      <c r="T1148" s="494">
        <v>6</v>
      </c>
      <c r="U1148" s="556" t="str">
        <f t="shared" ca="1" si="186"/>
        <v/>
      </c>
      <c r="V1148" s="494">
        <v>7</v>
      </c>
      <c r="W1148" s="556" t="str">
        <f t="shared" ca="1" si="187"/>
        <v/>
      </c>
      <c r="X1148" s="494" t="s">
        <v>198</v>
      </c>
      <c r="Y1148" s="547" t="str">
        <f t="shared" ca="1" si="191"/>
        <v/>
      </c>
      <c r="Z1148" s="494" t="s">
        <v>1612</v>
      </c>
      <c r="AA1148" s="547" t="str">
        <f t="shared" ca="1" si="192"/>
        <v/>
      </c>
      <c r="AB1148" s="494" t="s">
        <v>1613</v>
      </c>
      <c r="AC1148" s="547" t="str">
        <f t="shared" ca="1" si="193"/>
        <v/>
      </c>
      <c r="AD1148" s="557"/>
      <c r="AE1148" s="958"/>
    </row>
    <row r="1149" spans="1:31" ht="15" customHeight="1">
      <c r="A1149" s="957">
        <v>56</v>
      </c>
      <c r="B1149" s="566" t="s">
        <v>68</v>
      </c>
      <c r="C1149" s="567" t="s">
        <v>1595</v>
      </c>
      <c r="D1149" s="958">
        <v>1</v>
      </c>
      <c r="E1149" s="959" t="s">
        <v>335</v>
      </c>
      <c r="F1149" s="558" t="s">
        <v>1455</v>
      </c>
      <c r="G1149" s="558">
        <v>851</v>
      </c>
      <c r="H1149" s="558" t="s">
        <v>638</v>
      </c>
      <c r="I1149" s="559" t="s">
        <v>67</v>
      </c>
      <c r="J1149" s="567" t="s">
        <v>1606</v>
      </c>
      <c r="K1149" s="961" t="s">
        <v>1607</v>
      </c>
      <c r="L1149" s="555" t="str">
        <f t="shared" ca="1" si="188"/>
        <v/>
      </c>
      <c r="M1149" s="494" t="s">
        <v>1608</v>
      </c>
      <c r="N1149" s="555" t="str">
        <f t="shared" ca="1" si="189"/>
        <v/>
      </c>
      <c r="O1149" s="494" t="s">
        <v>1609</v>
      </c>
      <c r="P1149" s="555" t="str">
        <f t="shared" ca="1" si="190"/>
        <v/>
      </c>
      <c r="Q1149" s="494" t="s">
        <v>1610</v>
      </c>
      <c r="R1149" s="494" t="str">
        <f t="shared" si="194"/>
        <v>H1149</v>
      </c>
      <c r="S1149" s="494" t="s">
        <v>1611</v>
      </c>
      <c r="T1149" s="494">
        <v>6</v>
      </c>
      <c r="U1149" s="556" t="str">
        <f t="shared" ca="1" si="186"/>
        <v/>
      </c>
      <c r="V1149" s="494">
        <v>7</v>
      </c>
      <c r="W1149" s="556" t="str">
        <f t="shared" ca="1" si="187"/>
        <v/>
      </c>
      <c r="X1149" s="494" t="s">
        <v>198</v>
      </c>
      <c r="Y1149" s="547" t="str">
        <f t="shared" ca="1" si="191"/>
        <v/>
      </c>
      <c r="Z1149" s="494" t="s">
        <v>1612</v>
      </c>
      <c r="AA1149" s="547" t="str">
        <f t="shared" ca="1" si="192"/>
        <v/>
      </c>
      <c r="AB1149" s="494" t="s">
        <v>1613</v>
      </c>
      <c r="AC1149" s="547" t="str">
        <f t="shared" ca="1" si="193"/>
        <v/>
      </c>
      <c r="AD1149" s="557"/>
      <c r="AE1149" s="958"/>
    </row>
    <row r="1150" spans="1:31" ht="15" customHeight="1">
      <c r="A1150" s="957">
        <v>56</v>
      </c>
      <c r="B1150" s="566" t="s">
        <v>68</v>
      </c>
      <c r="C1150" s="567" t="s">
        <v>1595</v>
      </c>
      <c r="D1150" s="958">
        <v>1</v>
      </c>
      <c r="E1150" s="959" t="s">
        <v>335</v>
      </c>
      <c r="F1150" s="558" t="s">
        <v>1455</v>
      </c>
      <c r="G1150" s="558">
        <v>851</v>
      </c>
      <c r="H1150" s="558" t="s">
        <v>639</v>
      </c>
      <c r="I1150" s="559" t="s">
        <v>640</v>
      </c>
      <c r="J1150" s="567" t="s">
        <v>1606</v>
      </c>
      <c r="K1150" s="961" t="s">
        <v>1607</v>
      </c>
      <c r="L1150" s="555" t="str">
        <f t="shared" ca="1" si="188"/>
        <v/>
      </c>
      <c r="M1150" s="494" t="s">
        <v>1608</v>
      </c>
      <c r="N1150" s="555" t="str">
        <f t="shared" ca="1" si="189"/>
        <v/>
      </c>
      <c r="O1150" s="494" t="s">
        <v>1609</v>
      </c>
      <c r="P1150" s="555" t="str">
        <f t="shared" ca="1" si="190"/>
        <v/>
      </c>
      <c r="Q1150" s="494" t="s">
        <v>1610</v>
      </c>
      <c r="R1150" s="494" t="str">
        <f t="shared" si="194"/>
        <v>H1150</v>
      </c>
      <c r="S1150" s="494" t="s">
        <v>1611</v>
      </c>
      <c r="T1150" s="494">
        <v>6</v>
      </c>
      <c r="U1150" s="556" t="str">
        <f t="shared" ca="1" si="186"/>
        <v/>
      </c>
      <c r="V1150" s="494">
        <v>7</v>
      </c>
      <c r="W1150" s="556" t="str">
        <f t="shared" ca="1" si="187"/>
        <v/>
      </c>
      <c r="X1150" s="494" t="s">
        <v>198</v>
      </c>
      <c r="Y1150" s="547" t="str">
        <f t="shared" ca="1" si="191"/>
        <v/>
      </c>
      <c r="Z1150" s="494" t="s">
        <v>1612</v>
      </c>
      <c r="AA1150" s="547" t="str">
        <f t="shared" ca="1" si="192"/>
        <v/>
      </c>
      <c r="AB1150" s="494" t="s">
        <v>1613</v>
      </c>
      <c r="AC1150" s="547" t="str">
        <f t="shared" ca="1" si="193"/>
        <v/>
      </c>
      <c r="AD1150" s="557"/>
      <c r="AE1150" s="958"/>
    </row>
    <row r="1151" spans="1:31" ht="15" customHeight="1">
      <c r="A1151" s="957">
        <v>56</v>
      </c>
      <c r="B1151" s="566" t="s">
        <v>68</v>
      </c>
      <c r="C1151" s="567" t="s">
        <v>1595</v>
      </c>
      <c r="D1151" s="958">
        <v>1</v>
      </c>
      <c r="E1151" s="959" t="s">
        <v>335</v>
      </c>
      <c r="F1151" s="558" t="s">
        <v>1455</v>
      </c>
      <c r="G1151" s="558">
        <v>851</v>
      </c>
      <c r="H1151" s="558" t="s">
        <v>641</v>
      </c>
      <c r="I1151" s="559" t="s">
        <v>1479</v>
      </c>
      <c r="J1151" s="567" t="s">
        <v>1606</v>
      </c>
      <c r="K1151" s="961" t="s">
        <v>1607</v>
      </c>
      <c r="L1151" s="555" t="str">
        <f t="shared" ca="1" si="188"/>
        <v/>
      </c>
      <c r="M1151" s="494" t="s">
        <v>1608</v>
      </c>
      <c r="N1151" s="555" t="str">
        <f t="shared" ca="1" si="189"/>
        <v/>
      </c>
      <c r="O1151" s="494" t="s">
        <v>1609</v>
      </c>
      <c r="P1151" s="555" t="str">
        <f t="shared" ca="1" si="190"/>
        <v/>
      </c>
      <c r="Q1151" s="494" t="s">
        <v>1610</v>
      </c>
      <c r="R1151" s="494" t="str">
        <f t="shared" si="194"/>
        <v>H1151</v>
      </c>
      <c r="S1151" s="494" t="s">
        <v>1611</v>
      </c>
      <c r="T1151" s="494">
        <v>6</v>
      </c>
      <c r="U1151" s="556" t="str">
        <f t="shared" ref="U1151:U1214" ca="1" si="195">IF(AND($B1151=INDIRECT(CONCATENATE($J1151,$K1151,5)),ISBLANK(INDEX(INDIRECT(CONCATENATE($J1151,$Q1151)),MATCH(INDIRECT($R1151),INDIRECT(CONCATENATE($J1151,$S1151)),0),T1151))=FALSE),INDEX(INDIRECT(CONCATENATE($J1151,$Q1151)),MATCH(INDIRECT($R1151),INDIRECT(CONCATENATE($J1151,$S1151)),0),T1151),"")</f>
        <v/>
      </c>
      <c r="V1151" s="494">
        <v>7</v>
      </c>
      <c r="W1151" s="556" t="str">
        <f t="shared" ref="W1151:W1214" ca="1" si="196">IF(AND($B1151=INDIRECT(CONCATENATE($J1151,$K1151,5)),ISBLANK(INDEX(INDIRECT(CONCATENATE($J1151,$Q1151)),MATCH(INDIRECT($R1151),INDIRECT(CONCATENATE($J1151,$S1151)),0),V1151))=FALSE),INDEX(INDIRECT(CONCATENATE($J1151,$Q1151)),MATCH(INDIRECT($R1151),INDIRECT(CONCATENATE($J1151,$S1151)),0),V1151),"")</f>
        <v/>
      </c>
      <c r="X1151" s="494" t="s">
        <v>198</v>
      </c>
      <c r="Y1151" s="547" t="str">
        <f t="shared" ca="1" si="191"/>
        <v/>
      </c>
      <c r="Z1151" s="494" t="s">
        <v>1612</v>
      </c>
      <c r="AA1151" s="547" t="str">
        <f t="shared" ca="1" si="192"/>
        <v/>
      </c>
      <c r="AB1151" s="494" t="s">
        <v>1613</v>
      </c>
      <c r="AC1151" s="547" t="str">
        <f t="shared" ca="1" si="193"/>
        <v/>
      </c>
      <c r="AD1151" s="557"/>
      <c r="AE1151" s="958"/>
    </row>
    <row r="1152" spans="1:31" ht="15" customHeight="1">
      <c r="A1152" s="957">
        <v>56</v>
      </c>
      <c r="B1152" s="566" t="s">
        <v>68</v>
      </c>
      <c r="C1152" s="567" t="s">
        <v>1595</v>
      </c>
      <c r="D1152" s="958">
        <v>1</v>
      </c>
      <c r="E1152" s="959" t="s">
        <v>335</v>
      </c>
      <c r="F1152" s="558" t="s">
        <v>1455</v>
      </c>
      <c r="G1152" s="558">
        <v>851</v>
      </c>
      <c r="H1152" s="558" t="s">
        <v>642</v>
      </c>
      <c r="I1152" s="559" t="s">
        <v>1615</v>
      </c>
      <c r="J1152" s="567" t="s">
        <v>1606</v>
      </c>
      <c r="K1152" s="961" t="s">
        <v>1607</v>
      </c>
      <c r="L1152" s="555" t="str">
        <f t="shared" ca="1" si="188"/>
        <v/>
      </c>
      <c r="M1152" s="494" t="s">
        <v>1608</v>
      </c>
      <c r="N1152" s="555" t="str">
        <f t="shared" ca="1" si="189"/>
        <v/>
      </c>
      <c r="O1152" s="494" t="s">
        <v>1609</v>
      </c>
      <c r="P1152" s="555" t="str">
        <f t="shared" ca="1" si="190"/>
        <v/>
      </c>
      <c r="Q1152" s="494" t="s">
        <v>1610</v>
      </c>
      <c r="R1152" s="494" t="str">
        <f t="shared" si="194"/>
        <v>H1152</v>
      </c>
      <c r="S1152" s="494" t="s">
        <v>1611</v>
      </c>
      <c r="T1152" s="494">
        <v>6</v>
      </c>
      <c r="U1152" s="556" t="str">
        <f t="shared" ca="1" si="195"/>
        <v/>
      </c>
      <c r="V1152" s="494">
        <v>7</v>
      </c>
      <c r="W1152" s="556" t="str">
        <f t="shared" ca="1" si="196"/>
        <v/>
      </c>
      <c r="X1152" s="494" t="s">
        <v>198</v>
      </c>
      <c r="Y1152" s="547" t="str">
        <f t="shared" ca="1" si="191"/>
        <v/>
      </c>
      <c r="Z1152" s="494" t="s">
        <v>1612</v>
      </c>
      <c r="AA1152" s="547" t="str">
        <f t="shared" ca="1" si="192"/>
        <v/>
      </c>
      <c r="AB1152" s="494" t="s">
        <v>1613</v>
      </c>
      <c r="AC1152" s="547" t="str">
        <f t="shared" ca="1" si="193"/>
        <v/>
      </c>
      <c r="AD1152" s="557"/>
      <c r="AE1152" s="958"/>
    </row>
    <row r="1153" spans="1:31" ht="15" customHeight="1">
      <c r="A1153" s="957">
        <v>56</v>
      </c>
      <c r="B1153" s="566" t="s">
        <v>68</v>
      </c>
      <c r="C1153" s="567" t="s">
        <v>1595</v>
      </c>
      <c r="D1153" s="958">
        <v>1</v>
      </c>
      <c r="E1153" s="959" t="s">
        <v>335</v>
      </c>
      <c r="F1153" s="558" t="s">
        <v>1455</v>
      </c>
      <c r="G1153" s="558">
        <v>851</v>
      </c>
      <c r="H1153" s="558" t="s">
        <v>643</v>
      </c>
      <c r="I1153" s="559" t="s">
        <v>1616</v>
      </c>
      <c r="J1153" s="567" t="s">
        <v>1606</v>
      </c>
      <c r="K1153" s="961" t="s">
        <v>1607</v>
      </c>
      <c r="L1153" s="555" t="str">
        <f t="shared" ca="1" si="188"/>
        <v/>
      </c>
      <c r="M1153" s="494" t="s">
        <v>1608</v>
      </c>
      <c r="N1153" s="555" t="str">
        <f t="shared" ca="1" si="189"/>
        <v/>
      </c>
      <c r="O1153" s="494" t="s">
        <v>1609</v>
      </c>
      <c r="P1153" s="555" t="str">
        <f t="shared" ca="1" si="190"/>
        <v/>
      </c>
      <c r="Q1153" s="494" t="s">
        <v>1610</v>
      </c>
      <c r="R1153" s="494" t="str">
        <f t="shared" si="194"/>
        <v>H1153</v>
      </c>
      <c r="S1153" s="494" t="s">
        <v>1611</v>
      </c>
      <c r="T1153" s="494">
        <v>6</v>
      </c>
      <c r="U1153" s="556" t="str">
        <f t="shared" ca="1" si="195"/>
        <v/>
      </c>
      <c r="V1153" s="494">
        <v>7</v>
      </c>
      <c r="W1153" s="556" t="str">
        <f t="shared" ca="1" si="196"/>
        <v/>
      </c>
      <c r="X1153" s="494" t="s">
        <v>198</v>
      </c>
      <c r="Y1153" s="547" t="str">
        <f t="shared" ca="1" si="191"/>
        <v/>
      </c>
      <c r="Z1153" s="494" t="s">
        <v>1612</v>
      </c>
      <c r="AA1153" s="547" t="str">
        <f t="shared" ca="1" si="192"/>
        <v/>
      </c>
      <c r="AB1153" s="494" t="s">
        <v>1613</v>
      </c>
      <c r="AC1153" s="547" t="str">
        <f t="shared" ca="1" si="193"/>
        <v/>
      </c>
      <c r="AD1153" s="557"/>
      <c r="AE1153" s="958"/>
    </row>
    <row r="1154" spans="1:31" ht="15" customHeight="1">
      <c r="A1154" s="957">
        <v>56</v>
      </c>
      <c r="B1154" s="566" t="s">
        <v>68</v>
      </c>
      <c r="C1154" s="567" t="s">
        <v>1595</v>
      </c>
      <c r="D1154" s="958">
        <v>1</v>
      </c>
      <c r="E1154" s="959" t="s">
        <v>345</v>
      </c>
      <c r="F1154" s="558" t="s">
        <v>1484</v>
      </c>
      <c r="G1154" s="558">
        <v>852</v>
      </c>
      <c r="H1154" s="558" t="s">
        <v>1485</v>
      </c>
      <c r="I1154" s="559" t="s">
        <v>265</v>
      </c>
      <c r="J1154" s="567" t="s">
        <v>1606</v>
      </c>
      <c r="K1154" s="961" t="s">
        <v>1607</v>
      </c>
      <c r="L1154" s="555" t="str">
        <f t="shared" ref="L1154:L1217" ca="1" si="197">IF(AND(INDIRECT(CONCATENATE($J1154,$K1154,5))=$B1154,ISNUMBER(SEARCH("Please",INDIRECT(CONCATENATE($J1154,$K1154,2)),1))=FALSE),SUMPRODUCT(MID(0&amp;INDIRECT(CONCATENATE($J1154,$K1154,2)), LARGE(INDEX(ISNUMBER(--MID(INDIRECT(CONCATENATE($J1154,$K1154,2)), ROW(INDIRECT("1:"&amp;LEN(INDIRECT(CONCATENATE($J1154,$K1154,2))))),1))*ROW(INDIRECT("1:"&amp;LEN(INDIRECT(CONCATENATE($J1154,$K1154,2))))),0), ROW(INDIRECT("1:"&amp;LEN(INDIRECT(CONCATENATE($J1154,$K1154,2))))))+1,1)*10^ROW(INDIRECT("1:"&amp;LEN(INDIRECT(CONCATENATE($J1154,$K1154,2)))))/10),"")</f>
        <v/>
      </c>
      <c r="M1154" s="494" t="s">
        <v>1608</v>
      </c>
      <c r="N1154" s="555" t="str">
        <f t="shared" ref="N1154:N1217" ca="1" si="198">IF(AND(INDIRECT(CONCATENATE($J1154,$K1154,5))=$B1154,ISNUMBER(SEARCH("Select",INDIRECT(CONCATENATE($J1154,$M1154,6)),1))=FALSE),INDIRECT(CONCATENATE($J1154,$M1154,6)),"")</f>
        <v/>
      </c>
      <c r="O1154" s="494" t="s">
        <v>1609</v>
      </c>
      <c r="P1154" s="555" t="str">
        <f t="shared" ref="P1154:P1217" ca="1" si="199">IF(AND(INDIRECT(CONCATENATE($J1154,$K1154,5))=$B1154,ISNUMBER(SEARCH("Select",INDIRECT(CONCATENATE($J1154,$O1154,6)),1))=FALSE),INDIRECT(CONCATENATE($J1154,$O1154,6)),"")</f>
        <v/>
      </c>
      <c r="Q1154" s="494" t="s">
        <v>1610</v>
      </c>
      <c r="R1154" s="494" t="str">
        <f t="shared" si="194"/>
        <v>H1154</v>
      </c>
      <c r="S1154" s="494" t="s">
        <v>1611</v>
      </c>
      <c r="T1154" s="494">
        <v>6</v>
      </c>
      <c r="U1154" s="556" t="str">
        <f t="shared" ca="1" si="195"/>
        <v/>
      </c>
      <c r="V1154" s="494">
        <v>7</v>
      </c>
      <c r="W1154" s="556" t="str">
        <f t="shared" ca="1" si="196"/>
        <v/>
      </c>
      <c r="X1154" s="494" t="s">
        <v>198</v>
      </c>
      <c r="Y1154" s="547" t="str">
        <f t="shared" ref="Y1154:Y1217" ca="1" si="200">IF(AND(INDIRECT(CONCATENATE($J1154,$K1154,5))=$B1154,ISBLANK(INDIRECT(CONCATENATE($J1154,X1154)))=FALSE),INDIRECT(CONCATENATE($J1154,X1154)),"")</f>
        <v/>
      </c>
      <c r="Z1154" s="494" t="s">
        <v>1612</v>
      </c>
      <c r="AA1154" s="547" t="str">
        <f t="shared" ref="AA1154:AA1217" ca="1" si="201">IF(AND(INDIRECT(CONCATENATE($J1154,$K1154,"5"))=$B1154,ISBLANK(INDIRECT(CONCATENATE($J1154,Z1154)))=FALSE),INDIRECT(CONCATENATE($J1154,Z1154)),"")</f>
        <v/>
      </c>
      <c r="AB1154" s="494" t="s">
        <v>1613</v>
      </c>
      <c r="AC1154" s="547" t="str">
        <f t="shared" ref="AC1154:AC1217" ca="1" si="202">IF(AND(INDIRECT(CONCATENATE($J1154,$K1154,"5"))=$B1154,ISBLANK(INDIRECT(CONCATENATE($J1154,AB1154)))=FALSE),INDIRECT(CONCATENATE($J1154,AB1154)),"")</f>
        <v/>
      </c>
      <c r="AD1154" s="557"/>
      <c r="AE1154" s="958"/>
    </row>
    <row r="1155" spans="1:31" ht="15" customHeight="1">
      <c r="A1155" s="957">
        <v>56</v>
      </c>
      <c r="B1155" s="566" t="s">
        <v>68</v>
      </c>
      <c r="C1155" s="567" t="s">
        <v>1595</v>
      </c>
      <c r="D1155" s="958">
        <v>1</v>
      </c>
      <c r="E1155" s="959" t="s">
        <v>345</v>
      </c>
      <c r="F1155" s="558" t="s">
        <v>1484</v>
      </c>
      <c r="G1155" s="558">
        <v>852</v>
      </c>
      <c r="H1155" s="558" t="s">
        <v>467</v>
      </c>
      <c r="I1155" s="559" t="s">
        <v>348</v>
      </c>
      <c r="J1155" s="567" t="s">
        <v>1606</v>
      </c>
      <c r="K1155" s="961" t="s">
        <v>1607</v>
      </c>
      <c r="L1155" s="555" t="str">
        <f t="shared" ca="1" si="197"/>
        <v/>
      </c>
      <c r="M1155" s="494" t="s">
        <v>1608</v>
      </c>
      <c r="N1155" s="555" t="str">
        <f t="shared" ca="1" si="198"/>
        <v/>
      </c>
      <c r="O1155" s="494" t="s">
        <v>1609</v>
      </c>
      <c r="P1155" s="555" t="str">
        <f t="shared" ca="1" si="199"/>
        <v/>
      </c>
      <c r="Q1155" s="494" t="s">
        <v>1610</v>
      </c>
      <c r="R1155" s="494" t="str">
        <f t="shared" si="194"/>
        <v>H1155</v>
      </c>
      <c r="S1155" s="494" t="s">
        <v>1611</v>
      </c>
      <c r="T1155" s="494">
        <v>6</v>
      </c>
      <c r="U1155" s="556" t="str">
        <f t="shared" ca="1" si="195"/>
        <v/>
      </c>
      <c r="V1155" s="494">
        <v>7</v>
      </c>
      <c r="W1155" s="556" t="str">
        <f t="shared" ca="1" si="196"/>
        <v/>
      </c>
      <c r="X1155" s="494" t="s">
        <v>198</v>
      </c>
      <c r="Y1155" s="547" t="str">
        <f t="shared" ca="1" si="200"/>
        <v/>
      </c>
      <c r="Z1155" s="494" t="s">
        <v>1612</v>
      </c>
      <c r="AA1155" s="547" t="str">
        <f t="shared" ca="1" si="201"/>
        <v/>
      </c>
      <c r="AB1155" s="494" t="s">
        <v>1613</v>
      </c>
      <c r="AC1155" s="547" t="str">
        <f t="shared" ca="1" si="202"/>
        <v/>
      </c>
      <c r="AD1155" s="557"/>
      <c r="AE1155" s="958"/>
    </row>
    <row r="1156" spans="1:31" ht="15" customHeight="1">
      <c r="A1156" s="957">
        <v>56</v>
      </c>
      <c r="B1156" s="566" t="s">
        <v>68</v>
      </c>
      <c r="C1156" s="567" t="s">
        <v>1595</v>
      </c>
      <c r="D1156" s="958">
        <v>1</v>
      </c>
      <c r="E1156" s="959" t="s">
        <v>345</v>
      </c>
      <c r="F1156" s="558" t="s">
        <v>1484</v>
      </c>
      <c r="G1156" s="558">
        <v>852</v>
      </c>
      <c r="H1156" s="558" t="s">
        <v>470</v>
      </c>
      <c r="I1156" s="559" t="s">
        <v>350</v>
      </c>
      <c r="J1156" s="567" t="s">
        <v>1606</v>
      </c>
      <c r="K1156" s="961" t="s">
        <v>1607</v>
      </c>
      <c r="L1156" s="555" t="str">
        <f t="shared" ca="1" si="197"/>
        <v/>
      </c>
      <c r="M1156" s="494" t="s">
        <v>1608</v>
      </c>
      <c r="N1156" s="555" t="str">
        <f t="shared" ca="1" si="198"/>
        <v/>
      </c>
      <c r="O1156" s="494" t="s">
        <v>1609</v>
      </c>
      <c r="P1156" s="555" t="str">
        <f t="shared" ca="1" si="199"/>
        <v/>
      </c>
      <c r="Q1156" s="494" t="s">
        <v>1610</v>
      </c>
      <c r="R1156" s="494" t="str">
        <f t="shared" si="194"/>
        <v>H1156</v>
      </c>
      <c r="S1156" s="494" t="s">
        <v>1611</v>
      </c>
      <c r="T1156" s="494">
        <v>6</v>
      </c>
      <c r="U1156" s="556" t="str">
        <f t="shared" ca="1" si="195"/>
        <v/>
      </c>
      <c r="V1156" s="494">
        <v>7</v>
      </c>
      <c r="W1156" s="556" t="str">
        <f t="shared" ca="1" si="196"/>
        <v/>
      </c>
      <c r="X1156" s="494" t="s">
        <v>198</v>
      </c>
      <c r="Y1156" s="547" t="str">
        <f t="shared" ca="1" si="200"/>
        <v/>
      </c>
      <c r="Z1156" s="494" t="s">
        <v>1612</v>
      </c>
      <c r="AA1156" s="547" t="str">
        <f t="shared" ca="1" si="201"/>
        <v/>
      </c>
      <c r="AB1156" s="494" t="s">
        <v>1613</v>
      </c>
      <c r="AC1156" s="547" t="str">
        <f t="shared" ca="1" si="202"/>
        <v/>
      </c>
      <c r="AD1156" s="557"/>
      <c r="AE1156" s="958"/>
    </row>
    <row r="1157" spans="1:31" ht="15" customHeight="1">
      <c r="A1157" s="957">
        <v>56</v>
      </c>
      <c r="B1157" s="566" t="s">
        <v>68</v>
      </c>
      <c r="C1157" s="567" t="s">
        <v>1595</v>
      </c>
      <c r="D1157" s="958">
        <v>1</v>
      </c>
      <c r="E1157" s="959" t="s">
        <v>345</v>
      </c>
      <c r="F1157" s="558" t="s">
        <v>1484</v>
      </c>
      <c r="G1157" s="558">
        <v>852</v>
      </c>
      <c r="H1157" s="558" t="s">
        <v>472</v>
      </c>
      <c r="I1157" s="559" t="s">
        <v>351</v>
      </c>
      <c r="J1157" s="567" t="s">
        <v>1606</v>
      </c>
      <c r="K1157" s="961" t="s">
        <v>1607</v>
      </c>
      <c r="L1157" s="555" t="str">
        <f t="shared" ca="1" si="197"/>
        <v/>
      </c>
      <c r="M1157" s="494" t="s">
        <v>1608</v>
      </c>
      <c r="N1157" s="555" t="str">
        <f t="shared" ca="1" si="198"/>
        <v/>
      </c>
      <c r="O1157" s="494" t="s">
        <v>1609</v>
      </c>
      <c r="P1157" s="555" t="str">
        <f t="shared" ca="1" si="199"/>
        <v/>
      </c>
      <c r="Q1157" s="494" t="s">
        <v>1610</v>
      </c>
      <c r="R1157" s="494" t="str">
        <f t="shared" si="194"/>
        <v>H1157</v>
      </c>
      <c r="S1157" s="494" t="s">
        <v>1611</v>
      </c>
      <c r="T1157" s="494">
        <v>6</v>
      </c>
      <c r="U1157" s="556" t="str">
        <f t="shared" ca="1" si="195"/>
        <v/>
      </c>
      <c r="V1157" s="494">
        <v>7</v>
      </c>
      <c r="W1157" s="556" t="str">
        <f t="shared" ca="1" si="196"/>
        <v/>
      </c>
      <c r="X1157" s="494" t="s">
        <v>198</v>
      </c>
      <c r="Y1157" s="547" t="str">
        <f t="shared" ca="1" si="200"/>
        <v/>
      </c>
      <c r="Z1157" s="494" t="s">
        <v>1612</v>
      </c>
      <c r="AA1157" s="547" t="str">
        <f t="shared" ca="1" si="201"/>
        <v/>
      </c>
      <c r="AB1157" s="494" t="s">
        <v>1613</v>
      </c>
      <c r="AC1157" s="547" t="str">
        <f t="shared" ca="1" si="202"/>
        <v/>
      </c>
      <c r="AD1157" s="557"/>
      <c r="AE1157" s="958"/>
    </row>
    <row r="1158" spans="1:31" ht="15" customHeight="1">
      <c r="A1158" s="957">
        <v>56</v>
      </c>
      <c r="B1158" s="566" t="s">
        <v>68</v>
      </c>
      <c r="C1158" s="567" t="s">
        <v>1595</v>
      </c>
      <c r="D1158" s="958">
        <v>1</v>
      </c>
      <c r="E1158" s="959" t="s">
        <v>345</v>
      </c>
      <c r="F1158" s="558" t="s">
        <v>1484</v>
      </c>
      <c r="G1158" s="558">
        <v>852</v>
      </c>
      <c r="H1158" s="558" t="s">
        <v>474</v>
      </c>
      <c r="I1158" s="559" t="s">
        <v>352</v>
      </c>
      <c r="J1158" s="567" t="s">
        <v>1606</v>
      </c>
      <c r="K1158" s="961" t="s">
        <v>1607</v>
      </c>
      <c r="L1158" s="555" t="str">
        <f t="shared" ca="1" si="197"/>
        <v/>
      </c>
      <c r="M1158" s="494" t="s">
        <v>1608</v>
      </c>
      <c r="N1158" s="555" t="str">
        <f t="shared" ca="1" si="198"/>
        <v/>
      </c>
      <c r="O1158" s="494" t="s">
        <v>1609</v>
      </c>
      <c r="P1158" s="555" t="str">
        <f t="shared" ca="1" si="199"/>
        <v/>
      </c>
      <c r="Q1158" s="494" t="s">
        <v>1610</v>
      </c>
      <c r="R1158" s="494" t="str">
        <f t="shared" si="194"/>
        <v>H1158</v>
      </c>
      <c r="S1158" s="494" t="s">
        <v>1611</v>
      </c>
      <c r="T1158" s="494">
        <v>6</v>
      </c>
      <c r="U1158" s="556" t="str">
        <f t="shared" ca="1" si="195"/>
        <v/>
      </c>
      <c r="V1158" s="494">
        <v>7</v>
      </c>
      <c r="W1158" s="556" t="str">
        <f t="shared" ca="1" si="196"/>
        <v/>
      </c>
      <c r="X1158" s="494" t="s">
        <v>198</v>
      </c>
      <c r="Y1158" s="547" t="str">
        <f t="shared" ca="1" si="200"/>
        <v/>
      </c>
      <c r="Z1158" s="494" t="s">
        <v>1612</v>
      </c>
      <c r="AA1158" s="547" t="str">
        <f t="shared" ca="1" si="201"/>
        <v/>
      </c>
      <c r="AB1158" s="494" t="s">
        <v>1613</v>
      </c>
      <c r="AC1158" s="547" t="str">
        <f t="shared" ca="1" si="202"/>
        <v/>
      </c>
      <c r="AD1158" s="557"/>
      <c r="AE1158" s="958"/>
    </row>
    <row r="1159" spans="1:31" ht="15" customHeight="1">
      <c r="A1159" s="957">
        <v>56</v>
      </c>
      <c r="B1159" s="566" t="s">
        <v>68</v>
      </c>
      <c r="C1159" s="567" t="s">
        <v>1595</v>
      </c>
      <c r="D1159" s="958">
        <v>1</v>
      </c>
      <c r="E1159" s="959" t="s">
        <v>353</v>
      </c>
      <c r="F1159" s="558" t="s">
        <v>1486</v>
      </c>
      <c r="G1159" s="558">
        <v>853</v>
      </c>
      <c r="H1159" s="558" t="s">
        <v>1487</v>
      </c>
      <c r="I1159" s="559" t="s">
        <v>265</v>
      </c>
      <c r="J1159" s="567" t="s">
        <v>1606</v>
      </c>
      <c r="K1159" s="961" t="s">
        <v>1607</v>
      </c>
      <c r="L1159" s="555" t="str">
        <f t="shared" ca="1" si="197"/>
        <v/>
      </c>
      <c r="M1159" s="494" t="s">
        <v>1608</v>
      </c>
      <c r="N1159" s="555" t="str">
        <f t="shared" ca="1" si="198"/>
        <v/>
      </c>
      <c r="O1159" s="494" t="s">
        <v>1609</v>
      </c>
      <c r="P1159" s="555" t="str">
        <f t="shared" ca="1" si="199"/>
        <v/>
      </c>
      <c r="Q1159" s="494" t="s">
        <v>1610</v>
      </c>
      <c r="R1159" s="494" t="str">
        <f t="shared" si="194"/>
        <v>H1159</v>
      </c>
      <c r="S1159" s="494" t="s">
        <v>1611</v>
      </c>
      <c r="T1159" s="494">
        <v>6</v>
      </c>
      <c r="U1159" s="556" t="str">
        <f t="shared" ca="1" si="195"/>
        <v/>
      </c>
      <c r="V1159" s="494">
        <v>7</v>
      </c>
      <c r="W1159" s="556" t="str">
        <f t="shared" ca="1" si="196"/>
        <v/>
      </c>
      <c r="X1159" s="494" t="s">
        <v>198</v>
      </c>
      <c r="Y1159" s="547" t="str">
        <f t="shared" ca="1" si="200"/>
        <v/>
      </c>
      <c r="Z1159" s="494" t="s">
        <v>1612</v>
      </c>
      <c r="AA1159" s="547" t="str">
        <f t="shared" ca="1" si="201"/>
        <v/>
      </c>
      <c r="AB1159" s="494" t="s">
        <v>1613</v>
      </c>
      <c r="AC1159" s="547" t="str">
        <f t="shared" ca="1" si="202"/>
        <v/>
      </c>
      <c r="AD1159" s="557"/>
      <c r="AE1159" s="958"/>
    </row>
    <row r="1160" spans="1:31" ht="15" customHeight="1">
      <c r="A1160" s="957">
        <v>56</v>
      </c>
      <c r="B1160" s="566" t="s">
        <v>68</v>
      </c>
      <c r="C1160" s="567" t="s">
        <v>1595</v>
      </c>
      <c r="D1160" s="958">
        <v>1</v>
      </c>
      <c r="E1160" s="959" t="s">
        <v>353</v>
      </c>
      <c r="F1160" s="558" t="s">
        <v>1486</v>
      </c>
      <c r="G1160" s="558">
        <v>853</v>
      </c>
      <c r="H1160" s="558" t="s">
        <v>357</v>
      </c>
      <c r="I1160" s="559" t="s">
        <v>358</v>
      </c>
      <c r="J1160" s="567" t="s">
        <v>1606</v>
      </c>
      <c r="K1160" s="961" t="s">
        <v>1607</v>
      </c>
      <c r="L1160" s="555" t="str">
        <f t="shared" ca="1" si="197"/>
        <v/>
      </c>
      <c r="M1160" s="494" t="s">
        <v>1608</v>
      </c>
      <c r="N1160" s="555" t="str">
        <f t="shared" ca="1" si="198"/>
        <v/>
      </c>
      <c r="O1160" s="494" t="s">
        <v>1609</v>
      </c>
      <c r="P1160" s="555" t="str">
        <f t="shared" ca="1" si="199"/>
        <v/>
      </c>
      <c r="Q1160" s="494" t="s">
        <v>1610</v>
      </c>
      <c r="R1160" s="494" t="str">
        <f t="shared" si="194"/>
        <v>H1160</v>
      </c>
      <c r="S1160" s="494" t="s">
        <v>1611</v>
      </c>
      <c r="T1160" s="494">
        <v>6</v>
      </c>
      <c r="U1160" s="556" t="str">
        <f t="shared" ca="1" si="195"/>
        <v/>
      </c>
      <c r="V1160" s="494">
        <v>7</v>
      </c>
      <c r="W1160" s="556" t="str">
        <f t="shared" ca="1" si="196"/>
        <v/>
      </c>
      <c r="X1160" s="494" t="s">
        <v>198</v>
      </c>
      <c r="Y1160" s="547" t="str">
        <f t="shared" ca="1" si="200"/>
        <v/>
      </c>
      <c r="Z1160" s="494" t="s">
        <v>1612</v>
      </c>
      <c r="AA1160" s="547" t="str">
        <f t="shared" ca="1" si="201"/>
        <v/>
      </c>
      <c r="AB1160" s="494" t="s">
        <v>1613</v>
      </c>
      <c r="AC1160" s="547" t="str">
        <f t="shared" ca="1" si="202"/>
        <v/>
      </c>
      <c r="AD1160" s="557"/>
      <c r="AE1160" s="958"/>
    </row>
    <row r="1161" spans="1:31" ht="15" customHeight="1">
      <c r="A1161" s="957">
        <v>56</v>
      </c>
      <c r="B1161" s="566" t="s">
        <v>68</v>
      </c>
      <c r="C1161" s="567" t="s">
        <v>1595</v>
      </c>
      <c r="D1161" s="958">
        <v>1</v>
      </c>
      <c r="E1161" s="959" t="s">
        <v>353</v>
      </c>
      <c r="F1161" s="558" t="s">
        <v>1486</v>
      </c>
      <c r="G1161" s="558">
        <v>853</v>
      </c>
      <c r="H1161" s="558" t="s">
        <v>359</v>
      </c>
      <c r="I1161" s="559" t="s">
        <v>582</v>
      </c>
      <c r="J1161" s="567" t="s">
        <v>1606</v>
      </c>
      <c r="K1161" s="961" t="s">
        <v>1607</v>
      </c>
      <c r="L1161" s="555" t="str">
        <f t="shared" ca="1" si="197"/>
        <v/>
      </c>
      <c r="M1161" s="494" t="s">
        <v>1608</v>
      </c>
      <c r="N1161" s="555" t="str">
        <f t="shared" ca="1" si="198"/>
        <v/>
      </c>
      <c r="O1161" s="494" t="s">
        <v>1609</v>
      </c>
      <c r="P1161" s="555" t="str">
        <f t="shared" ca="1" si="199"/>
        <v/>
      </c>
      <c r="Q1161" s="494" t="s">
        <v>1610</v>
      </c>
      <c r="R1161" s="494" t="str">
        <f t="shared" si="194"/>
        <v>H1161</v>
      </c>
      <c r="S1161" s="494" t="s">
        <v>1611</v>
      </c>
      <c r="T1161" s="494">
        <v>6</v>
      </c>
      <c r="U1161" s="556" t="str">
        <f t="shared" ca="1" si="195"/>
        <v/>
      </c>
      <c r="V1161" s="494">
        <v>7</v>
      </c>
      <c r="W1161" s="556" t="str">
        <f t="shared" ca="1" si="196"/>
        <v/>
      </c>
      <c r="X1161" s="494" t="s">
        <v>198</v>
      </c>
      <c r="Y1161" s="547" t="str">
        <f t="shared" ca="1" si="200"/>
        <v/>
      </c>
      <c r="Z1161" s="494" t="s">
        <v>1612</v>
      </c>
      <c r="AA1161" s="547" t="str">
        <f t="shared" ca="1" si="201"/>
        <v/>
      </c>
      <c r="AB1161" s="494" t="s">
        <v>1613</v>
      </c>
      <c r="AC1161" s="547" t="str">
        <f t="shared" ca="1" si="202"/>
        <v/>
      </c>
      <c r="AD1161" s="557"/>
      <c r="AE1161" s="958"/>
    </row>
    <row r="1162" spans="1:31" ht="15" customHeight="1">
      <c r="A1162" s="957">
        <v>56</v>
      </c>
      <c r="B1162" s="566" t="s">
        <v>68</v>
      </c>
      <c r="C1162" s="567" t="s">
        <v>1595</v>
      </c>
      <c r="D1162" s="958">
        <v>1</v>
      </c>
      <c r="E1162" s="959" t="s">
        <v>353</v>
      </c>
      <c r="F1162" s="558" t="s">
        <v>1486</v>
      </c>
      <c r="G1162" s="558">
        <v>853</v>
      </c>
      <c r="H1162" s="558" t="s">
        <v>361</v>
      </c>
      <c r="I1162" s="559" t="s">
        <v>583</v>
      </c>
      <c r="J1162" s="567" t="s">
        <v>1606</v>
      </c>
      <c r="K1162" s="961" t="s">
        <v>1607</v>
      </c>
      <c r="L1162" s="555" t="str">
        <f t="shared" ca="1" si="197"/>
        <v/>
      </c>
      <c r="M1162" s="494" t="s">
        <v>1608</v>
      </c>
      <c r="N1162" s="555" t="str">
        <f t="shared" ca="1" si="198"/>
        <v/>
      </c>
      <c r="O1162" s="494" t="s">
        <v>1609</v>
      </c>
      <c r="P1162" s="555" t="str">
        <f t="shared" ca="1" si="199"/>
        <v/>
      </c>
      <c r="Q1162" s="494" t="s">
        <v>1610</v>
      </c>
      <c r="R1162" s="494" t="str">
        <f t="shared" si="194"/>
        <v>H1162</v>
      </c>
      <c r="S1162" s="494" t="s">
        <v>1611</v>
      </c>
      <c r="T1162" s="494">
        <v>6</v>
      </c>
      <c r="U1162" s="556" t="str">
        <f t="shared" ca="1" si="195"/>
        <v/>
      </c>
      <c r="V1162" s="494">
        <v>7</v>
      </c>
      <c r="W1162" s="556" t="str">
        <f t="shared" ca="1" si="196"/>
        <v/>
      </c>
      <c r="X1162" s="494" t="s">
        <v>198</v>
      </c>
      <c r="Y1162" s="547" t="str">
        <f t="shared" ca="1" si="200"/>
        <v/>
      </c>
      <c r="Z1162" s="494" t="s">
        <v>1612</v>
      </c>
      <c r="AA1162" s="547" t="str">
        <f t="shared" ca="1" si="201"/>
        <v/>
      </c>
      <c r="AB1162" s="494" t="s">
        <v>1613</v>
      </c>
      <c r="AC1162" s="547" t="str">
        <f t="shared" ca="1" si="202"/>
        <v/>
      </c>
      <c r="AD1162" s="557"/>
      <c r="AE1162" s="958"/>
    </row>
    <row r="1163" spans="1:31" ht="15" customHeight="1">
      <c r="A1163" s="957">
        <v>56</v>
      </c>
      <c r="B1163" s="566" t="s">
        <v>68</v>
      </c>
      <c r="C1163" s="567" t="s">
        <v>1595</v>
      </c>
      <c r="D1163" s="958">
        <v>1</v>
      </c>
      <c r="E1163" s="959" t="s">
        <v>353</v>
      </c>
      <c r="F1163" s="558" t="s">
        <v>1486</v>
      </c>
      <c r="G1163" s="558">
        <v>853</v>
      </c>
      <c r="H1163" s="558" t="s">
        <v>363</v>
      </c>
      <c r="I1163" s="559" t="s">
        <v>584</v>
      </c>
      <c r="J1163" s="567" t="s">
        <v>1606</v>
      </c>
      <c r="K1163" s="961" t="s">
        <v>1607</v>
      </c>
      <c r="L1163" s="555" t="str">
        <f t="shared" ca="1" si="197"/>
        <v/>
      </c>
      <c r="M1163" s="494" t="s">
        <v>1608</v>
      </c>
      <c r="N1163" s="555" t="str">
        <f t="shared" ca="1" si="198"/>
        <v/>
      </c>
      <c r="O1163" s="494" t="s">
        <v>1609</v>
      </c>
      <c r="P1163" s="555" t="str">
        <f t="shared" ca="1" si="199"/>
        <v/>
      </c>
      <c r="Q1163" s="494" t="s">
        <v>1610</v>
      </c>
      <c r="R1163" s="494" t="str">
        <f t="shared" si="194"/>
        <v>H1163</v>
      </c>
      <c r="S1163" s="494" t="s">
        <v>1611</v>
      </c>
      <c r="T1163" s="494">
        <v>6</v>
      </c>
      <c r="U1163" s="556" t="str">
        <f t="shared" ca="1" si="195"/>
        <v/>
      </c>
      <c r="V1163" s="494">
        <v>7</v>
      </c>
      <c r="W1163" s="556" t="str">
        <f t="shared" ca="1" si="196"/>
        <v/>
      </c>
      <c r="X1163" s="494" t="s">
        <v>198</v>
      </c>
      <c r="Y1163" s="547" t="str">
        <f t="shared" ca="1" si="200"/>
        <v/>
      </c>
      <c r="Z1163" s="494" t="s">
        <v>1612</v>
      </c>
      <c r="AA1163" s="547" t="str">
        <f t="shared" ca="1" si="201"/>
        <v/>
      </c>
      <c r="AB1163" s="494" t="s">
        <v>1613</v>
      </c>
      <c r="AC1163" s="547" t="str">
        <f t="shared" ca="1" si="202"/>
        <v/>
      </c>
      <c r="AD1163" s="557"/>
      <c r="AE1163" s="958"/>
    </row>
    <row r="1164" spans="1:31" ht="15" customHeight="1">
      <c r="A1164" s="957">
        <v>56</v>
      </c>
      <c r="B1164" s="566" t="s">
        <v>68</v>
      </c>
      <c r="C1164" s="567" t="s">
        <v>1595</v>
      </c>
      <c r="D1164" s="958">
        <v>1</v>
      </c>
      <c r="E1164" s="959" t="s">
        <v>367</v>
      </c>
      <c r="F1164" s="558" t="s">
        <v>1488</v>
      </c>
      <c r="G1164" s="558">
        <v>855</v>
      </c>
      <c r="H1164" s="558">
        <v>19.100000000000001</v>
      </c>
      <c r="I1164" s="559" t="s">
        <v>371</v>
      </c>
      <c r="J1164" s="567" t="s">
        <v>1606</v>
      </c>
      <c r="K1164" s="961" t="s">
        <v>1607</v>
      </c>
      <c r="L1164" s="555" t="str">
        <f t="shared" ca="1" si="197"/>
        <v/>
      </c>
      <c r="M1164" s="494" t="s">
        <v>1608</v>
      </c>
      <c r="N1164" s="555" t="str">
        <f t="shared" ca="1" si="198"/>
        <v/>
      </c>
      <c r="O1164" s="494" t="s">
        <v>1609</v>
      </c>
      <c r="P1164" s="555" t="str">
        <f t="shared" ca="1" si="199"/>
        <v/>
      </c>
      <c r="Q1164" s="494" t="s">
        <v>1610</v>
      </c>
      <c r="R1164" s="494" t="str">
        <f t="shared" si="194"/>
        <v>H1164</v>
      </c>
      <c r="S1164" s="494" t="s">
        <v>1611</v>
      </c>
      <c r="T1164" s="494">
        <v>6</v>
      </c>
      <c r="U1164" s="556" t="str">
        <f t="shared" ca="1" si="195"/>
        <v/>
      </c>
      <c r="V1164" s="494">
        <v>7</v>
      </c>
      <c r="W1164" s="556" t="str">
        <f t="shared" ca="1" si="196"/>
        <v/>
      </c>
      <c r="X1164" s="494" t="s">
        <v>198</v>
      </c>
      <c r="Y1164" s="547" t="str">
        <f t="shared" ca="1" si="200"/>
        <v/>
      </c>
      <c r="Z1164" s="494" t="s">
        <v>1612</v>
      </c>
      <c r="AA1164" s="547" t="str">
        <f t="shared" ca="1" si="201"/>
        <v/>
      </c>
      <c r="AB1164" s="494" t="s">
        <v>1613</v>
      </c>
      <c r="AC1164" s="547" t="str">
        <f t="shared" ca="1" si="202"/>
        <v/>
      </c>
      <c r="AD1164" s="557"/>
      <c r="AE1164" s="958"/>
    </row>
    <row r="1165" spans="1:31" ht="15" customHeight="1">
      <c r="A1165" s="957">
        <v>56</v>
      </c>
      <c r="B1165" s="566" t="s">
        <v>68</v>
      </c>
      <c r="C1165" s="567" t="s">
        <v>1595</v>
      </c>
      <c r="D1165" s="958">
        <v>1</v>
      </c>
      <c r="E1165" s="959" t="s">
        <v>367</v>
      </c>
      <c r="F1165" s="558" t="s">
        <v>1488</v>
      </c>
      <c r="G1165" s="558">
        <v>855</v>
      </c>
      <c r="H1165" s="558">
        <v>19.2</v>
      </c>
      <c r="I1165" s="559" t="s">
        <v>587</v>
      </c>
      <c r="J1165" s="567" t="s">
        <v>1606</v>
      </c>
      <c r="K1165" s="961" t="s">
        <v>1607</v>
      </c>
      <c r="L1165" s="555" t="str">
        <f t="shared" ca="1" si="197"/>
        <v/>
      </c>
      <c r="M1165" s="494" t="s">
        <v>1608</v>
      </c>
      <c r="N1165" s="555" t="str">
        <f t="shared" ca="1" si="198"/>
        <v/>
      </c>
      <c r="O1165" s="494" t="s">
        <v>1609</v>
      </c>
      <c r="P1165" s="555" t="str">
        <f t="shared" ca="1" si="199"/>
        <v/>
      </c>
      <c r="Q1165" s="494" t="s">
        <v>1610</v>
      </c>
      <c r="R1165" s="494" t="str">
        <f t="shared" ref="R1165:R1229" si="203">CONCATENATE("H",ROW(J1165))</f>
        <v>H1165</v>
      </c>
      <c r="S1165" s="494" t="s">
        <v>1611</v>
      </c>
      <c r="T1165" s="494">
        <v>6</v>
      </c>
      <c r="U1165" s="556" t="str">
        <f t="shared" ca="1" si="195"/>
        <v/>
      </c>
      <c r="V1165" s="494">
        <v>7</v>
      </c>
      <c r="W1165" s="556" t="str">
        <f t="shared" ca="1" si="196"/>
        <v/>
      </c>
      <c r="X1165" s="494" t="s">
        <v>198</v>
      </c>
      <c r="Y1165" s="547" t="str">
        <f t="shared" ca="1" si="200"/>
        <v/>
      </c>
      <c r="Z1165" s="494" t="s">
        <v>1612</v>
      </c>
      <c r="AA1165" s="547" t="str">
        <f t="shared" ca="1" si="201"/>
        <v/>
      </c>
      <c r="AB1165" s="494" t="s">
        <v>1613</v>
      </c>
      <c r="AC1165" s="547" t="str">
        <f t="shared" ca="1" si="202"/>
        <v/>
      </c>
      <c r="AD1165" s="557"/>
      <c r="AE1165" s="958"/>
    </row>
    <row r="1166" spans="1:31" ht="15" customHeight="1">
      <c r="A1166" s="957">
        <v>56</v>
      </c>
      <c r="B1166" s="566" t="s">
        <v>68</v>
      </c>
      <c r="C1166" s="567" t="s">
        <v>1595</v>
      </c>
      <c r="D1166" s="958">
        <v>1</v>
      </c>
      <c r="E1166" s="959" t="s">
        <v>367</v>
      </c>
      <c r="F1166" s="558" t="s">
        <v>1488</v>
      </c>
      <c r="G1166" s="558">
        <v>857</v>
      </c>
      <c r="H1166" s="558">
        <v>20.100000000000001</v>
      </c>
      <c r="I1166" s="559" t="s">
        <v>589</v>
      </c>
      <c r="J1166" s="567" t="s">
        <v>1606</v>
      </c>
      <c r="K1166" s="961" t="s">
        <v>1607</v>
      </c>
      <c r="L1166" s="555" t="str">
        <f t="shared" ca="1" si="197"/>
        <v/>
      </c>
      <c r="M1166" s="494" t="s">
        <v>1608</v>
      </c>
      <c r="N1166" s="555" t="str">
        <f t="shared" ca="1" si="198"/>
        <v/>
      </c>
      <c r="O1166" s="494" t="s">
        <v>1609</v>
      </c>
      <c r="P1166" s="555" t="str">
        <f t="shared" ca="1" si="199"/>
        <v/>
      </c>
      <c r="Q1166" s="494" t="s">
        <v>1610</v>
      </c>
      <c r="R1166" s="494" t="str">
        <f t="shared" si="203"/>
        <v>H1166</v>
      </c>
      <c r="S1166" s="494" t="s">
        <v>1611</v>
      </c>
      <c r="T1166" s="494">
        <v>6</v>
      </c>
      <c r="U1166" s="556" t="str">
        <f t="shared" ca="1" si="195"/>
        <v/>
      </c>
      <c r="V1166" s="494">
        <v>7</v>
      </c>
      <c r="W1166" s="556" t="str">
        <f t="shared" ca="1" si="196"/>
        <v/>
      </c>
      <c r="X1166" s="494" t="s">
        <v>198</v>
      </c>
      <c r="Y1166" s="547" t="str">
        <f t="shared" ca="1" si="200"/>
        <v/>
      </c>
      <c r="Z1166" s="494" t="s">
        <v>1612</v>
      </c>
      <c r="AA1166" s="547" t="str">
        <f t="shared" ca="1" si="201"/>
        <v/>
      </c>
      <c r="AB1166" s="494" t="s">
        <v>1613</v>
      </c>
      <c r="AC1166" s="547" t="str">
        <f t="shared" ca="1" si="202"/>
        <v/>
      </c>
      <c r="AD1166" s="557"/>
      <c r="AE1166" s="958"/>
    </row>
    <row r="1167" spans="1:31" ht="15" customHeight="1">
      <c r="A1167" s="957">
        <v>56</v>
      </c>
      <c r="B1167" s="566" t="s">
        <v>68</v>
      </c>
      <c r="C1167" s="567" t="s">
        <v>1595</v>
      </c>
      <c r="D1167" s="958">
        <v>1</v>
      </c>
      <c r="E1167" s="959" t="s">
        <v>367</v>
      </c>
      <c r="F1167" s="558" t="s">
        <v>1488</v>
      </c>
      <c r="G1167" s="558">
        <v>858</v>
      </c>
      <c r="H1167" s="558">
        <v>20.2</v>
      </c>
      <c r="I1167" s="559" t="s">
        <v>1617</v>
      </c>
      <c r="J1167" s="567" t="s">
        <v>1606</v>
      </c>
      <c r="K1167" s="961" t="s">
        <v>1607</v>
      </c>
      <c r="L1167" s="555" t="str">
        <f t="shared" ca="1" si="197"/>
        <v/>
      </c>
      <c r="M1167" s="494" t="s">
        <v>1608</v>
      </c>
      <c r="N1167" s="555" t="str">
        <f t="shared" ca="1" si="198"/>
        <v/>
      </c>
      <c r="O1167" s="494" t="s">
        <v>1609</v>
      </c>
      <c r="P1167" s="555" t="str">
        <f t="shared" ca="1" si="199"/>
        <v/>
      </c>
      <c r="Q1167" s="494" t="s">
        <v>1610</v>
      </c>
      <c r="R1167" s="494" t="str">
        <f t="shared" si="203"/>
        <v>H1167</v>
      </c>
      <c r="S1167" s="494" t="s">
        <v>1611</v>
      </c>
      <c r="T1167" s="494">
        <v>6</v>
      </c>
      <c r="U1167" s="556" t="str">
        <f t="shared" ca="1" si="195"/>
        <v/>
      </c>
      <c r="V1167" s="494">
        <v>7</v>
      </c>
      <c r="W1167" s="556" t="str">
        <f t="shared" ca="1" si="196"/>
        <v/>
      </c>
      <c r="X1167" s="494" t="s">
        <v>198</v>
      </c>
      <c r="Y1167" s="547" t="str">
        <f t="shared" ca="1" si="200"/>
        <v/>
      </c>
      <c r="Z1167" s="494" t="s">
        <v>1612</v>
      </c>
      <c r="AA1167" s="547" t="str">
        <f t="shared" ca="1" si="201"/>
        <v/>
      </c>
      <c r="AB1167" s="494" t="s">
        <v>1613</v>
      </c>
      <c r="AC1167" s="547" t="str">
        <f t="shared" ca="1" si="202"/>
        <v/>
      </c>
      <c r="AD1167" s="557"/>
      <c r="AE1167" s="958"/>
    </row>
    <row r="1168" spans="1:31" ht="15" customHeight="1">
      <c r="A1168" s="957">
        <v>56</v>
      </c>
      <c r="B1168" s="566" t="s">
        <v>68</v>
      </c>
      <c r="C1168" s="567" t="s">
        <v>1595</v>
      </c>
      <c r="D1168" s="958">
        <v>1</v>
      </c>
      <c r="E1168" s="959" t="s">
        <v>367</v>
      </c>
      <c r="F1168" s="558" t="s">
        <v>1488</v>
      </c>
      <c r="G1168" s="558">
        <v>734</v>
      </c>
      <c r="H1168" s="558">
        <v>21</v>
      </c>
      <c r="I1168" s="559" t="s">
        <v>390</v>
      </c>
      <c r="J1168" s="567" t="s">
        <v>1606</v>
      </c>
      <c r="K1168" s="961" t="s">
        <v>1607</v>
      </c>
      <c r="L1168" s="555" t="str">
        <f t="shared" ca="1" si="197"/>
        <v/>
      </c>
      <c r="M1168" s="494" t="s">
        <v>1608</v>
      </c>
      <c r="N1168" s="555" t="str">
        <f t="shared" ca="1" si="198"/>
        <v/>
      </c>
      <c r="O1168" s="494" t="s">
        <v>1609</v>
      </c>
      <c r="P1168" s="555" t="str">
        <f t="shared" ca="1" si="199"/>
        <v/>
      </c>
      <c r="Q1168" s="494" t="s">
        <v>1610</v>
      </c>
      <c r="R1168" s="494" t="str">
        <f t="shared" si="203"/>
        <v>H1168</v>
      </c>
      <c r="S1168" s="494" t="s">
        <v>1611</v>
      </c>
      <c r="T1168" s="494">
        <v>6</v>
      </c>
      <c r="U1168" s="556" t="str">
        <f t="shared" ca="1" si="195"/>
        <v/>
      </c>
      <c r="V1168" s="494">
        <v>7</v>
      </c>
      <c r="W1168" s="556" t="str">
        <f t="shared" ca="1" si="196"/>
        <v/>
      </c>
      <c r="X1168" s="494" t="s">
        <v>198</v>
      </c>
      <c r="Y1168" s="547" t="str">
        <f t="shared" ca="1" si="200"/>
        <v/>
      </c>
      <c r="Z1168" s="494" t="s">
        <v>1612</v>
      </c>
      <c r="AA1168" s="547" t="str">
        <f t="shared" ca="1" si="201"/>
        <v/>
      </c>
      <c r="AB1168" s="494" t="s">
        <v>1613</v>
      </c>
      <c r="AC1168" s="547" t="str">
        <f t="shared" ca="1" si="202"/>
        <v/>
      </c>
      <c r="AD1168" s="557"/>
      <c r="AE1168" s="958"/>
    </row>
    <row r="1169" spans="1:31" ht="15" customHeight="1">
      <c r="A1169" s="957">
        <v>56</v>
      </c>
      <c r="B1169" s="566" t="s">
        <v>68</v>
      </c>
      <c r="C1169" s="567" t="s">
        <v>1595</v>
      </c>
      <c r="D1169" s="958">
        <v>1</v>
      </c>
      <c r="E1169" s="959" t="s">
        <v>367</v>
      </c>
      <c r="F1169" s="558" t="s">
        <v>1488</v>
      </c>
      <c r="G1169" s="558">
        <v>859</v>
      </c>
      <c r="H1169" s="558" t="s">
        <v>393</v>
      </c>
      <c r="I1169" s="559" t="s">
        <v>1618</v>
      </c>
      <c r="J1169" s="567" t="s">
        <v>1606</v>
      </c>
      <c r="K1169" s="961" t="s">
        <v>1607</v>
      </c>
      <c r="L1169" s="555" t="str">
        <f t="shared" ca="1" si="197"/>
        <v/>
      </c>
      <c r="M1169" s="494" t="s">
        <v>1608</v>
      </c>
      <c r="N1169" s="555" t="str">
        <f t="shared" ca="1" si="198"/>
        <v/>
      </c>
      <c r="O1169" s="494" t="s">
        <v>1609</v>
      </c>
      <c r="P1169" s="555" t="str">
        <f t="shared" ca="1" si="199"/>
        <v/>
      </c>
      <c r="Q1169" s="494" t="s">
        <v>1610</v>
      </c>
      <c r="R1169" s="494" t="str">
        <f t="shared" si="203"/>
        <v>H1169</v>
      </c>
      <c r="S1169" s="494" t="s">
        <v>1611</v>
      </c>
      <c r="T1169" s="494">
        <v>6</v>
      </c>
      <c r="U1169" s="556" t="str">
        <f t="shared" ca="1" si="195"/>
        <v/>
      </c>
      <c r="V1169" s="494">
        <v>7</v>
      </c>
      <c r="W1169" s="556" t="str">
        <f t="shared" ca="1" si="196"/>
        <v/>
      </c>
      <c r="X1169" s="494" t="s">
        <v>198</v>
      </c>
      <c r="Y1169" s="547" t="str">
        <f t="shared" ca="1" si="200"/>
        <v/>
      </c>
      <c r="Z1169" s="494" t="s">
        <v>1612</v>
      </c>
      <c r="AA1169" s="547" t="str">
        <f t="shared" ca="1" si="201"/>
        <v/>
      </c>
      <c r="AB1169" s="494" t="s">
        <v>1613</v>
      </c>
      <c r="AC1169" s="547" t="str">
        <f t="shared" ca="1" si="202"/>
        <v/>
      </c>
      <c r="AD1169" s="557"/>
      <c r="AE1169" s="958"/>
    </row>
    <row r="1170" spans="1:31" ht="15" customHeight="1">
      <c r="A1170" s="957">
        <v>56</v>
      </c>
      <c r="B1170" s="566" t="s">
        <v>68</v>
      </c>
      <c r="C1170" s="567" t="s">
        <v>1595</v>
      </c>
      <c r="D1170" s="958">
        <v>1</v>
      </c>
      <c r="E1170" s="959" t="s">
        <v>367</v>
      </c>
      <c r="F1170" s="558" t="s">
        <v>1488</v>
      </c>
      <c r="G1170" s="558">
        <v>859</v>
      </c>
      <c r="H1170" s="558" t="s">
        <v>395</v>
      </c>
      <c r="I1170" s="559" t="s">
        <v>593</v>
      </c>
      <c r="J1170" s="567" t="s">
        <v>1606</v>
      </c>
      <c r="K1170" s="961" t="s">
        <v>1607</v>
      </c>
      <c r="L1170" s="555" t="str">
        <f t="shared" ca="1" si="197"/>
        <v/>
      </c>
      <c r="M1170" s="494" t="s">
        <v>1608</v>
      </c>
      <c r="N1170" s="555" t="str">
        <f t="shared" ca="1" si="198"/>
        <v/>
      </c>
      <c r="O1170" s="494" t="s">
        <v>1609</v>
      </c>
      <c r="P1170" s="555" t="str">
        <f t="shared" ca="1" si="199"/>
        <v/>
      </c>
      <c r="Q1170" s="494" t="s">
        <v>1610</v>
      </c>
      <c r="R1170" s="494" t="str">
        <f t="shared" si="203"/>
        <v>H1170</v>
      </c>
      <c r="S1170" s="494" t="s">
        <v>1611</v>
      </c>
      <c r="T1170" s="494">
        <v>6</v>
      </c>
      <c r="U1170" s="556" t="str">
        <f t="shared" ca="1" si="195"/>
        <v/>
      </c>
      <c r="V1170" s="494">
        <v>7</v>
      </c>
      <c r="W1170" s="556" t="str">
        <f t="shared" ca="1" si="196"/>
        <v/>
      </c>
      <c r="X1170" s="494" t="s">
        <v>198</v>
      </c>
      <c r="Y1170" s="547" t="str">
        <f t="shared" ca="1" si="200"/>
        <v/>
      </c>
      <c r="Z1170" s="494" t="s">
        <v>1612</v>
      </c>
      <c r="AA1170" s="547" t="str">
        <f t="shared" ca="1" si="201"/>
        <v/>
      </c>
      <c r="AB1170" s="494" t="s">
        <v>1613</v>
      </c>
      <c r="AC1170" s="547" t="str">
        <f t="shared" ca="1" si="202"/>
        <v/>
      </c>
      <c r="AD1170" s="557"/>
      <c r="AE1170" s="958"/>
    </row>
    <row r="1171" spans="1:31" ht="15" customHeight="1">
      <c r="A1171" s="957">
        <v>56</v>
      </c>
      <c r="B1171" s="566" t="s">
        <v>68</v>
      </c>
      <c r="C1171" s="567" t="s">
        <v>1595</v>
      </c>
      <c r="D1171" s="958">
        <v>1</v>
      </c>
      <c r="E1171" s="959" t="s">
        <v>396</v>
      </c>
      <c r="F1171" s="558" t="s">
        <v>1498</v>
      </c>
      <c r="G1171" s="558">
        <v>872</v>
      </c>
      <c r="H1171" s="558">
        <v>23.1</v>
      </c>
      <c r="I1171" s="559" t="s">
        <v>595</v>
      </c>
      <c r="J1171" s="567" t="s">
        <v>1606</v>
      </c>
      <c r="K1171" s="961" t="s">
        <v>1607</v>
      </c>
      <c r="L1171" s="555" t="str">
        <f t="shared" ca="1" si="197"/>
        <v/>
      </c>
      <c r="M1171" s="494" t="s">
        <v>1608</v>
      </c>
      <c r="N1171" s="555" t="str">
        <f t="shared" ca="1" si="198"/>
        <v/>
      </c>
      <c r="O1171" s="494" t="s">
        <v>1609</v>
      </c>
      <c r="P1171" s="555" t="str">
        <f t="shared" ca="1" si="199"/>
        <v/>
      </c>
      <c r="Q1171" s="494" t="s">
        <v>1610</v>
      </c>
      <c r="R1171" s="494" t="str">
        <f t="shared" si="203"/>
        <v>H1171</v>
      </c>
      <c r="S1171" s="494" t="s">
        <v>1611</v>
      </c>
      <c r="T1171" s="494">
        <v>6</v>
      </c>
      <c r="U1171" s="556" t="str">
        <f t="shared" ca="1" si="195"/>
        <v/>
      </c>
      <c r="V1171" s="494">
        <v>7</v>
      </c>
      <c r="W1171" s="556" t="str">
        <f t="shared" ca="1" si="196"/>
        <v/>
      </c>
      <c r="X1171" s="494" t="s">
        <v>198</v>
      </c>
      <c r="Y1171" s="547" t="str">
        <f t="shared" ca="1" si="200"/>
        <v/>
      </c>
      <c r="Z1171" s="494" t="s">
        <v>1612</v>
      </c>
      <c r="AA1171" s="547" t="str">
        <f t="shared" ca="1" si="201"/>
        <v/>
      </c>
      <c r="AB1171" s="494" t="s">
        <v>1613</v>
      </c>
      <c r="AC1171" s="547" t="str">
        <f t="shared" ca="1" si="202"/>
        <v/>
      </c>
      <c r="AD1171" s="557"/>
      <c r="AE1171" s="958"/>
    </row>
    <row r="1172" spans="1:31" ht="15" customHeight="1">
      <c r="A1172" s="957">
        <v>56</v>
      </c>
      <c r="B1172" s="566" t="s">
        <v>68</v>
      </c>
      <c r="C1172" s="567" t="s">
        <v>1595</v>
      </c>
      <c r="D1172" s="958">
        <v>1</v>
      </c>
      <c r="E1172" s="959" t="s">
        <v>396</v>
      </c>
      <c r="F1172" s="558" t="s">
        <v>1498</v>
      </c>
      <c r="G1172" s="558">
        <v>872</v>
      </c>
      <c r="H1172" s="558">
        <v>23.2</v>
      </c>
      <c r="I1172" s="559" t="s">
        <v>596</v>
      </c>
      <c r="J1172" s="567" t="s">
        <v>1606</v>
      </c>
      <c r="K1172" s="961" t="s">
        <v>1607</v>
      </c>
      <c r="L1172" s="555" t="str">
        <f t="shared" ca="1" si="197"/>
        <v/>
      </c>
      <c r="M1172" s="494" t="s">
        <v>1608</v>
      </c>
      <c r="N1172" s="555" t="str">
        <f t="shared" ca="1" si="198"/>
        <v/>
      </c>
      <c r="O1172" s="494" t="s">
        <v>1609</v>
      </c>
      <c r="P1172" s="555" t="str">
        <f t="shared" ca="1" si="199"/>
        <v/>
      </c>
      <c r="Q1172" s="494" t="s">
        <v>1610</v>
      </c>
      <c r="R1172" s="494" t="str">
        <f t="shared" si="203"/>
        <v>H1172</v>
      </c>
      <c r="S1172" s="494" t="s">
        <v>1611</v>
      </c>
      <c r="T1172" s="494">
        <v>6</v>
      </c>
      <c r="U1172" s="556" t="str">
        <f t="shared" ca="1" si="195"/>
        <v/>
      </c>
      <c r="V1172" s="494">
        <v>7</v>
      </c>
      <c r="W1172" s="556" t="str">
        <f t="shared" ca="1" si="196"/>
        <v/>
      </c>
      <c r="X1172" s="494" t="s">
        <v>198</v>
      </c>
      <c r="Y1172" s="547" t="str">
        <f t="shared" ca="1" si="200"/>
        <v/>
      </c>
      <c r="Z1172" s="494" t="s">
        <v>1612</v>
      </c>
      <c r="AA1172" s="547" t="str">
        <f t="shared" ca="1" si="201"/>
        <v/>
      </c>
      <c r="AB1172" s="494" t="s">
        <v>1613</v>
      </c>
      <c r="AC1172" s="547" t="str">
        <f t="shared" ca="1" si="202"/>
        <v/>
      </c>
      <c r="AD1172" s="557"/>
      <c r="AE1172" s="958"/>
    </row>
    <row r="1173" spans="1:31" ht="15" customHeight="1">
      <c r="A1173" s="957">
        <v>56</v>
      </c>
      <c r="B1173" s="566" t="s">
        <v>68</v>
      </c>
      <c r="C1173" s="567" t="s">
        <v>1595</v>
      </c>
      <c r="D1173" s="958">
        <v>1</v>
      </c>
      <c r="E1173" s="959" t="s">
        <v>396</v>
      </c>
      <c r="F1173" s="558" t="s">
        <v>1498</v>
      </c>
      <c r="G1173" s="558">
        <v>872</v>
      </c>
      <c r="H1173" s="558">
        <v>23.3</v>
      </c>
      <c r="I1173" s="559" t="s">
        <v>597</v>
      </c>
      <c r="J1173" s="567" t="s">
        <v>1606</v>
      </c>
      <c r="K1173" s="961" t="s">
        <v>1607</v>
      </c>
      <c r="L1173" s="555" t="str">
        <f t="shared" ca="1" si="197"/>
        <v/>
      </c>
      <c r="M1173" s="494" t="s">
        <v>1608</v>
      </c>
      <c r="N1173" s="555" t="str">
        <f t="shared" ca="1" si="198"/>
        <v/>
      </c>
      <c r="O1173" s="494" t="s">
        <v>1609</v>
      </c>
      <c r="P1173" s="555" t="str">
        <f t="shared" ca="1" si="199"/>
        <v/>
      </c>
      <c r="Q1173" s="494" t="s">
        <v>1610</v>
      </c>
      <c r="R1173" s="494" t="str">
        <f t="shared" si="203"/>
        <v>H1173</v>
      </c>
      <c r="S1173" s="494" t="s">
        <v>1611</v>
      </c>
      <c r="T1173" s="494">
        <v>6</v>
      </c>
      <c r="U1173" s="556" t="str">
        <f t="shared" ca="1" si="195"/>
        <v/>
      </c>
      <c r="V1173" s="494">
        <v>7</v>
      </c>
      <c r="W1173" s="556" t="str">
        <f t="shared" ca="1" si="196"/>
        <v/>
      </c>
      <c r="X1173" s="494" t="s">
        <v>198</v>
      </c>
      <c r="Y1173" s="547" t="str">
        <f t="shared" ca="1" si="200"/>
        <v/>
      </c>
      <c r="Z1173" s="494" t="s">
        <v>1612</v>
      </c>
      <c r="AA1173" s="547" t="str">
        <f t="shared" ca="1" si="201"/>
        <v/>
      </c>
      <c r="AB1173" s="494" t="s">
        <v>1613</v>
      </c>
      <c r="AC1173" s="547" t="str">
        <f t="shared" ca="1" si="202"/>
        <v/>
      </c>
      <c r="AD1173" s="557"/>
      <c r="AE1173" s="958"/>
    </row>
    <row r="1174" spans="1:31" ht="15" customHeight="1">
      <c r="A1174" s="957">
        <v>56</v>
      </c>
      <c r="B1174" s="566" t="s">
        <v>68</v>
      </c>
      <c r="C1174" s="567" t="s">
        <v>1595</v>
      </c>
      <c r="D1174" s="958">
        <v>1</v>
      </c>
      <c r="E1174" s="959" t="s">
        <v>404</v>
      </c>
      <c r="F1174" s="558" t="s">
        <v>1499</v>
      </c>
      <c r="G1174" s="558">
        <v>863</v>
      </c>
      <c r="H1174" s="558">
        <v>24</v>
      </c>
      <c r="I1174" s="559" t="s">
        <v>646</v>
      </c>
      <c r="J1174" s="567" t="s">
        <v>1606</v>
      </c>
      <c r="K1174" s="961" t="s">
        <v>1607</v>
      </c>
      <c r="L1174" s="555" t="str">
        <f t="shared" ca="1" si="197"/>
        <v/>
      </c>
      <c r="M1174" s="494" t="s">
        <v>1608</v>
      </c>
      <c r="N1174" s="555" t="str">
        <f t="shared" ca="1" si="198"/>
        <v/>
      </c>
      <c r="O1174" s="494" t="s">
        <v>1609</v>
      </c>
      <c r="P1174" s="555" t="str">
        <f t="shared" ca="1" si="199"/>
        <v/>
      </c>
      <c r="Q1174" s="494" t="s">
        <v>1610</v>
      </c>
      <c r="R1174" s="494" t="str">
        <f t="shared" si="203"/>
        <v>H1174</v>
      </c>
      <c r="S1174" s="494" t="s">
        <v>1611</v>
      </c>
      <c r="T1174" s="494">
        <v>6</v>
      </c>
      <c r="U1174" s="556" t="str">
        <f t="shared" ca="1" si="195"/>
        <v/>
      </c>
      <c r="V1174" s="494">
        <v>7</v>
      </c>
      <c r="W1174" s="556" t="str">
        <f t="shared" ca="1" si="196"/>
        <v/>
      </c>
      <c r="X1174" s="494" t="s">
        <v>198</v>
      </c>
      <c r="Y1174" s="547" t="str">
        <f t="shared" ca="1" si="200"/>
        <v/>
      </c>
      <c r="Z1174" s="494" t="s">
        <v>1612</v>
      </c>
      <c r="AA1174" s="547" t="str">
        <f t="shared" ca="1" si="201"/>
        <v/>
      </c>
      <c r="AB1174" s="494" t="s">
        <v>1613</v>
      </c>
      <c r="AC1174" s="547" t="str">
        <f t="shared" ca="1" si="202"/>
        <v/>
      </c>
      <c r="AD1174" s="557"/>
      <c r="AE1174" s="958"/>
    </row>
    <row r="1175" spans="1:31" ht="15" customHeight="1">
      <c r="A1175" s="957">
        <v>56</v>
      </c>
      <c r="B1175" s="566" t="s">
        <v>68</v>
      </c>
      <c r="C1175" s="567" t="s">
        <v>1595</v>
      </c>
      <c r="D1175" s="958">
        <v>1</v>
      </c>
      <c r="E1175" s="959" t="s">
        <v>404</v>
      </c>
      <c r="F1175" s="558" t="s">
        <v>1499</v>
      </c>
      <c r="G1175" s="558">
        <v>864</v>
      </c>
      <c r="H1175" s="558">
        <v>24.1</v>
      </c>
      <c r="I1175" s="559" t="s">
        <v>412</v>
      </c>
      <c r="J1175" s="567" t="s">
        <v>1606</v>
      </c>
      <c r="K1175" s="961" t="s">
        <v>1607</v>
      </c>
      <c r="L1175" s="555" t="str">
        <f t="shared" ca="1" si="197"/>
        <v/>
      </c>
      <c r="M1175" s="494" t="s">
        <v>1608</v>
      </c>
      <c r="N1175" s="555" t="str">
        <f t="shared" ca="1" si="198"/>
        <v/>
      </c>
      <c r="O1175" s="494" t="s">
        <v>1609</v>
      </c>
      <c r="P1175" s="555" t="str">
        <f t="shared" ca="1" si="199"/>
        <v/>
      </c>
      <c r="Q1175" s="494" t="s">
        <v>1610</v>
      </c>
      <c r="R1175" s="494" t="str">
        <f t="shared" si="203"/>
        <v>H1175</v>
      </c>
      <c r="S1175" s="494" t="s">
        <v>1611</v>
      </c>
      <c r="T1175" s="494">
        <v>6</v>
      </c>
      <c r="U1175" s="556" t="str">
        <f t="shared" ca="1" si="195"/>
        <v/>
      </c>
      <c r="V1175" s="494">
        <v>7</v>
      </c>
      <c r="W1175" s="556" t="str">
        <f t="shared" ca="1" si="196"/>
        <v/>
      </c>
      <c r="X1175" s="494" t="s">
        <v>198</v>
      </c>
      <c r="Y1175" s="547" t="str">
        <f t="shared" ca="1" si="200"/>
        <v/>
      </c>
      <c r="Z1175" s="494" t="s">
        <v>1612</v>
      </c>
      <c r="AA1175" s="547" t="str">
        <f t="shared" ca="1" si="201"/>
        <v/>
      </c>
      <c r="AB1175" s="494" t="s">
        <v>1613</v>
      </c>
      <c r="AC1175" s="547" t="str">
        <f t="shared" ca="1" si="202"/>
        <v/>
      </c>
      <c r="AD1175" s="557"/>
      <c r="AE1175" s="958"/>
    </row>
    <row r="1176" spans="1:31" ht="15" customHeight="1">
      <c r="A1176" s="957">
        <v>56</v>
      </c>
      <c r="B1176" s="566" t="s">
        <v>68</v>
      </c>
      <c r="C1176" s="567" t="s">
        <v>1595</v>
      </c>
      <c r="D1176" s="958">
        <v>1</v>
      </c>
      <c r="E1176" s="959" t="s">
        <v>404</v>
      </c>
      <c r="F1176" s="558" t="s">
        <v>1499</v>
      </c>
      <c r="G1176" s="558">
        <v>865</v>
      </c>
      <c r="H1176" s="558">
        <v>25</v>
      </c>
      <c r="I1176" s="559" t="s">
        <v>415</v>
      </c>
      <c r="J1176" s="567" t="s">
        <v>1606</v>
      </c>
      <c r="K1176" s="961" t="s">
        <v>1607</v>
      </c>
      <c r="L1176" s="555" t="str">
        <f t="shared" ca="1" si="197"/>
        <v/>
      </c>
      <c r="M1176" s="494" t="s">
        <v>1608</v>
      </c>
      <c r="N1176" s="555" t="str">
        <f t="shared" ca="1" si="198"/>
        <v/>
      </c>
      <c r="O1176" s="494" t="s">
        <v>1609</v>
      </c>
      <c r="P1176" s="555" t="str">
        <f t="shared" ca="1" si="199"/>
        <v/>
      </c>
      <c r="Q1176" s="494" t="s">
        <v>1610</v>
      </c>
      <c r="R1176" s="494" t="str">
        <f t="shared" si="203"/>
        <v>H1176</v>
      </c>
      <c r="S1176" s="494" t="s">
        <v>1611</v>
      </c>
      <c r="T1176" s="494">
        <v>6</v>
      </c>
      <c r="U1176" s="556" t="str">
        <f t="shared" ca="1" si="195"/>
        <v/>
      </c>
      <c r="V1176" s="494">
        <v>7</v>
      </c>
      <c r="W1176" s="556" t="str">
        <f t="shared" ca="1" si="196"/>
        <v/>
      </c>
      <c r="X1176" s="494" t="s">
        <v>198</v>
      </c>
      <c r="Y1176" s="547" t="str">
        <f t="shared" ca="1" si="200"/>
        <v/>
      </c>
      <c r="Z1176" s="494" t="s">
        <v>1612</v>
      </c>
      <c r="AA1176" s="547" t="str">
        <f t="shared" ca="1" si="201"/>
        <v/>
      </c>
      <c r="AB1176" s="494" t="s">
        <v>1613</v>
      </c>
      <c r="AC1176" s="547" t="str">
        <f t="shared" ca="1" si="202"/>
        <v/>
      </c>
      <c r="AD1176" s="557"/>
      <c r="AE1176" s="958"/>
    </row>
    <row r="1177" spans="1:31" ht="15" customHeight="1">
      <c r="A1177" s="957">
        <v>56</v>
      </c>
      <c r="B1177" s="566" t="s">
        <v>68</v>
      </c>
      <c r="C1177" s="567" t="s">
        <v>1595</v>
      </c>
      <c r="D1177" s="958">
        <v>1</v>
      </c>
      <c r="E1177" s="959" t="s">
        <v>404</v>
      </c>
      <c r="F1177" s="558" t="s">
        <v>1499</v>
      </c>
      <c r="G1177" s="558">
        <v>866</v>
      </c>
      <c r="H1177" s="558">
        <v>26</v>
      </c>
      <c r="I1177" s="559" t="s">
        <v>416</v>
      </c>
      <c r="J1177" s="567" t="s">
        <v>1606</v>
      </c>
      <c r="K1177" s="961" t="s">
        <v>1607</v>
      </c>
      <c r="L1177" s="555" t="str">
        <f t="shared" ca="1" si="197"/>
        <v/>
      </c>
      <c r="M1177" s="494" t="s">
        <v>1608</v>
      </c>
      <c r="N1177" s="555" t="str">
        <f t="shared" ca="1" si="198"/>
        <v/>
      </c>
      <c r="O1177" s="494" t="s">
        <v>1609</v>
      </c>
      <c r="P1177" s="555" t="str">
        <f t="shared" ca="1" si="199"/>
        <v/>
      </c>
      <c r="Q1177" s="494" t="s">
        <v>1610</v>
      </c>
      <c r="R1177" s="494" t="str">
        <f t="shared" si="203"/>
        <v>H1177</v>
      </c>
      <c r="S1177" s="494" t="s">
        <v>1611</v>
      </c>
      <c r="T1177" s="494">
        <v>6</v>
      </c>
      <c r="U1177" s="556" t="str">
        <f t="shared" ca="1" si="195"/>
        <v/>
      </c>
      <c r="V1177" s="494">
        <v>7</v>
      </c>
      <c r="W1177" s="556" t="str">
        <f t="shared" ca="1" si="196"/>
        <v/>
      </c>
      <c r="X1177" s="494" t="s">
        <v>198</v>
      </c>
      <c r="Y1177" s="547" t="str">
        <f t="shared" ca="1" si="200"/>
        <v/>
      </c>
      <c r="Z1177" s="494" t="s">
        <v>1612</v>
      </c>
      <c r="AA1177" s="547" t="str">
        <f t="shared" ca="1" si="201"/>
        <v/>
      </c>
      <c r="AB1177" s="494" t="s">
        <v>1613</v>
      </c>
      <c r="AC1177" s="547" t="str">
        <f t="shared" ca="1" si="202"/>
        <v/>
      </c>
      <c r="AD1177" s="557"/>
      <c r="AE1177" s="958"/>
    </row>
    <row r="1178" spans="1:31" ht="15" customHeight="1">
      <c r="A1178" s="957">
        <v>56</v>
      </c>
      <c r="B1178" s="566" t="s">
        <v>68</v>
      </c>
      <c r="C1178" s="567" t="s">
        <v>1595</v>
      </c>
      <c r="D1178" s="958">
        <v>1</v>
      </c>
      <c r="E1178" s="959" t="s">
        <v>419</v>
      </c>
      <c r="F1178" s="558" t="s">
        <v>1501</v>
      </c>
      <c r="G1178" s="558">
        <v>867</v>
      </c>
      <c r="H1178" s="558" t="s">
        <v>647</v>
      </c>
      <c r="I1178" s="559" t="s">
        <v>1619</v>
      </c>
      <c r="J1178" s="567" t="s">
        <v>1606</v>
      </c>
      <c r="K1178" s="961" t="s">
        <v>1607</v>
      </c>
      <c r="L1178" s="555" t="str">
        <f t="shared" ca="1" si="197"/>
        <v/>
      </c>
      <c r="M1178" s="494" t="s">
        <v>1608</v>
      </c>
      <c r="N1178" s="555" t="str">
        <f t="shared" ca="1" si="198"/>
        <v/>
      </c>
      <c r="O1178" s="494" t="s">
        <v>1609</v>
      </c>
      <c r="P1178" s="555" t="str">
        <f t="shared" ca="1" si="199"/>
        <v/>
      </c>
      <c r="Q1178" s="494" t="s">
        <v>1610</v>
      </c>
      <c r="R1178" s="494" t="str">
        <f t="shared" si="203"/>
        <v>H1178</v>
      </c>
      <c r="S1178" s="494" t="s">
        <v>1611</v>
      </c>
      <c r="T1178" s="494">
        <v>6</v>
      </c>
      <c r="U1178" s="556" t="str">
        <f t="shared" ca="1" si="195"/>
        <v/>
      </c>
      <c r="V1178" s="494">
        <v>7</v>
      </c>
      <c r="W1178" s="556" t="str">
        <f t="shared" ca="1" si="196"/>
        <v/>
      </c>
      <c r="X1178" s="494" t="s">
        <v>198</v>
      </c>
      <c r="Y1178" s="547" t="str">
        <f t="shared" ca="1" si="200"/>
        <v/>
      </c>
      <c r="Z1178" s="494" t="s">
        <v>1612</v>
      </c>
      <c r="AA1178" s="547" t="str">
        <f t="shared" ca="1" si="201"/>
        <v/>
      </c>
      <c r="AB1178" s="494" t="s">
        <v>1613</v>
      </c>
      <c r="AC1178" s="547" t="str">
        <f t="shared" ca="1" si="202"/>
        <v/>
      </c>
      <c r="AD1178" s="557"/>
      <c r="AE1178" s="958"/>
    </row>
    <row r="1179" spans="1:31" ht="15" customHeight="1">
      <c r="A1179" s="957">
        <v>56</v>
      </c>
      <c r="B1179" s="566" t="s">
        <v>68</v>
      </c>
      <c r="C1179" s="567" t="s">
        <v>1595</v>
      </c>
      <c r="D1179" s="958">
        <v>1</v>
      </c>
      <c r="E1179" s="959" t="s">
        <v>419</v>
      </c>
      <c r="F1179" s="558" t="s">
        <v>1501</v>
      </c>
      <c r="G1179" s="558">
        <v>868</v>
      </c>
      <c r="H1179" s="558" t="s">
        <v>648</v>
      </c>
      <c r="I1179" s="559" t="s">
        <v>1620</v>
      </c>
      <c r="J1179" s="567" t="s">
        <v>1606</v>
      </c>
      <c r="K1179" s="961" t="s">
        <v>1607</v>
      </c>
      <c r="L1179" s="555" t="str">
        <f t="shared" ca="1" si="197"/>
        <v/>
      </c>
      <c r="M1179" s="494" t="s">
        <v>1608</v>
      </c>
      <c r="N1179" s="555" t="str">
        <f t="shared" ca="1" si="198"/>
        <v/>
      </c>
      <c r="O1179" s="494" t="s">
        <v>1609</v>
      </c>
      <c r="P1179" s="555" t="str">
        <f t="shared" ca="1" si="199"/>
        <v/>
      </c>
      <c r="Q1179" s="494" t="s">
        <v>1610</v>
      </c>
      <c r="R1179" s="494" t="str">
        <f t="shared" si="203"/>
        <v>H1179</v>
      </c>
      <c r="S1179" s="494" t="s">
        <v>1611</v>
      </c>
      <c r="T1179" s="494">
        <v>6</v>
      </c>
      <c r="U1179" s="556" t="str">
        <f t="shared" ca="1" si="195"/>
        <v/>
      </c>
      <c r="V1179" s="494">
        <v>7</v>
      </c>
      <c r="W1179" s="556" t="str">
        <f t="shared" ca="1" si="196"/>
        <v/>
      </c>
      <c r="X1179" s="494" t="s">
        <v>198</v>
      </c>
      <c r="Y1179" s="547" t="str">
        <f t="shared" ca="1" si="200"/>
        <v/>
      </c>
      <c r="Z1179" s="494" t="s">
        <v>1612</v>
      </c>
      <c r="AA1179" s="547" t="str">
        <f t="shared" ca="1" si="201"/>
        <v/>
      </c>
      <c r="AB1179" s="494" t="s">
        <v>1613</v>
      </c>
      <c r="AC1179" s="547" t="str">
        <f t="shared" ca="1" si="202"/>
        <v/>
      </c>
      <c r="AD1179" s="557"/>
      <c r="AE1179" s="958"/>
    </row>
    <row r="1180" spans="1:31" ht="15" customHeight="1">
      <c r="A1180" s="957">
        <v>56</v>
      </c>
      <c r="B1180" s="566" t="s">
        <v>68</v>
      </c>
      <c r="C1180" s="567" t="s">
        <v>1595</v>
      </c>
      <c r="D1180" s="958">
        <v>1</v>
      </c>
      <c r="E1180" s="959" t="s">
        <v>419</v>
      </c>
      <c r="F1180" s="558" t="s">
        <v>1501</v>
      </c>
      <c r="G1180" s="558">
        <v>869</v>
      </c>
      <c r="H1180" s="558" t="s">
        <v>649</v>
      </c>
      <c r="I1180" s="559" t="s">
        <v>1621</v>
      </c>
      <c r="J1180" s="567" t="s">
        <v>1606</v>
      </c>
      <c r="K1180" s="961" t="s">
        <v>1607</v>
      </c>
      <c r="L1180" s="555" t="str">
        <f t="shared" ca="1" si="197"/>
        <v/>
      </c>
      <c r="M1180" s="494" t="s">
        <v>1608</v>
      </c>
      <c r="N1180" s="555" t="str">
        <f t="shared" ca="1" si="198"/>
        <v/>
      </c>
      <c r="O1180" s="494" t="s">
        <v>1609</v>
      </c>
      <c r="P1180" s="555" t="str">
        <f t="shared" ca="1" si="199"/>
        <v/>
      </c>
      <c r="Q1180" s="494" t="s">
        <v>1610</v>
      </c>
      <c r="R1180" s="494" t="str">
        <f t="shared" si="203"/>
        <v>H1180</v>
      </c>
      <c r="S1180" s="494" t="s">
        <v>1611</v>
      </c>
      <c r="T1180" s="494">
        <v>6</v>
      </c>
      <c r="U1180" s="556" t="str">
        <f t="shared" ca="1" si="195"/>
        <v/>
      </c>
      <c r="V1180" s="494">
        <v>7</v>
      </c>
      <c r="W1180" s="556" t="str">
        <f t="shared" ca="1" si="196"/>
        <v/>
      </c>
      <c r="X1180" s="494" t="s">
        <v>198</v>
      </c>
      <c r="Y1180" s="547" t="str">
        <f t="shared" ca="1" si="200"/>
        <v/>
      </c>
      <c r="Z1180" s="494" t="s">
        <v>1612</v>
      </c>
      <c r="AA1180" s="547" t="str">
        <f t="shared" ca="1" si="201"/>
        <v/>
      </c>
      <c r="AB1180" s="494" t="s">
        <v>1613</v>
      </c>
      <c r="AC1180" s="547" t="str">
        <f t="shared" ca="1" si="202"/>
        <v/>
      </c>
      <c r="AD1180" s="557"/>
      <c r="AE1180" s="958"/>
    </row>
    <row r="1181" spans="1:31" ht="15" customHeight="1">
      <c r="A1181" s="957">
        <v>56</v>
      </c>
      <c r="B1181" s="566" t="s">
        <v>68</v>
      </c>
      <c r="C1181" s="567" t="s">
        <v>1595</v>
      </c>
      <c r="D1181" s="958">
        <v>1</v>
      </c>
      <c r="E1181" s="959" t="s">
        <v>419</v>
      </c>
      <c r="F1181" s="558" t="s">
        <v>1501</v>
      </c>
      <c r="G1181" s="558">
        <v>870</v>
      </c>
      <c r="H1181" s="558" t="s">
        <v>650</v>
      </c>
      <c r="I1181" s="559" t="s">
        <v>426</v>
      </c>
      <c r="J1181" s="567" t="s">
        <v>1606</v>
      </c>
      <c r="K1181" s="961" t="s">
        <v>1607</v>
      </c>
      <c r="L1181" s="555" t="str">
        <f t="shared" ca="1" si="197"/>
        <v/>
      </c>
      <c r="M1181" s="494" t="s">
        <v>1608</v>
      </c>
      <c r="N1181" s="555" t="str">
        <f t="shared" ca="1" si="198"/>
        <v/>
      </c>
      <c r="O1181" s="494" t="s">
        <v>1609</v>
      </c>
      <c r="P1181" s="555" t="str">
        <f t="shared" ca="1" si="199"/>
        <v/>
      </c>
      <c r="Q1181" s="494" t="s">
        <v>1610</v>
      </c>
      <c r="R1181" s="494" t="str">
        <f t="shared" si="203"/>
        <v>H1181</v>
      </c>
      <c r="S1181" s="494" t="s">
        <v>1611</v>
      </c>
      <c r="T1181" s="494">
        <v>6</v>
      </c>
      <c r="U1181" s="556" t="str">
        <f t="shared" ca="1" si="195"/>
        <v/>
      </c>
      <c r="V1181" s="494">
        <v>7</v>
      </c>
      <c r="W1181" s="556" t="str">
        <f t="shared" ca="1" si="196"/>
        <v/>
      </c>
      <c r="X1181" s="494" t="s">
        <v>198</v>
      </c>
      <c r="Y1181" s="547" t="str">
        <f t="shared" ca="1" si="200"/>
        <v/>
      </c>
      <c r="Z1181" s="494" t="s">
        <v>1612</v>
      </c>
      <c r="AA1181" s="547" t="str">
        <f t="shared" ca="1" si="201"/>
        <v/>
      </c>
      <c r="AB1181" s="494" t="s">
        <v>1613</v>
      </c>
      <c r="AC1181" s="547" t="str">
        <f t="shared" ca="1" si="202"/>
        <v/>
      </c>
      <c r="AD1181" s="557"/>
      <c r="AE1181" s="958"/>
    </row>
    <row r="1182" spans="1:31" ht="15" customHeight="1">
      <c r="A1182" s="957">
        <v>56</v>
      </c>
      <c r="B1182" s="566" t="s">
        <v>68</v>
      </c>
      <c r="C1182" s="567" t="s">
        <v>1595</v>
      </c>
      <c r="D1182" s="958">
        <v>1</v>
      </c>
      <c r="E1182" s="959" t="s">
        <v>419</v>
      </c>
      <c r="F1182" s="558" t="s">
        <v>1501</v>
      </c>
      <c r="G1182" s="558">
        <v>870</v>
      </c>
      <c r="H1182" s="558" t="s">
        <v>651</v>
      </c>
      <c r="I1182" s="559" t="s">
        <v>428</v>
      </c>
      <c r="J1182" s="567" t="s">
        <v>1606</v>
      </c>
      <c r="K1182" s="961" t="s">
        <v>1607</v>
      </c>
      <c r="L1182" s="555" t="str">
        <f t="shared" ca="1" si="197"/>
        <v/>
      </c>
      <c r="M1182" s="494" t="s">
        <v>1608</v>
      </c>
      <c r="N1182" s="555" t="str">
        <f t="shared" ca="1" si="198"/>
        <v/>
      </c>
      <c r="O1182" s="494" t="s">
        <v>1609</v>
      </c>
      <c r="P1182" s="555" t="str">
        <f t="shared" ca="1" si="199"/>
        <v/>
      </c>
      <c r="Q1182" s="494" t="s">
        <v>1610</v>
      </c>
      <c r="R1182" s="494" t="str">
        <f t="shared" si="203"/>
        <v>H1182</v>
      </c>
      <c r="S1182" s="494" t="s">
        <v>1611</v>
      </c>
      <c r="T1182" s="494">
        <v>6</v>
      </c>
      <c r="U1182" s="556" t="str">
        <f t="shared" ca="1" si="195"/>
        <v/>
      </c>
      <c r="V1182" s="494">
        <v>7</v>
      </c>
      <c r="W1182" s="556" t="str">
        <f t="shared" ca="1" si="196"/>
        <v/>
      </c>
      <c r="X1182" s="494" t="s">
        <v>198</v>
      </c>
      <c r="Y1182" s="547" t="str">
        <f t="shared" ca="1" si="200"/>
        <v/>
      </c>
      <c r="Z1182" s="494" t="s">
        <v>1612</v>
      </c>
      <c r="AA1182" s="547" t="str">
        <f t="shared" ca="1" si="201"/>
        <v/>
      </c>
      <c r="AB1182" s="494" t="s">
        <v>1613</v>
      </c>
      <c r="AC1182" s="547" t="str">
        <f t="shared" ca="1" si="202"/>
        <v/>
      </c>
      <c r="AD1182" s="557"/>
      <c r="AE1182" s="958"/>
    </row>
    <row r="1183" spans="1:31" ht="15" customHeight="1">
      <c r="A1183" s="957">
        <v>92</v>
      </c>
      <c r="B1183" s="566" t="s">
        <v>533</v>
      </c>
      <c r="C1183" s="567" t="s">
        <v>1595</v>
      </c>
      <c r="D1183" s="958">
        <v>1.1000000000000001</v>
      </c>
      <c r="E1183" s="959" t="s">
        <v>254</v>
      </c>
      <c r="F1183" s="558" t="s">
        <v>1444</v>
      </c>
      <c r="G1183" s="558">
        <v>813</v>
      </c>
      <c r="H1183" s="558">
        <v>1</v>
      </c>
      <c r="I1183" s="559" t="s">
        <v>492</v>
      </c>
      <c r="J1183" s="567" t="s">
        <v>1606</v>
      </c>
      <c r="K1183" s="961" t="s">
        <v>1607</v>
      </c>
      <c r="L1183" s="555" t="str">
        <f t="shared" ca="1" si="197"/>
        <v/>
      </c>
      <c r="M1183" s="494" t="s">
        <v>1608</v>
      </c>
      <c r="N1183" s="555" t="str">
        <f t="shared" ca="1" si="198"/>
        <v/>
      </c>
      <c r="O1183" s="494" t="s">
        <v>1609</v>
      </c>
      <c r="P1183" s="555" t="str">
        <f t="shared" ca="1" si="199"/>
        <v/>
      </c>
      <c r="Q1183" s="494" t="s">
        <v>1610</v>
      </c>
      <c r="R1183" s="494" t="str">
        <f t="shared" si="203"/>
        <v>H1183</v>
      </c>
      <c r="S1183" s="494" t="s">
        <v>1611</v>
      </c>
      <c r="T1183" s="494">
        <v>6</v>
      </c>
      <c r="U1183" s="556" t="str">
        <f t="shared" ca="1" si="195"/>
        <v/>
      </c>
      <c r="V1183" s="494">
        <v>7</v>
      </c>
      <c r="W1183" s="556" t="str">
        <f t="shared" ca="1" si="196"/>
        <v/>
      </c>
      <c r="X1183" s="494" t="s">
        <v>198</v>
      </c>
      <c r="Y1183" s="547" t="str">
        <f t="shared" ca="1" si="200"/>
        <v/>
      </c>
      <c r="Z1183" s="494" t="s">
        <v>1612</v>
      </c>
      <c r="AA1183" s="547" t="str">
        <f t="shared" ca="1" si="201"/>
        <v/>
      </c>
      <c r="AB1183" s="494" t="s">
        <v>1613</v>
      </c>
      <c r="AC1183" s="547" t="str">
        <f t="shared" ca="1" si="202"/>
        <v/>
      </c>
      <c r="AD1183" s="557"/>
      <c r="AE1183" s="958"/>
    </row>
    <row r="1184" spans="1:31" ht="15" customHeight="1">
      <c r="A1184" s="957">
        <v>92</v>
      </c>
      <c r="B1184" s="566" t="s">
        <v>533</v>
      </c>
      <c r="C1184" s="567" t="s">
        <v>1595</v>
      </c>
      <c r="D1184" s="958">
        <v>1.1000000000000001</v>
      </c>
      <c r="E1184" s="959" t="s">
        <v>254</v>
      </c>
      <c r="F1184" s="558" t="s">
        <v>1444</v>
      </c>
      <c r="G1184" s="558">
        <v>814</v>
      </c>
      <c r="H1184" s="558">
        <v>2</v>
      </c>
      <c r="I1184" s="559" t="s">
        <v>263</v>
      </c>
      <c r="J1184" s="567" t="s">
        <v>1606</v>
      </c>
      <c r="K1184" s="961" t="s">
        <v>1607</v>
      </c>
      <c r="L1184" s="555" t="str">
        <f t="shared" ca="1" si="197"/>
        <v/>
      </c>
      <c r="M1184" s="494" t="s">
        <v>1608</v>
      </c>
      <c r="N1184" s="555" t="str">
        <f t="shared" ca="1" si="198"/>
        <v/>
      </c>
      <c r="O1184" s="494" t="s">
        <v>1609</v>
      </c>
      <c r="P1184" s="555" t="str">
        <f t="shared" ca="1" si="199"/>
        <v/>
      </c>
      <c r="Q1184" s="494" t="s">
        <v>1610</v>
      </c>
      <c r="R1184" s="494" t="str">
        <f t="shared" si="203"/>
        <v>H1184</v>
      </c>
      <c r="S1184" s="494" t="s">
        <v>1611</v>
      </c>
      <c r="T1184" s="494">
        <v>6</v>
      </c>
      <c r="U1184" s="556" t="str">
        <f t="shared" ca="1" si="195"/>
        <v/>
      </c>
      <c r="V1184" s="494">
        <v>7</v>
      </c>
      <c r="W1184" s="556" t="str">
        <f t="shared" ca="1" si="196"/>
        <v/>
      </c>
      <c r="X1184" s="494" t="s">
        <v>198</v>
      </c>
      <c r="Y1184" s="547" t="str">
        <f t="shared" ca="1" si="200"/>
        <v/>
      </c>
      <c r="Z1184" s="494" t="s">
        <v>1612</v>
      </c>
      <c r="AA1184" s="547" t="str">
        <f t="shared" ca="1" si="201"/>
        <v/>
      </c>
      <c r="AB1184" s="494" t="s">
        <v>1613</v>
      </c>
      <c r="AC1184" s="547" t="str">
        <f t="shared" ca="1" si="202"/>
        <v/>
      </c>
      <c r="AD1184" s="557"/>
      <c r="AE1184" s="958"/>
    </row>
    <row r="1185" spans="1:31" ht="15" customHeight="1">
      <c r="A1185" s="957">
        <v>92</v>
      </c>
      <c r="B1185" s="566" t="s">
        <v>533</v>
      </c>
      <c r="C1185" s="567" t="s">
        <v>1595</v>
      </c>
      <c r="D1185" s="958">
        <v>1.1000000000000001</v>
      </c>
      <c r="E1185" s="959" t="s">
        <v>254</v>
      </c>
      <c r="F1185" s="558" t="s">
        <v>1444</v>
      </c>
      <c r="G1185" s="558">
        <v>815</v>
      </c>
      <c r="H1185" s="558">
        <v>2.1</v>
      </c>
      <c r="I1185" s="559" t="s">
        <v>270</v>
      </c>
      <c r="J1185" s="567" t="s">
        <v>1606</v>
      </c>
      <c r="K1185" s="961" t="s">
        <v>1607</v>
      </c>
      <c r="L1185" s="555" t="str">
        <f t="shared" ca="1" si="197"/>
        <v/>
      </c>
      <c r="M1185" s="494" t="s">
        <v>1608</v>
      </c>
      <c r="N1185" s="555" t="str">
        <f t="shared" ca="1" si="198"/>
        <v/>
      </c>
      <c r="O1185" s="494" t="s">
        <v>1609</v>
      </c>
      <c r="P1185" s="555" t="str">
        <f t="shared" ca="1" si="199"/>
        <v/>
      </c>
      <c r="Q1185" s="494" t="s">
        <v>1610</v>
      </c>
      <c r="R1185" s="494" t="str">
        <f t="shared" si="203"/>
        <v>H1185</v>
      </c>
      <c r="S1185" s="494" t="s">
        <v>1611</v>
      </c>
      <c r="T1185" s="494">
        <v>6</v>
      </c>
      <c r="U1185" s="556" t="str">
        <f t="shared" ca="1" si="195"/>
        <v/>
      </c>
      <c r="V1185" s="494">
        <v>7</v>
      </c>
      <c r="W1185" s="556" t="str">
        <f t="shared" ca="1" si="196"/>
        <v/>
      </c>
      <c r="X1185" s="494" t="s">
        <v>198</v>
      </c>
      <c r="Y1185" s="547" t="str">
        <f t="shared" ca="1" si="200"/>
        <v/>
      </c>
      <c r="Z1185" s="494" t="s">
        <v>1612</v>
      </c>
      <c r="AA1185" s="547" t="str">
        <f t="shared" ca="1" si="201"/>
        <v/>
      </c>
      <c r="AB1185" s="494" t="s">
        <v>1613</v>
      </c>
      <c r="AC1185" s="547" t="str">
        <f t="shared" ca="1" si="202"/>
        <v/>
      </c>
      <c r="AD1185" s="557"/>
      <c r="AE1185" s="958"/>
    </row>
    <row r="1186" spans="1:31" ht="15" customHeight="1">
      <c r="A1186" s="957">
        <v>92</v>
      </c>
      <c r="B1186" s="566" t="s">
        <v>533</v>
      </c>
      <c r="C1186" s="567" t="s">
        <v>1595</v>
      </c>
      <c r="D1186" s="958">
        <v>1.1000000000000001</v>
      </c>
      <c r="E1186" s="959" t="s">
        <v>254</v>
      </c>
      <c r="F1186" s="558" t="s">
        <v>1444</v>
      </c>
      <c r="G1186" s="558">
        <v>816</v>
      </c>
      <c r="H1186" s="558">
        <v>2.2000000000000002</v>
      </c>
      <c r="I1186" s="559" t="s">
        <v>542</v>
      </c>
      <c r="J1186" s="567" t="s">
        <v>1606</v>
      </c>
      <c r="K1186" s="961" t="s">
        <v>1607</v>
      </c>
      <c r="L1186" s="555" t="str">
        <f t="shared" ca="1" si="197"/>
        <v/>
      </c>
      <c r="M1186" s="494" t="s">
        <v>1608</v>
      </c>
      <c r="N1186" s="555" t="str">
        <f t="shared" ca="1" si="198"/>
        <v/>
      </c>
      <c r="O1186" s="494" t="s">
        <v>1609</v>
      </c>
      <c r="P1186" s="555" t="str">
        <f t="shared" ca="1" si="199"/>
        <v/>
      </c>
      <c r="Q1186" s="494" t="s">
        <v>1610</v>
      </c>
      <c r="R1186" s="494" t="str">
        <f t="shared" si="203"/>
        <v>H1186</v>
      </c>
      <c r="S1186" s="494" t="s">
        <v>1611</v>
      </c>
      <c r="T1186" s="494">
        <v>6</v>
      </c>
      <c r="U1186" s="556" t="str">
        <f t="shared" ca="1" si="195"/>
        <v/>
      </c>
      <c r="V1186" s="494">
        <v>7</v>
      </c>
      <c r="W1186" s="556" t="str">
        <f t="shared" ca="1" si="196"/>
        <v/>
      </c>
      <c r="X1186" s="494" t="s">
        <v>198</v>
      </c>
      <c r="Y1186" s="547" t="str">
        <f t="shared" ca="1" si="200"/>
        <v/>
      </c>
      <c r="Z1186" s="494" t="s">
        <v>1612</v>
      </c>
      <c r="AA1186" s="547" t="str">
        <f t="shared" ca="1" si="201"/>
        <v/>
      </c>
      <c r="AB1186" s="494" t="s">
        <v>1613</v>
      </c>
      <c r="AC1186" s="547" t="str">
        <f t="shared" ca="1" si="202"/>
        <v/>
      </c>
      <c r="AD1186" s="557"/>
      <c r="AE1186" s="958"/>
    </row>
    <row r="1187" spans="1:31" ht="15" customHeight="1">
      <c r="A1187" s="957">
        <v>92</v>
      </c>
      <c r="B1187" s="566" t="s">
        <v>533</v>
      </c>
      <c r="C1187" s="567" t="s">
        <v>1595</v>
      </c>
      <c r="D1187" s="958">
        <v>1.1000000000000001</v>
      </c>
      <c r="E1187" s="959" t="s">
        <v>254</v>
      </c>
      <c r="F1187" s="558" t="s">
        <v>1444</v>
      </c>
      <c r="G1187" s="558">
        <v>817</v>
      </c>
      <c r="H1187" s="558">
        <v>2.2999999999999998</v>
      </c>
      <c r="I1187" s="559" t="s">
        <v>543</v>
      </c>
      <c r="J1187" s="567" t="s">
        <v>1606</v>
      </c>
      <c r="K1187" s="961" t="s">
        <v>1607</v>
      </c>
      <c r="L1187" s="555" t="str">
        <f t="shared" ca="1" si="197"/>
        <v/>
      </c>
      <c r="M1187" s="494" t="s">
        <v>1608</v>
      </c>
      <c r="N1187" s="555" t="str">
        <f t="shared" ca="1" si="198"/>
        <v/>
      </c>
      <c r="O1187" s="494" t="s">
        <v>1609</v>
      </c>
      <c r="P1187" s="555" t="str">
        <f t="shared" ca="1" si="199"/>
        <v/>
      </c>
      <c r="Q1187" s="494" t="s">
        <v>1610</v>
      </c>
      <c r="R1187" s="494" t="str">
        <f t="shared" si="203"/>
        <v>H1187</v>
      </c>
      <c r="S1187" s="494" t="s">
        <v>1611</v>
      </c>
      <c r="T1187" s="494">
        <v>6</v>
      </c>
      <c r="U1187" s="556" t="str">
        <f t="shared" ca="1" si="195"/>
        <v/>
      </c>
      <c r="V1187" s="494">
        <v>7</v>
      </c>
      <c r="W1187" s="556" t="str">
        <f t="shared" ca="1" si="196"/>
        <v/>
      </c>
      <c r="X1187" s="494" t="s">
        <v>198</v>
      </c>
      <c r="Y1187" s="547" t="str">
        <f t="shared" ca="1" si="200"/>
        <v/>
      </c>
      <c r="Z1187" s="494" t="s">
        <v>1612</v>
      </c>
      <c r="AA1187" s="547" t="str">
        <f t="shared" ca="1" si="201"/>
        <v/>
      </c>
      <c r="AB1187" s="494" t="s">
        <v>1613</v>
      </c>
      <c r="AC1187" s="547" t="str">
        <f t="shared" ca="1" si="202"/>
        <v/>
      </c>
      <c r="AD1187" s="557"/>
      <c r="AE1187" s="958"/>
    </row>
    <row r="1188" spans="1:31" ht="15" customHeight="1">
      <c r="A1188" s="957">
        <v>92</v>
      </c>
      <c r="B1188" s="566" t="s">
        <v>533</v>
      </c>
      <c r="C1188" s="567" t="s">
        <v>1595</v>
      </c>
      <c r="D1188" s="958">
        <v>1.1000000000000001</v>
      </c>
      <c r="E1188" s="959" t="s">
        <v>254</v>
      </c>
      <c r="F1188" s="558" t="s">
        <v>1444</v>
      </c>
      <c r="G1188" s="558">
        <v>818</v>
      </c>
      <c r="H1188" s="558">
        <v>2.4</v>
      </c>
      <c r="I1188" s="559" t="s">
        <v>281</v>
      </c>
      <c r="J1188" s="567" t="s">
        <v>1606</v>
      </c>
      <c r="K1188" s="961" t="s">
        <v>1607</v>
      </c>
      <c r="L1188" s="555" t="str">
        <f t="shared" ca="1" si="197"/>
        <v/>
      </c>
      <c r="M1188" s="494" t="s">
        <v>1608</v>
      </c>
      <c r="N1188" s="555" t="str">
        <f t="shared" ca="1" si="198"/>
        <v/>
      </c>
      <c r="O1188" s="494" t="s">
        <v>1609</v>
      </c>
      <c r="P1188" s="555" t="str">
        <f t="shared" ca="1" si="199"/>
        <v/>
      </c>
      <c r="Q1188" s="494" t="s">
        <v>1610</v>
      </c>
      <c r="R1188" s="494" t="str">
        <f t="shared" si="203"/>
        <v>H1188</v>
      </c>
      <c r="S1188" s="494" t="s">
        <v>1611</v>
      </c>
      <c r="T1188" s="494">
        <v>6</v>
      </c>
      <c r="U1188" s="556" t="str">
        <f t="shared" ca="1" si="195"/>
        <v/>
      </c>
      <c r="V1188" s="494">
        <v>7</v>
      </c>
      <c r="W1188" s="556" t="str">
        <f t="shared" ca="1" si="196"/>
        <v/>
      </c>
      <c r="X1188" s="494" t="s">
        <v>198</v>
      </c>
      <c r="Y1188" s="547" t="str">
        <f t="shared" ca="1" si="200"/>
        <v/>
      </c>
      <c r="Z1188" s="494" t="s">
        <v>1612</v>
      </c>
      <c r="AA1188" s="547" t="str">
        <f t="shared" ca="1" si="201"/>
        <v/>
      </c>
      <c r="AB1188" s="494" t="s">
        <v>1613</v>
      </c>
      <c r="AC1188" s="547" t="str">
        <f t="shared" ca="1" si="202"/>
        <v/>
      </c>
      <c r="AD1188" s="557"/>
      <c r="AE1188" s="958"/>
    </row>
    <row r="1189" spans="1:31" ht="15" customHeight="1">
      <c r="A1189" s="957">
        <v>92</v>
      </c>
      <c r="B1189" s="566" t="s">
        <v>533</v>
      </c>
      <c r="C1189" s="567" t="s">
        <v>1595</v>
      </c>
      <c r="D1189" s="958">
        <v>1.1000000000000001</v>
      </c>
      <c r="E1189" s="959" t="s">
        <v>254</v>
      </c>
      <c r="F1189" s="558" t="s">
        <v>1444</v>
      </c>
      <c r="G1189" s="558">
        <v>819</v>
      </c>
      <c r="H1189" s="558">
        <v>3.1</v>
      </c>
      <c r="I1189" s="559" t="s">
        <v>71</v>
      </c>
      <c r="J1189" s="567" t="s">
        <v>1606</v>
      </c>
      <c r="K1189" s="961" t="s">
        <v>1607</v>
      </c>
      <c r="L1189" s="555" t="str">
        <f t="shared" ca="1" si="197"/>
        <v/>
      </c>
      <c r="M1189" s="494" t="s">
        <v>1608</v>
      </c>
      <c r="N1189" s="555" t="str">
        <f t="shared" ca="1" si="198"/>
        <v/>
      </c>
      <c r="O1189" s="494" t="s">
        <v>1609</v>
      </c>
      <c r="P1189" s="555" t="str">
        <f t="shared" ca="1" si="199"/>
        <v/>
      </c>
      <c r="Q1189" s="494" t="s">
        <v>1610</v>
      </c>
      <c r="R1189" s="494" t="str">
        <f t="shared" si="203"/>
        <v>H1189</v>
      </c>
      <c r="S1189" s="494" t="s">
        <v>1611</v>
      </c>
      <c r="T1189" s="494">
        <v>6</v>
      </c>
      <c r="U1189" s="556" t="str">
        <f t="shared" ca="1" si="195"/>
        <v/>
      </c>
      <c r="V1189" s="494">
        <v>7</v>
      </c>
      <c r="W1189" s="556" t="str">
        <f t="shared" ca="1" si="196"/>
        <v/>
      </c>
      <c r="X1189" s="494" t="s">
        <v>198</v>
      </c>
      <c r="Y1189" s="547" t="str">
        <f t="shared" ca="1" si="200"/>
        <v/>
      </c>
      <c r="Z1189" s="494" t="s">
        <v>1612</v>
      </c>
      <c r="AA1189" s="547" t="str">
        <f t="shared" ca="1" si="201"/>
        <v/>
      </c>
      <c r="AB1189" s="494" t="s">
        <v>1613</v>
      </c>
      <c r="AC1189" s="547" t="str">
        <f t="shared" ca="1" si="202"/>
        <v/>
      </c>
      <c r="AD1189" s="557"/>
      <c r="AE1189" s="958"/>
    </row>
    <row r="1190" spans="1:31" ht="15" customHeight="1">
      <c r="A1190" s="957">
        <v>92</v>
      </c>
      <c r="B1190" s="566" t="s">
        <v>533</v>
      </c>
      <c r="C1190" s="567" t="s">
        <v>1595</v>
      </c>
      <c r="D1190" s="958">
        <v>1.1000000000000001</v>
      </c>
      <c r="E1190" s="959" t="s">
        <v>254</v>
      </c>
      <c r="F1190" s="558" t="s">
        <v>1444</v>
      </c>
      <c r="G1190" s="558">
        <v>820</v>
      </c>
      <c r="H1190" s="558">
        <v>3.2</v>
      </c>
      <c r="I1190" s="559" t="s">
        <v>74</v>
      </c>
      <c r="J1190" s="567" t="s">
        <v>1606</v>
      </c>
      <c r="K1190" s="961" t="s">
        <v>1607</v>
      </c>
      <c r="L1190" s="555" t="str">
        <f t="shared" ca="1" si="197"/>
        <v/>
      </c>
      <c r="M1190" s="494" t="s">
        <v>1608</v>
      </c>
      <c r="N1190" s="555" t="str">
        <f t="shared" ca="1" si="198"/>
        <v/>
      </c>
      <c r="O1190" s="494" t="s">
        <v>1609</v>
      </c>
      <c r="P1190" s="555" t="str">
        <f t="shared" ca="1" si="199"/>
        <v/>
      </c>
      <c r="Q1190" s="494" t="s">
        <v>1610</v>
      </c>
      <c r="R1190" s="494" t="str">
        <f t="shared" si="203"/>
        <v>H1190</v>
      </c>
      <c r="S1190" s="494" t="s">
        <v>1611</v>
      </c>
      <c r="T1190" s="494">
        <v>6</v>
      </c>
      <c r="U1190" s="556" t="str">
        <f t="shared" ca="1" si="195"/>
        <v/>
      </c>
      <c r="V1190" s="494">
        <v>7</v>
      </c>
      <c r="W1190" s="556" t="str">
        <f t="shared" ca="1" si="196"/>
        <v/>
      </c>
      <c r="X1190" s="494" t="s">
        <v>198</v>
      </c>
      <c r="Y1190" s="547" t="str">
        <f t="shared" ca="1" si="200"/>
        <v/>
      </c>
      <c r="Z1190" s="494" t="s">
        <v>1612</v>
      </c>
      <c r="AA1190" s="547" t="str">
        <f t="shared" ca="1" si="201"/>
        <v/>
      </c>
      <c r="AB1190" s="494" t="s">
        <v>1613</v>
      </c>
      <c r="AC1190" s="547" t="str">
        <f t="shared" ca="1" si="202"/>
        <v/>
      </c>
      <c r="AD1190" s="557"/>
      <c r="AE1190" s="958"/>
    </row>
    <row r="1191" spans="1:31" ht="15" customHeight="1">
      <c r="A1191" s="957">
        <v>92</v>
      </c>
      <c r="B1191" s="566" t="s">
        <v>533</v>
      </c>
      <c r="C1191" s="567" t="s">
        <v>1595</v>
      </c>
      <c r="D1191" s="958">
        <v>1.1000000000000001</v>
      </c>
      <c r="E1191" s="959" t="s">
        <v>254</v>
      </c>
      <c r="F1191" s="558" t="s">
        <v>1444</v>
      </c>
      <c r="G1191" s="558">
        <v>821</v>
      </c>
      <c r="H1191" s="558">
        <v>4.0999999999999996</v>
      </c>
      <c r="I1191" s="559" t="s">
        <v>546</v>
      </c>
      <c r="J1191" s="567" t="s">
        <v>1606</v>
      </c>
      <c r="K1191" s="961" t="s">
        <v>1607</v>
      </c>
      <c r="L1191" s="555" t="str">
        <f t="shared" ca="1" si="197"/>
        <v/>
      </c>
      <c r="M1191" s="494" t="s">
        <v>1608</v>
      </c>
      <c r="N1191" s="555" t="str">
        <f t="shared" ca="1" si="198"/>
        <v/>
      </c>
      <c r="O1191" s="494" t="s">
        <v>1609</v>
      </c>
      <c r="P1191" s="555" t="str">
        <f t="shared" ca="1" si="199"/>
        <v/>
      </c>
      <c r="Q1191" s="494" t="s">
        <v>1610</v>
      </c>
      <c r="R1191" s="494" t="str">
        <f t="shared" si="203"/>
        <v>H1191</v>
      </c>
      <c r="S1191" s="494" t="s">
        <v>1611</v>
      </c>
      <c r="T1191" s="494">
        <v>6</v>
      </c>
      <c r="U1191" s="556" t="str">
        <f t="shared" ca="1" si="195"/>
        <v/>
      </c>
      <c r="V1191" s="494">
        <v>7</v>
      </c>
      <c r="W1191" s="556" t="str">
        <f t="shared" ca="1" si="196"/>
        <v/>
      </c>
      <c r="X1191" s="494" t="s">
        <v>198</v>
      </c>
      <c r="Y1191" s="547" t="str">
        <f t="shared" ca="1" si="200"/>
        <v/>
      </c>
      <c r="Z1191" s="494" t="s">
        <v>1612</v>
      </c>
      <c r="AA1191" s="547" t="str">
        <f t="shared" ca="1" si="201"/>
        <v/>
      </c>
      <c r="AB1191" s="494" t="s">
        <v>1613</v>
      </c>
      <c r="AC1191" s="547" t="str">
        <f t="shared" ca="1" si="202"/>
        <v/>
      </c>
      <c r="AD1191" s="557"/>
      <c r="AE1191" s="958"/>
    </row>
    <row r="1192" spans="1:31" ht="15" customHeight="1">
      <c r="A1192" s="957">
        <v>92</v>
      </c>
      <c r="B1192" s="566" t="s">
        <v>533</v>
      </c>
      <c r="C1192" s="567" t="s">
        <v>1595</v>
      </c>
      <c r="D1192" s="958">
        <v>1.1000000000000001</v>
      </c>
      <c r="E1192" s="959" t="s">
        <v>254</v>
      </c>
      <c r="F1192" s="558" t="s">
        <v>1444</v>
      </c>
      <c r="G1192" s="558">
        <v>822</v>
      </c>
      <c r="H1192" s="558">
        <v>4.2</v>
      </c>
      <c r="I1192" s="559" t="s">
        <v>291</v>
      </c>
      <c r="J1192" s="567" t="s">
        <v>1606</v>
      </c>
      <c r="K1192" s="961" t="s">
        <v>1607</v>
      </c>
      <c r="L1192" s="555" t="str">
        <f t="shared" ca="1" si="197"/>
        <v/>
      </c>
      <c r="M1192" s="494" t="s">
        <v>1608</v>
      </c>
      <c r="N1192" s="555" t="str">
        <f t="shared" ca="1" si="198"/>
        <v/>
      </c>
      <c r="O1192" s="494" t="s">
        <v>1609</v>
      </c>
      <c r="P1192" s="555" t="str">
        <f t="shared" ca="1" si="199"/>
        <v/>
      </c>
      <c r="Q1192" s="494" t="s">
        <v>1610</v>
      </c>
      <c r="R1192" s="494" t="str">
        <f t="shared" si="203"/>
        <v>H1192</v>
      </c>
      <c r="S1192" s="494" t="s">
        <v>1611</v>
      </c>
      <c r="T1192" s="494">
        <v>6</v>
      </c>
      <c r="U1192" s="556" t="str">
        <f t="shared" ca="1" si="195"/>
        <v/>
      </c>
      <c r="V1192" s="494">
        <v>7</v>
      </c>
      <c r="W1192" s="556" t="str">
        <f t="shared" ca="1" si="196"/>
        <v/>
      </c>
      <c r="X1192" s="494" t="s">
        <v>198</v>
      </c>
      <c r="Y1192" s="547" t="str">
        <f t="shared" ca="1" si="200"/>
        <v/>
      </c>
      <c r="Z1192" s="494" t="s">
        <v>1612</v>
      </c>
      <c r="AA1192" s="547" t="str">
        <f t="shared" ca="1" si="201"/>
        <v/>
      </c>
      <c r="AB1192" s="494" t="s">
        <v>1613</v>
      </c>
      <c r="AC1192" s="547" t="str">
        <f t="shared" ca="1" si="202"/>
        <v/>
      </c>
      <c r="AD1192" s="557"/>
      <c r="AE1192" s="958"/>
    </row>
    <row r="1193" spans="1:31" ht="15" customHeight="1">
      <c r="A1193" s="957">
        <v>92</v>
      </c>
      <c r="B1193" s="566" t="s">
        <v>533</v>
      </c>
      <c r="C1193" s="567" t="s">
        <v>1595</v>
      </c>
      <c r="D1193" s="958">
        <v>1.1000000000000001</v>
      </c>
      <c r="E1193" s="959" t="s">
        <v>254</v>
      </c>
      <c r="F1193" s="558" t="s">
        <v>1444</v>
      </c>
      <c r="G1193" s="558">
        <v>823</v>
      </c>
      <c r="H1193" s="558">
        <v>4.3</v>
      </c>
      <c r="I1193" s="559" t="s">
        <v>547</v>
      </c>
      <c r="J1193" s="567" t="s">
        <v>1606</v>
      </c>
      <c r="K1193" s="961" t="s">
        <v>1607</v>
      </c>
      <c r="L1193" s="555" t="str">
        <f t="shared" ca="1" si="197"/>
        <v/>
      </c>
      <c r="M1193" s="494" t="s">
        <v>1608</v>
      </c>
      <c r="N1193" s="555" t="str">
        <f t="shared" ca="1" si="198"/>
        <v/>
      </c>
      <c r="O1193" s="494" t="s">
        <v>1609</v>
      </c>
      <c r="P1193" s="555" t="str">
        <f t="shared" ca="1" si="199"/>
        <v/>
      </c>
      <c r="Q1193" s="494" t="s">
        <v>1610</v>
      </c>
      <c r="R1193" s="494" t="str">
        <f t="shared" si="203"/>
        <v>H1193</v>
      </c>
      <c r="S1193" s="494" t="s">
        <v>1611</v>
      </c>
      <c r="T1193" s="494">
        <v>6</v>
      </c>
      <c r="U1193" s="556" t="str">
        <f t="shared" ca="1" si="195"/>
        <v/>
      </c>
      <c r="V1193" s="494">
        <v>7</v>
      </c>
      <c r="W1193" s="556" t="str">
        <f t="shared" ca="1" si="196"/>
        <v/>
      </c>
      <c r="X1193" s="494" t="s">
        <v>198</v>
      </c>
      <c r="Y1193" s="547" t="str">
        <f t="shared" ca="1" si="200"/>
        <v/>
      </c>
      <c r="Z1193" s="494" t="s">
        <v>1612</v>
      </c>
      <c r="AA1193" s="547" t="str">
        <f t="shared" ca="1" si="201"/>
        <v/>
      </c>
      <c r="AB1193" s="494" t="s">
        <v>1613</v>
      </c>
      <c r="AC1193" s="547" t="str">
        <f t="shared" ca="1" si="202"/>
        <v/>
      </c>
      <c r="AD1193" s="557"/>
      <c r="AE1193" s="958"/>
    </row>
    <row r="1194" spans="1:31" ht="15" customHeight="1">
      <c r="A1194" s="957">
        <v>92</v>
      </c>
      <c r="B1194" s="566" t="s">
        <v>533</v>
      </c>
      <c r="C1194" s="567" t="s">
        <v>1595</v>
      </c>
      <c r="D1194" s="958">
        <v>1.1000000000000001</v>
      </c>
      <c r="E1194" s="959" t="s">
        <v>254</v>
      </c>
      <c r="F1194" s="558" t="s">
        <v>1444</v>
      </c>
      <c r="G1194" s="558">
        <v>825</v>
      </c>
      <c r="H1194" s="558">
        <v>5</v>
      </c>
      <c r="I1194" s="559" t="s">
        <v>548</v>
      </c>
      <c r="J1194" s="567" t="s">
        <v>1606</v>
      </c>
      <c r="K1194" s="961" t="s">
        <v>1607</v>
      </c>
      <c r="L1194" s="555" t="str">
        <f t="shared" ca="1" si="197"/>
        <v/>
      </c>
      <c r="M1194" s="494" t="s">
        <v>1608</v>
      </c>
      <c r="N1194" s="555" t="str">
        <f t="shared" ca="1" si="198"/>
        <v/>
      </c>
      <c r="O1194" s="494" t="s">
        <v>1609</v>
      </c>
      <c r="P1194" s="555" t="str">
        <f t="shared" ca="1" si="199"/>
        <v/>
      </c>
      <c r="Q1194" s="494" t="s">
        <v>1610</v>
      </c>
      <c r="R1194" s="494" t="str">
        <f t="shared" si="203"/>
        <v>H1194</v>
      </c>
      <c r="S1194" s="494" t="s">
        <v>1611</v>
      </c>
      <c r="T1194" s="494">
        <v>6</v>
      </c>
      <c r="U1194" s="556" t="str">
        <f t="shared" ca="1" si="195"/>
        <v/>
      </c>
      <c r="V1194" s="494">
        <v>7</v>
      </c>
      <c r="W1194" s="556" t="str">
        <f t="shared" ca="1" si="196"/>
        <v/>
      </c>
      <c r="X1194" s="494" t="s">
        <v>198</v>
      </c>
      <c r="Y1194" s="547" t="str">
        <f t="shared" ca="1" si="200"/>
        <v/>
      </c>
      <c r="Z1194" s="494" t="s">
        <v>1612</v>
      </c>
      <c r="AA1194" s="547" t="str">
        <f t="shared" ca="1" si="201"/>
        <v/>
      </c>
      <c r="AB1194" s="494" t="s">
        <v>1613</v>
      </c>
      <c r="AC1194" s="547" t="str">
        <f t="shared" ca="1" si="202"/>
        <v/>
      </c>
      <c r="AD1194" s="557"/>
      <c r="AE1194" s="958"/>
    </row>
    <row r="1195" spans="1:31" ht="15" customHeight="1">
      <c r="A1195" s="957">
        <v>92</v>
      </c>
      <c r="B1195" s="566" t="s">
        <v>533</v>
      </c>
      <c r="C1195" s="567" t="s">
        <v>1595</v>
      </c>
      <c r="D1195" s="958">
        <v>1.1000000000000001</v>
      </c>
      <c r="E1195" s="959" t="s">
        <v>254</v>
      </c>
      <c r="F1195" s="558" t="s">
        <v>1444</v>
      </c>
      <c r="G1195" s="558">
        <v>826</v>
      </c>
      <c r="H1195" s="558">
        <v>5.0999999999999996</v>
      </c>
      <c r="I1195" s="559" t="s">
        <v>549</v>
      </c>
      <c r="J1195" s="567" t="s">
        <v>1606</v>
      </c>
      <c r="K1195" s="961" t="s">
        <v>1607</v>
      </c>
      <c r="L1195" s="555" t="str">
        <f t="shared" ca="1" si="197"/>
        <v/>
      </c>
      <c r="M1195" s="494" t="s">
        <v>1608</v>
      </c>
      <c r="N1195" s="555" t="str">
        <f t="shared" ca="1" si="198"/>
        <v/>
      </c>
      <c r="O1195" s="494" t="s">
        <v>1609</v>
      </c>
      <c r="P1195" s="555" t="str">
        <f t="shared" ca="1" si="199"/>
        <v/>
      </c>
      <c r="Q1195" s="494" t="s">
        <v>1610</v>
      </c>
      <c r="R1195" s="494" t="str">
        <f t="shared" si="203"/>
        <v>H1195</v>
      </c>
      <c r="S1195" s="494" t="s">
        <v>1611</v>
      </c>
      <c r="T1195" s="494">
        <v>6</v>
      </c>
      <c r="U1195" s="556" t="str">
        <f t="shared" ca="1" si="195"/>
        <v/>
      </c>
      <c r="V1195" s="494">
        <v>7</v>
      </c>
      <c r="W1195" s="556" t="str">
        <f t="shared" ca="1" si="196"/>
        <v/>
      </c>
      <c r="X1195" s="494" t="s">
        <v>198</v>
      </c>
      <c r="Y1195" s="547" t="str">
        <f t="shared" ca="1" si="200"/>
        <v/>
      </c>
      <c r="Z1195" s="494" t="s">
        <v>1612</v>
      </c>
      <c r="AA1195" s="547" t="str">
        <f t="shared" ca="1" si="201"/>
        <v/>
      </c>
      <c r="AB1195" s="494" t="s">
        <v>1613</v>
      </c>
      <c r="AC1195" s="547" t="str">
        <f t="shared" ca="1" si="202"/>
        <v/>
      </c>
      <c r="AD1195" s="557"/>
      <c r="AE1195" s="958"/>
    </row>
    <row r="1196" spans="1:31" ht="15" customHeight="1">
      <c r="A1196" s="957">
        <v>92</v>
      </c>
      <c r="B1196" s="566" t="s">
        <v>533</v>
      </c>
      <c r="C1196" s="567" t="s">
        <v>1595</v>
      </c>
      <c r="D1196" s="958">
        <v>1.1000000000000001</v>
      </c>
      <c r="E1196" s="959" t="s">
        <v>254</v>
      </c>
      <c r="F1196" s="558" t="s">
        <v>1444</v>
      </c>
      <c r="G1196" s="558">
        <v>827</v>
      </c>
      <c r="H1196" s="558">
        <v>6</v>
      </c>
      <c r="I1196" s="559" t="s">
        <v>551</v>
      </c>
      <c r="J1196" s="567" t="s">
        <v>1606</v>
      </c>
      <c r="K1196" s="961" t="s">
        <v>1607</v>
      </c>
      <c r="L1196" s="555" t="str">
        <f t="shared" ca="1" si="197"/>
        <v/>
      </c>
      <c r="M1196" s="494" t="s">
        <v>1608</v>
      </c>
      <c r="N1196" s="555" t="str">
        <f t="shared" ca="1" si="198"/>
        <v/>
      </c>
      <c r="O1196" s="494" t="s">
        <v>1609</v>
      </c>
      <c r="P1196" s="555" t="str">
        <f t="shared" ca="1" si="199"/>
        <v/>
      </c>
      <c r="Q1196" s="494" t="s">
        <v>1610</v>
      </c>
      <c r="R1196" s="494" t="str">
        <f t="shared" si="203"/>
        <v>H1196</v>
      </c>
      <c r="S1196" s="494" t="s">
        <v>1611</v>
      </c>
      <c r="T1196" s="494">
        <v>6</v>
      </c>
      <c r="U1196" s="556" t="str">
        <f t="shared" ca="1" si="195"/>
        <v/>
      </c>
      <c r="V1196" s="494">
        <v>7</v>
      </c>
      <c r="W1196" s="556" t="str">
        <f t="shared" ca="1" si="196"/>
        <v/>
      </c>
      <c r="X1196" s="494" t="s">
        <v>198</v>
      </c>
      <c r="Y1196" s="547" t="str">
        <f t="shared" ca="1" si="200"/>
        <v/>
      </c>
      <c r="Z1196" s="494" t="s">
        <v>1612</v>
      </c>
      <c r="AA1196" s="547" t="str">
        <f t="shared" ca="1" si="201"/>
        <v/>
      </c>
      <c r="AB1196" s="494" t="s">
        <v>1613</v>
      </c>
      <c r="AC1196" s="547" t="str">
        <f t="shared" ca="1" si="202"/>
        <v/>
      </c>
      <c r="AD1196" s="557"/>
      <c r="AE1196" s="958"/>
    </row>
    <row r="1197" spans="1:31" ht="15" customHeight="1">
      <c r="A1197" s="957">
        <v>92</v>
      </c>
      <c r="B1197" s="566" t="s">
        <v>533</v>
      </c>
      <c r="C1197" s="567" t="s">
        <v>1595</v>
      </c>
      <c r="D1197" s="958">
        <v>1.1000000000000001</v>
      </c>
      <c r="E1197" s="959" t="s">
        <v>254</v>
      </c>
      <c r="F1197" s="558" t="s">
        <v>1444</v>
      </c>
      <c r="G1197" s="558">
        <v>828</v>
      </c>
      <c r="H1197" s="558">
        <v>6.1</v>
      </c>
      <c r="I1197" s="559" t="s">
        <v>552</v>
      </c>
      <c r="J1197" s="567" t="s">
        <v>1606</v>
      </c>
      <c r="K1197" s="961" t="s">
        <v>1607</v>
      </c>
      <c r="L1197" s="555" t="str">
        <f t="shared" ca="1" si="197"/>
        <v/>
      </c>
      <c r="M1197" s="494" t="s">
        <v>1608</v>
      </c>
      <c r="N1197" s="555" t="str">
        <f t="shared" ca="1" si="198"/>
        <v/>
      </c>
      <c r="O1197" s="494" t="s">
        <v>1609</v>
      </c>
      <c r="P1197" s="555" t="str">
        <f t="shared" ca="1" si="199"/>
        <v/>
      </c>
      <c r="Q1197" s="494" t="s">
        <v>1610</v>
      </c>
      <c r="R1197" s="494" t="str">
        <f t="shared" si="203"/>
        <v>H1197</v>
      </c>
      <c r="S1197" s="494" t="s">
        <v>1611</v>
      </c>
      <c r="T1197" s="494">
        <v>6</v>
      </c>
      <c r="U1197" s="556" t="str">
        <f t="shared" ca="1" si="195"/>
        <v/>
      </c>
      <c r="V1197" s="494">
        <v>7</v>
      </c>
      <c r="W1197" s="556" t="str">
        <f t="shared" ca="1" si="196"/>
        <v/>
      </c>
      <c r="X1197" s="494" t="s">
        <v>198</v>
      </c>
      <c r="Y1197" s="547" t="str">
        <f t="shared" ca="1" si="200"/>
        <v/>
      </c>
      <c r="Z1197" s="494" t="s">
        <v>1612</v>
      </c>
      <c r="AA1197" s="547" t="str">
        <f t="shared" ca="1" si="201"/>
        <v/>
      </c>
      <c r="AB1197" s="494" t="s">
        <v>1613</v>
      </c>
      <c r="AC1197" s="547" t="str">
        <f t="shared" ca="1" si="202"/>
        <v/>
      </c>
      <c r="AD1197" s="557"/>
      <c r="AE1197" s="958"/>
    </row>
    <row r="1198" spans="1:31" ht="15" customHeight="1">
      <c r="A1198" s="957">
        <v>92</v>
      </c>
      <c r="B1198" s="566" t="s">
        <v>533</v>
      </c>
      <c r="C1198" s="567" t="s">
        <v>1595</v>
      </c>
      <c r="D1198" s="958">
        <v>1.1000000000000001</v>
      </c>
      <c r="E1198" s="959" t="s">
        <v>254</v>
      </c>
      <c r="F1198" s="558" t="s">
        <v>1444</v>
      </c>
      <c r="G1198" s="558">
        <v>829</v>
      </c>
      <c r="H1198" s="558" t="s">
        <v>553</v>
      </c>
      <c r="I1198" s="559" t="s">
        <v>497</v>
      </c>
      <c r="J1198" s="567" t="s">
        <v>1606</v>
      </c>
      <c r="K1198" s="961" t="s">
        <v>1607</v>
      </c>
      <c r="L1198" s="555" t="str">
        <f t="shared" ca="1" si="197"/>
        <v/>
      </c>
      <c r="M1198" s="494" t="s">
        <v>1608</v>
      </c>
      <c r="N1198" s="555" t="str">
        <f t="shared" ca="1" si="198"/>
        <v/>
      </c>
      <c r="O1198" s="494" t="s">
        <v>1609</v>
      </c>
      <c r="P1198" s="555" t="str">
        <f t="shared" ca="1" si="199"/>
        <v/>
      </c>
      <c r="Q1198" s="494" t="s">
        <v>1610</v>
      </c>
      <c r="R1198" s="494" t="str">
        <f t="shared" si="203"/>
        <v>H1198</v>
      </c>
      <c r="S1198" s="494" t="s">
        <v>1611</v>
      </c>
      <c r="T1198" s="494">
        <v>6</v>
      </c>
      <c r="U1198" s="556" t="str">
        <f t="shared" ca="1" si="195"/>
        <v/>
      </c>
      <c r="V1198" s="494">
        <v>7</v>
      </c>
      <c r="W1198" s="556" t="str">
        <f t="shared" ca="1" si="196"/>
        <v/>
      </c>
      <c r="X1198" s="494" t="s">
        <v>198</v>
      </c>
      <c r="Y1198" s="547" t="str">
        <f t="shared" ca="1" si="200"/>
        <v/>
      </c>
      <c r="Z1198" s="494" t="s">
        <v>1612</v>
      </c>
      <c r="AA1198" s="547" t="str">
        <f t="shared" ca="1" si="201"/>
        <v/>
      </c>
      <c r="AB1198" s="494" t="s">
        <v>1613</v>
      </c>
      <c r="AC1198" s="547" t="str">
        <f t="shared" ca="1" si="202"/>
        <v/>
      </c>
      <c r="AD1198" s="557"/>
      <c r="AE1198" s="958"/>
    </row>
    <row r="1199" spans="1:31" ht="15" customHeight="1">
      <c r="A1199" s="957">
        <v>92</v>
      </c>
      <c r="B1199" s="566" t="s">
        <v>533</v>
      </c>
      <c r="C1199" s="567" t="s">
        <v>1595</v>
      </c>
      <c r="D1199" s="958">
        <v>1.1000000000000001</v>
      </c>
      <c r="E1199" s="959" t="s">
        <v>254</v>
      </c>
      <c r="F1199" s="558" t="s">
        <v>1444</v>
      </c>
      <c r="G1199" s="558">
        <v>829</v>
      </c>
      <c r="H1199" s="558" t="s">
        <v>555</v>
      </c>
      <c r="I1199" s="559" t="s">
        <v>499</v>
      </c>
      <c r="J1199" s="567" t="s">
        <v>1606</v>
      </c>
      <c r="K1199" s="961" t="s">
        <v>1607</v>
      </c>
      <c r="L1199" s="555" t="str">
        <f t="shared" ca="1" si="197"/>
        <v/>
      </c>
      <c r="M1199" s="494" t="s">
        <v>1608</v>
      </c>
      <c r="N1199" s="555" t="str">
        <f t="shared" ca="1" si="198"/>
        <v/>
      </c>
      <c r="O1199" s="494" t="s">
        <v>1609</v>
      </c>
      <c r="P1199" s="555" t="str">
        <f t="shared" ca="1" si="199"/>
        <v/>
      </c>
      <c r="Q1199" s="494" t="s">
        <v>1610</v>
      </c>
      <c r="R1199" s="494" t="str">
        <f>CONCATENATE("H",ROW(J1199))</f>
        <v>H1199</v>
      </c>
      <c r="S1199" s="494" t="s">
        <v>1611</v>
      </c>
      <c r="T1199" s="494">
        <v>6</v>
      </c>
      <c r="U1199" s="556" t="str">
        <f t="shared" ca="1" si="195"/>
        <v/>
      </c>
      <c r="V1199" s="494">
        <v>7</v>
      </c>
      <c r="W1199" s="556" t="str">
        <f t="shared" ca="1" si="196"/>
        <v/>
      </c>
      <c r="X1199" s="494" t="s">
        <v>198</v>
      </c>
      <c r="Y1199" s="547" t="str">
        <f t="shared" ca="1" si="200"/>
        <v/>
      </c>
      <c r="Z1199" s="494" t="s">
        <v>1612</v>
      </c>
      <c r="AA1199" s="547" t="str">
        <f t="shared" ca="1" si="201"/>
        <v/>
      </c>
      <c r="AB1199" s="494" t="s">
        <v>1613</v>
      </c>
      <c r="AC1199" s="547" t="str">
        <f t="shared" ca="1" si="202"/>
        <v/>
      </c>
      <c r="AD1199" s="557"/>
      <c r="AE1199" s="958"/>
    </row>
    <row r="1200" spans="1:31" ht="15" customHeight="1">
      <c r="A1200" s="957">
        <v>92</v>
      </c>
      <c r="B1200" s="566" t="s">
        <v>533</v>
      </c>
      <c r="C1200" s="567" t="s">
        <v>1595</v>
      </c>
      <c r="D1200" s="958">
        <v>1.1000000000000001</v>
      </c>
      <c r="E1200" s="959" t="s">
        <v>306</v>
      </c>
      <c r="F1200" s="558" t="s">
        <v>1454</v>
      </c>
      <c r="G1200" s="558">
        <v>830</v>
      </c>
      <c r="H1200" s="558">
        <v>8.1</v>
      </c>
      <c r="I1200" s="559" t="s">
        <v>309</v>
      </c>
      <c r="J1200" s="567" t="s">
        <v>1606</v>
      </c>
      <c r="K1200" s="961" t="s">
        <v>1607</v>
      </c>
      <c r="L1200" s="555" t="str">
        <f t="shared" ca="1" si="197"/>
        <v/>
      </c>
      <c r="M1200" s="494" t="s">
        <v>1608</v>
      </c>
      <c r="N1200" s="555" t="str">
        <f t="shared" ca="1" si="198"/>
        <v/>
      </c>
      <c r="O1200" s="494" t="s">
        <v>1609</v>
      </c>
      <c r="P1200" s="555" t="str">
        <f t="shared" ca="1" si="199"/>
        <v/>
      </c>
      <c r="Q1200" s="494" t="s">
        <v>1610</v>
      </c>
      <c r="R1200" s="494" t="str">
        <f t="shared" si="203"/>
        <v>H1200</v>
      </c>
      <c r="S1200" s="494" t="s">
        <v>1611</v>
      </c>
      <c r="T1200" s="494">
        <v>6</v>
      </c>
      <c r="U1200" s="556" t="str">
        <f t="shared" ca="1" si="195"/>
        <v/>
      </c>
      <c r="V1200" s="494">
        <v>7</v>
      </c>
      <c r="W1200" s="556" t="str">
        <f t="shared" ca="1" si="196"/>
        <v/>
      </c>
      <c r="X1200" s="494" t="s">
        <v>198</v>
      </c>
      <c r="Y1200" s="547" t="str">
        <f t="shared" ca="1" si="200"/>
        <v/>
      </c>
      <c r="Z1200" s="494" t="s">
        <v>1612</v>
      </c>
      <c r="AA1200" s="547" t="str">
        <f t="shared" ca="1" si="201"/>
        <v/>
      </c>
      <c r="AB1200" s="494" t="s">
        <v>1613</v>
      </c>
      <c r="AC1200" s="547" t="str">
        <f t="shared" ca="1" si="202"/>
        <v/>
      </c>
      <c r="AD1200" s="557"/>
      <c r="AE1200" s="958"/>
    </row>
    <row r="1201" spans="1:31" ht="15" customHeight="1">
      <c r="A1201" s="957">
        <v>92</v>
      </c>
      <c r="B1201" s="566" t="s">
        <v>533</v>
      </c>
      <c r="C1201" s="567" t="s">
        <v>1595</v>
      </c>
      <c r="D1201" s="958">
        <v>1.1000000000000001</v>
      </c>
      <c r="E1201" s="959" t="s">
        <v>306</v>
      </c>
      <c r="F1201" s="558" t="s">
        <v>1454</v>
      </c>
      <c r="G1201" s="558">
        <v>831</v>
      </c>
      <c r="H1201" s="558">
        <v>8.1999999999999993</v>
      </c>
      <c r="I1201" s="559" t="s">
        <v>310</v>
      </c>
      <c r="J1201" s="567" t="s">
        <v>1606</v>
      </c>
      <c r="K1201" s="961" t="s">
        <v>1607</v>
      </c>
      <c r="L1201" s="555" t="str">
        <f t="shared" ca="1" si="197"/>
        <v/>
      </c>
      <c r="M1201" s="494" t="s">
        <v>1608</v>
      </c>
      <c r="N1201" s="555" t="str">
        <f t="shared" ca="1" si="198"/>
        <v/>
      </c>
      <c r="O1201" s="494" t="s">
        <v>1609</v>
      </c>
      <c r="P1201" s="555" t="str">
        <f t="shared" ca="1" si="199"/>
        <v/>
      </c>
      <c r="Q1201" s="494" t="s">
        <v>1610</v>
      </c>
      <c r="R1201" s="494" t="str">
        <f t="shared" si="203"/>
        <v>H1201</v>
      </c>
      <c r="S1201" s="494" t="s">
        <v>1611</v>
      </c>
      <c r="T1201" s="494">
        <v>6</v>
      </c>
      <c r="U1201" s="556" t="str">
        <f t="shared" ca="1" si="195"/>
        <v/>
      </c>
      <c r="V1201" s="494">
        <v>7</v>
      </c>
      <c r="W1201" s="556" t="str">
        <f t="shared" ca="1" si="196"/>
        <v/>
      </c>
      <c r="X1201" s="494" t="s">
        <v>198</v>
      </c>
      <c r="Y1201" s="547" t="str">
        <f t="shared" ca="1" si="200"/>
        <v/>
      </c>
      <c r="Z1201" s="494" t="s">
        <v>1612</v>
      </c>
      <c r="AA1201" s="547" t="str">
        <f t="shared" ca="1" si="201"/>
        <v/>
      </c>
      <c r="AB1201" s="494" t="s">
        <v>1613</v>
      </c>
      <c r="AC1201" s="547" t="str">
        <f t="shared" ca="1" si="202"/>
        <v/>
      </c>
      <c r="AD1201" s="557"/>
      <c r="AE1201" s="958"/>
    </row>
    <row r="1202" spans="1:31" ht="15" customHeight="1">
      <c r="A1202" s="957">
        <v>92</v>
      </c>
      <c r="B1202" s="566" t="s">
        <v>533</v>
      </c>
      <c r="C1202" s="567" t="s">
        <v>1595</v>
      </c>
      <c r="D1202" s="958">
        <v>1.1000000000000001</v>
      </c>
      <c r="E1202" s="959" t="s">
        <v>306</v>
      </c>
      <c r="F1202" s="558" t="s">
        <v>1454</v>
      </c>
      <c r="G1202" s="558">
        <v>832</v>
      </c>
      <c r="H1202" s="558">
        <v>8.3000000000000007</v>
      </c>
      <c r="I1202" s="559" t="s">
        <v>311</v>
      </c>
      <c r="J1202" s="567" t="s">
        <v>1606</v>
      </c>
      <c r="K1202" s="961" t="s">
        <v>1607</v>
      </c>
      <c r="L1202" s="555" t="str">
        <f t="shared" ca="1" si="197"/>
        <v/>
      </c>
      <c r="M1202" s="494" t="s">
        <v>1608</v>
      </c>
      <c r="N1202" s="555" t="str">
        <f t="shared" ca="1" si="198"/>
        <v/>
      </c>
      <c r="O1202" s="494" t="s">
        <v>1609</v>
      </c>
      <c r="P1202" s="555" t="str">
        <f t="shared" ca="1" si="199"/>
        <v/>
      </c>
      <c r="Q1202" s="494" t="s">
        <v>1610</v>
      </c>
      <c r="R1202" s="494" t="str">
        <f t="shared" si="203"/>
        <v>H1202</v>
      </c>
      <c r="S1202" s="494" t="s">
        <v>1611</v>
      </c>
      <c r="T1202" s="494">
        <v>6</v>
      </c>
      <c r="U1202" s="556" t="str">
        <f t="shared" ca="1" si="195"/>
        <v/>
      </c>
      <c r="V1202" s="494">
        <v>7</v>
      </c>
      <c r="W1202" s="556" t="str">
        <f t="shared" ca="1" si="196"/>
        <v/>
      </c>
      <c r="X1202" s="494" t="s">
        <v>198</v>
      </c>
      <c r="Y1202" s="547" t="str">
        <f t="shared" ca="1" si="200"/>
        <v/>
      </c>
      <c r="Z1202" s="494" t="s">
        <v>1612</v>
      </c>
      <c r="AA1202" s="547" t="str">
        <f t="shared" ca="1" si="201"/>
        <v/>
      </c>
      <c r="AB1202" s="494" t="s">
        <v>1613</v>
      </c>
      <c r="AC1202" s="547" t="str">
        <f t="shared" ca="1" si="202"/>
        <v/>
      </c>
      <c r="AD1202" s="557"/>
      <c r="AE1202" s="958"/>
    </row>
    <row r="1203" spans="1:31" ht="15" customHeight="1">
      <c r="A1203" s="957">
        <v>92</v>
      </c>
      <c r="B1203" s="566" t="s">
        <v>533</v>
      </c>
      <c r="C1203" s="567" t="s">
        <v>1595</v>
      </c>
      <c r="D1203" s="958">
        <v>1.1000000000000001</v>
      </c>
      <c r="E1203" s="959" t="s">
        <v>306</v>
      </c>
      <c r="F1203" s="558" t="s">
        <v>1454</v>
      </c>
      <c r="G1203" s="558">
        <v>833</v>
      </c>
      <c r="H1203" s="558">
        <v>9.1</v>
      </c>
      <c r="I1203" s="559" t="s">
        <v>314</v>
      </c>
      <c r="J1203" s="567" t="s">
        <v>1606</v>
      </c>
      <c r="K1203" s="961" t="s">
        <v>1607</v>
      </c>
      <c r="L1203" s="555" t="str">
        <f t="shared" ca="1" si="197"/>
        <v/>
      </c>
      <c r="M1203" s="494" t="s">
        <v>1608</v>
      </c>
      <c r="N1203" s="555" t="str">
        <f t="shared" ca="1" si="198"/>
        <v/>
      </c>
      <c r="O1203" s="494" t="s">
        <v>1609</v>
      </c>
      <c r="P1203" s="555" t="str">
        <f t="shared" ca="1" si="199"/>
        <v/>
      </c>
      <c r="Q1203" s="494" t="s">
        <v>1610</v>
      </c>
      <c r="R1203" s="494" t="str">
        <f t="shared" si="203"/>
        <v>H1203</v>
      </c>
      <c r="S1203" s="494" t="s">
        <v>1611</v>
      </c>
      <c r="T1203" s="494">
        <v>6</v>
      </c>
      <c r="U1203" s="556" t="str">
        <f t="shared" ca="1" si="195"/>
        <v/>
      </c>
      <c r="V1203" s="494">
        <v>7</v>
      </c>
      <c r="W1203" s="556" t="str">
        <f t="shared" ca="1" si="196"/>
        <v/>
      </c>
      <c r="X1203" s="494" t="s">
        <v>198</v>
      </c>
      <c r="Y1203" s="547" t="str">
        <f t="shared" ca="1" si="200"/>
        <v/>
      </c>
      <c r="Z1203" s="494" t="s">
        <v>1612</v>
      </c>
      <c r="AA1203" s="547" t="str">
        <f t="shared" ca="1" si="201"/>
        <v/>
      </c>
      <c r="AB1203" s="494" t="s">
        <v>1613</v>
      </c>
      <c r="AC1203" s="547" t="str">
        <f t="shared" ca="1" si="202"/>
        <v/>
      </c>
      <c r="AD1203" s="557"/>
      <c r="AE1203" s="958"/>
    </row>
    <row r="1204" spans="1:31" ht="15" customHeight="1">
      <c r="A1204" s="957">
        <v>92</v>
      </c>
      <c r="B1204" s="566" t="s">
        <v>533</v>
      </c>
      <c r="C1204" s="567" t="s">
        <v>1595</v>
      </c>
      <c r="D1204" s="958">
        <v>1.1000000000000001</v>
      </c>
      <c r="E1204" s="959" t="s">
        <v>306</v>
      </c>
      <c r="F1204" s="558" t="s">
        <v>1454</v>
      </c>
      <c r="G1204" s="558">
        <v>834</v>
      </c>
      <c r="H1204" s="558">
        <v>9.1999999999999993</v>
      </c>
      <c r="I1204" s="559" t="s">
        <v>315</v>
      </c>
      <c r="J1204" s="567" t="s">
        <v>1606</v>
      </c>
      <c r="K1204" s="961" t="s">
        <v>1607</v>
      </c>
      <c r="L1204" s="555" t="str">
        <f t="shared" ca="1" si="197"/>
        <v/>
      </c>
      <c r="M1204" s="494" t="s">
        <v>1608</v>
      </c>
      <c r="N1204" s="555" t="str">
        <f t="shared" ca="1" si="198"/>
        <v/>
      </c>
      <c r="O1204" s="494" t="s">
        <v>1609</v>
      </c>
      <c r="P1204" s="555" t="str">
        <f t="shared" ca="1" si="199"/>
        <v/>
      </c>
      <c r="Q1204" s="494" t="s">
        <v>1610</v>
      </c>
      <c r="R1204" s="494" t="str">
        <f t="shared" si="203"/>
        <v>H1204</v>
      </c>
      <c r="S1204" s="494" t="s">
        <v>1611</v>
      </c>
      <c r="T1204" s="494">
        <v>6</v>
      </c>
      <c r="U1204" s="556" t="str">
        <f t="shared" ca="1" si="195"/>
        <v/>
      </c>
      <c r="V1204" s="494">
        <v>7</v>
      </c>
      <c r="W1204" s="556" t="str">
        <f t="shared" ca="1" si="196"/>
        <v/>
      </c>
      <c r="X1204" s="494" t="s">
        <v>198</v>
      </c>
      <c r="Y1204" s="547" t="str">
        <f t="shared" ca="1" si="200"/>
        <v/>
      </c>
      <c r="Z1204" s="494" t="s">
        <v>1612</v>
      </c>
      <c r="AA1204" s="547" t="str">
        <f t="shared" ca="1" si="201"/>
        <v/>
      </c>
      <c r="AB1204" s="494" t="s">
        <v>1613</v>
      </c>
      <c r="AC1204" s="547" t="str">
        <f t="shared" ca="1" si="202"/>
        <v/>
      </c>
      <c r="AD1204" s="557"/>
      <c r="AE1204" s="958"/>
    </row>
    <row r="1205" spans="1:31" ht="15" customHeight="1">
      <c r="A1205" s="957">
        <v>92</v>
      </c>
      <c r="B1205" s="566" t="s">
        <v>533</v>
      </c>
      <c r="C1205" s="567" t="s">
        <v>1595</v>
      </c>
      <c r="D1205" s="958">
        <v>1.1000000000000001</v>
      </c>
      <c r="E1205" s="959" t="s">
        <v>306</v>
      </c>
      <c r="F1205" s="558" t="s">
        <v>1454</v>
      </c>
      <c r="G1205" s="558">
        <v>835</v>
      </c>
      <c r="H1205" s="558">
        <v>9.3000000000000007</v>
      </c>
      <c r="I1205" s="559" t="s">
        <v>316</v>
      </c>
      <c r="J1205" s="567" t="s">
        <v>1606</v>
      </c>
      <c r="K1205" s="961" t="s">
        <v>1607</v>
      </c>
      <c r="L1205" s="555" t="str">
        <f t="shared" ca="1" si="197"/>
        <v/>
      </c>
      <c r="M1205" s="494" t="s">
        <v>1608</v>
      </c>
      <c r="N1205" s="555" t="str">
        <f t="shared" ca="1" si="198"/>
        <v/>
      </c>
      <c r="O1205" s="494" t="s">
        <v>1609</v>
      </c>
      <c r="P1205" s="555" t="str">
        <f t="shared" ca="1" si="199"/>
        <v/>
      </c>
      <c r="Q1205" s="494" t="s">
        <v>1610</v>
      </c>
      <c r="R1205" s="494" t="str">
        <f t="shared" si="203"/>
        <v>H1205</v>
      </c>
      <c r="S1205" s="494" t="s">
        <v>1611</v>
      </c>
      <c r="T1205" s="494">
        <v>6</v>
      </c>
      <c r="U1205" s="556" t="str">
        <f t="shared" ca="1" si="195"/>
        <v/>
      </c>
      <c r="V1205" s="494">
        <v>7</v>
      </c>
      <c r="W1205" s="556" t="str">
        <f t="shared" ca="1" si="196"/>
        <v/>
      </c>
      <c r="X1205" s="494" t="s">
        <v>198</v>
      </c>
      <c r="Y1205" s="547" t="str">
        <f t="shared" ca="1" si="200"/>
        <v/>
      </c>
      <c r="Z1205" s="494" t="s">
        <v>1612</v>
      </c>
      <c r="AA1205" s="547" t="str">
        <f t="shared" ca="1" si="201"/>
        <v/>
      </c>
      <c r="AB1205" s="494" t="s">
        <v>1613</v>
      </c>
      <c r="AC1205" s="547" t="str">
        <f t="shared" ca="1" si="202"/>
        <v/>
      </c>
      <c r="AD1205" s="557"/>
      <c r="AE1205" s="958"/>
    </row>
    <row r="1206" spans="1:31" ht="15" customHeight="1">
      <c r="A1206" s="957">
        <v>92</v>
      </c>
      <c r="B1206" s="566" t="s">
        <v>533</v>
      </c>
      <c r="C1206" s="567" t="s">
        <v>1595</v>
      </c>
      <c r="D1206" s="958">
        <v>1.1000000000000001</v>
      </c>
      <c r="E1206" s="959" t="s">
        <v>306</v>
      </c>
      <c r="F1206" s="558" t="s">
        <v>1454</v>
      </c>
      <c r="G1206" s="558">
        <v>836</v>
      </c>
      <c r="H1206" s="558">
        <v>10</v>
      </c>
      <c r="I1206" s="559" t="s">
        <v>319</v>
      </c>
      <c r="J1206" s="567" t="s">
        <v>1606</v>
      </c>
      <c r="K1206" s="961" t="s">
        <v>1607</v>
      </c>
      <c r="L1206" s="555" t="str">
        <f t="shared" ca="1" si="197"/>
        <v/>
      </c>
      <c r="M1206" s="494" t="s">
        <v>1608</v>
      </c>
      <c r="N1206" s="555" t="str">
        <f t="shared" ca="1" si="198"/>
        <v/>
      </c>
      <c r="O1206" s="494" t="s">
        <v>1609</v>
      </c>
      <c r="P1206" s="555" t="str">
        <f t="shared" ca="1" si="199"/>
        <v/>
      </c>
      <c r="Q1206" s="494" t="s">
        <v>1610</v>
      </c>
      <c r="R1206" s="494" t="str">
        <f t="shared" si="203"/>
        <v>H1206</v>
      </c>
      <c r="S1206" s="494" t="s">
        <v>1611</v>
      </c>
      <c r="T1206" s="494">
        <v>6</v>
      </c>
      <c r="U1206" s="556" t="str">
        <f t="shared" ca="1" si="195"/>
        <v/>
      </c>
      <c r="V1206" s="494">
        <v>7</v>
      </c>
      <c r="W1206" s="556" t="str">
        <f t="shared" ca="1" si="196"/>
        <v/>
      </c>
      <c r="X1206" s="494" t="s">
        <v>198</v>
      </c>
      <c r="Y1206" s="547" t="str">
        <f t="shared" ca="1" si="200"/>
        <v/>
      </c>
      <c r="Z1206" s="494" t="s">
        <v>1612</v>
      </c>
      <c r="AA1206" s="547" t="str">
        <f t="shared" ca="1" si="201"/>
        <v/>
      </c>
      <c r="AB1206" s="494" t="s">
        <v>1613</v>
      </c>
      <c r="AC1206" s="547" t="str">
        <f t="shared" ca="1" si="202"/>
        <v/>
      </c>
      <c r="AD1206" s="557"/>
      <c r="AE1206" s="958"/>
    </row>
    <row r="1207" spans="1:31" ht="15" customHeight="1">
      <c r="A1207" s="957">
        <v>92</v>
      </c>
      <c r="B1207" s="566" t="s">
        <v>533</v>
      </c>
      <c r="C1207" s="567" t="s">
        <v>1595</v>
      </c>
      <c r="D1207" s="958">
        <v>1.1000000000000001</v>
      </c>
      <c r="E1207" s="959" t="s">
        <v>306</v>
      </c>
      <c r="F1207" s="558" t="s">
        <v>1454</v>
      </c>
      <c r="G1207" s="558">
        <v>837</v>
      </c>
      <c r="H1207" s="558">
        <v>10.1</v>
      </c>
      <c r="I1207" s="559" t="s">
        <v>320</v>
      </c>
      <c r="J1207" s="567" t="s">
        <v>1606</v>
      </c>
      <c r="K1207" s="961" t="s">
        <v>1607</v>
      </c>
      <c r="L1207" s="555" t="str">
        <f t="shared" ca="1" si="197"/>
        <v/>
      </c>
      <c r="M1207" s="494" t="s">
        <v>1608</v>
      </c>
      <c r="N1207" s="555" t="str">
        <f t="shared" ca="1" si="198"/>
        <v/>
      </c>
      <c r="O1207" s="494" t="s">
        <v>1609</v>
      </c>
      <c r="P1207" s="555" t="str">
        <f t="shared" ca="1" si="199"/>
        <v/>
      </c>
      <c r="Q1207" s="494" t="s">
        <v>1610</v>
      </c>
      <c r="R1207" s="494" t="str">
        <f t="shared" si="203"/>
        <v>H1207</v>
      </c>
      <c r="S1207" s="494" t="s">
        <v>1611</v>
      </c>
      <c r="T1207" s="494">
        <v>6</v>
      </c>
      <c r="U1207" s="556" t="str">
        <f t="shared" ca="1" si="195"/>
        <v/>
      </c>
      <c r="V1207" s="494">
        <v>7</v>
      </c>
      <c r="W1207" s="556" t="str">
        <f t="shared" ca="1" si="196"/>
        <v/>
      </c>
      <c r="X1207" s="494" t="s">
        <v>198</v>
      </c>
      <c r="Y1207" s="547" t="str">
        <f t="shared" ca="1" si="200"/>
        <v/>
      </c>
      <c r="Z1207" s="494" t="s">
        <v>1612</v>
      </c>
      <c r="AA1207" s="547" t="str">
        <f t="shared" ca="1" si="201"/>
        <v/>
      </c>
      <c r="AB1207" s="494" t="s">
        <v>1613</v>
      </c>
      <c r="AC1207" s="547" t="str">
        <f t="shared" ca="1" si="202"/>
        <v/>
      </c>
      <c r="AD1207" s="557"/>
      <c r="AE1207" s="958"/>
    </row>
    <row r="1208" spans="1:31" ht="15" customHeight="1">
      <c r="A1208" s="957">
        <v>92</v>
      </c>
      <c r="B1208" s="566" t="s">
        <v>533</v>
      </c>
      <c r="C1208" s="567" t="s">
        <v>1595</v>
      </c>
      <c r="D1208" s="958">
        <v>1.1000000000000001</v>
      </c>
      <c r="E1208" s="959" t="s">
        <v>306</v>
      </c>
      <c r="F1208" s="558" t="s">
        <v>1454</v>
      </c>
      <c r="G1208" s="558">
        <v>838</v>
      </c>
      <c r="H1208" s="558">
        <v>10.199999999999999</v>
      </c>
      <c r="I1208" s="559" t="s">
        <v>321</v>
      </c>
      <c r="J1208" s="567" t="s">
        <v>1606</v>
      </c>
      <c r="K1208" s="961" t="s">
        <v>1607</v>
      </c>
      <c r="L1208" s="555" t="str">
        <f t="shared" ca="1" si="197"/>
        <v/>
      </c>
      <c r="M1208" s="494" t="s">
        <v>1608</v>
      </c>
      <c r="N1208" s="555" t="str">
        <f t="shared" ca="1" si="198"/>
        <v/>
      </c>
      <c r="O1208" s="494" t="s">
        <v>1609</v>
      </c>
      <c r="P1208" s="555" t="str">
        <f t="shared" ca="1" si="199"/>
        <v/>
      </c>
      <c r="Q1208" s="494" t="s">
        <v>1610</v>
      </c>
      <c r="R1208" s="494" t="str">
        <f t="shared" si="203"/>
        <v>H1208</v>
      </c>
      <c r="S1208" s="494" t="s">
        <v>1611</v>
      </c>
      <c r="T1208" s="494">
        <v>6</v>
      </c>
      <c r="U1208" s="556" t="str">
        <f t="shared" ca="1" si="195"/>
        <v/>
      </c>
      <c r="V1208" s="494">
        <v>7</v>
      </c>
      <c r="W1208" s="556" t="str">
        <f t="shared" ca="1" si="196"/>
        <v/>
      </c>
      <c r="X1208" s="494" t="s">
        <v>198</v>
      </c>
      <c r="Y1208" s="547" t="str">
        <f t="shared" ca="1" si="200"/>
        <v/>
      </c>
      <c r="Z1208" s="494" t="s">
        <v>1612</v>
      </c>
      <c r="AA1208" s="547" t="str">
        <f t="shared" ca="1" si="201"/>
        <v/>
      </c>
      <c r="AB1208" s="494" t="s">
        <v>1613</v>
      </c>
      <c r="AC1208" s="547" t="str">
        <f t="shared" ca="1" si="202"/>
        <v/>
      </c>
      <c r="AD1208" s="557"/>
      <c r="AE1208" s="958"/>
    </row>
    <row r="1209" spans="1:31" ht="15" customHeight="1">
      <c r="A1209" s="957">
        <v>92</v>
      </c>
      <c r="B1209" s="566" t="s">
        <v>533</v>
      </c>
      <c r="C1209" s="567" t="s">
        <v>1595</v>
      </c>
      <c r="D1209" s="958">
        <v>1.1000000000000001</v>
      </c>
      <c r="E1209" s="959" t="s">
        <v>306</v>
      </c>
      <c r="F1209" s="558" t="s">
        <v>1454</v>
      </c>
      <c r="G1209" s="558">
        <v>839</v>
      </c>
      <c r="H1209" s="558">
        <v>10.3</v>
      </c>
      <c r="I1209" s="559" t="s">
        <v>322</v>
      </c>
      <c r="J1209" s="567" t="s">
        <v>1606</v>
      </c>
      <c r="K1209" s="961" t="s">
        <v>1607</v>
      </c>
      <c r="L1209" s="555" t="str">
        <f t="shared" ca="1" si="197"/>
        <v/>
      </c>
      <c r="M1209" s="494" t="s">
        <v>1608</v>
      </c>
      <c r="N1209" s="555" t="str">
        <f t="shared" ca="1" si="198"/>
        <v/>
      </c>
      <c r="O1209" s="494" t="s">
        <v>1609</v>
      </c>
      <c r="P1209" s="555" t="str">
        <f t="shared" ca="1" si="199"/>
        <v/>
      </c>
      <c r="Q1209" s="494" t="s">
        <v>1610</v>
      </c>
      <c r="R1209" s="494" t="str">
        <f t="shared" si="203"/>
        <v>H1209</v>
      </c>
      <c r="S1209" s="494" t="s">
        <v>1611</v>
      </c>
      <c r="T1209" s="494">
        <v>6</v>
      </c>
      <c r="U1209" s="556" t="str">
        <f t="shared" ca="1" si="195"/>
        <v/>
      </c>
      <c r="V1209" s="494">
        <v>7</v>
      </c>
      <c r="W1209" s="556" t="str">
        <f t="shared" ca="1" si="196"/>
        <v/>
      </c>
      <c r="X1209" s="494" t="s">
        <v>198</v>
      </c>
      <c r="Y1209" s="547" t="str">
        <f t="shared" ca="1" si="200"/>
        <v/>
      </c>
      <c r="Z1209" s="494" t="s">
        <v>1612</v>
      </c>
      <c r="AA1209" s="547" t="str">
        <f t="shared" ca="1" si="201"/>
        <v/>
      </c>
      <c r="AB1209" s="494" t="s">
        <v>1613</v>
      </c>
      <c r="AC1209" s="547" t="str">
        <f t="shared" ca="1" si="202"/>
        <v/>
      </c>
      <c r="AD1209" s="557"/>
      <c r="AE1209" s="958"/>
    </row>
    <row r="1210" spans="1:31" ht="15" customHeight="1">
      <c r="A1210" s="957">
        <v>92</v>
      </c>
      <c r="B1210" s="566" t="s">
        <v>533</v>
      </c>
      <c r="C1210" s="567" t="s">
        <v>1595</v>
      </c>
      <c r="D1210" s="958">
        <v>1.1000000000000001</v>
      </c>
      <c r="E1210" s="959" t="s">
        <v>306</v>
      </c>
      <c r="F1210" s="558" t="s">
        <v>1454</v>
      </c>
      <c r="G1210" s="558">
        <v>840</v>
      </c>
      <c r="H1210" s="558">
        <v>11</v>
      </c>
      <c r="I1210" s="559" t="s">
        <v>325</v>
      </c>
      <c r="J1210" s="567" t="s">
        <v>1606</v>
      </c>
      <c r="K1210" s="961" t="s">
        <v>1607</v>
      </c>
      <c r="L1210" s="555" t="str">
        <f t="shared" ca="1" si="197"/>
        <v/>
      </c>
      <c r="M1210" s="494" t="s">
        <v>1608</v>
      </c>
      <c r="N1210" s="555" t="str">
        <f t="shared" ca="1" si="198"/>
        <v/>
      </c>
      <c r="O1210" s="494" t="s">
        <v>1609</v>
      </c>
      <c r="P1210" s="555" t="str">
        <f t="shared" ca="1" si="199"/>
        <v/>
      </c>
      <c r="Q1210" s="494" t="s">
        <v>1610</v>
      </c>
      <c r="R1210" s="494" t="str">
        <f t="shared" si="203"/>
        <v>H1210</v>
      </c>
      <c r="S1210" s="494" t="s">
        <v>1611</v>
      </c>
      <c r="T1210" s="494">
        <v>6</v>
      </c>
      <c r="U1210" s="556" t="str">
        <f t="shared" ca="1" si="195"/>
        <v/>
      </c>
      <c r="V1210" s="494">
        <v>7</v>
      </c>
      <c r="W1210" s="556" t="str">
        <f t="shared" ca="1" si="196"/>
        <v/>
      </c>
      <c r="X1210" s="494" t="s">
        <v>198</v>
      </c>
      <c r="Y1210" s="547" t="str">
        <f t="shared" ca="1" si="200"/>
        <v/>
      </c>
      <c r="Z1210" s="494" t="s">
        <v>1612</v>
      </c>
      <c r="AA1210" s="547" t="str">
        <f t="shared" ca="1" si="201"/>
        <v/>
      </c>
      <c r="AB1210" s="494" t="s">
        <v>1613</v>
      </c>
      <c r="AC1210" s="547" t="str">
        <f t="shared" ca="1" si="202"/>
        <v/>
      </c>
      <c r="AD1210" s="557"/>
      <c r="AE1210" s="958"/>
    </row>
    <row r="1211" spans="1:31" ht="15" customHeight="1">
      <c r="A1211" s="957">
        <v>92</v>
      </c>
      <c r="B1211" s="566" t="s">
        <v>533</v>
      </c>
      <c r="C1211" s="567" t="s">
        <v>1595</v>
      </c>
      <c r="D1211" s="958">
        <v>1.1000000000000001</v>
      </c>
      <c r="E1211" s="959" t="s">
        <v>306</v>
      </c>
      <c r="F1211" s="558" t="s">
        <v>1454</v>
      </c>
      <c r="G1211" s="558">
        <v>841</v>
      </c>
      <c r="H1211" s="558">
        <v>11.1</v>
      </c>
      <c r="I1211" s="559" t="s">
        <v>326</v>
      </c>
      <c r="J1211" s="567" t="s">
        <v>1606</v>
      </c>
      <c r="K1211" s="961" t="s">
        <v>1607</v>
      </c>
      <c r="L1211" s="555" t="str">
        <f t="shared" ca="1" si="197"/>
        <v/>
      </c>
      <c r="M1211" s="494" t="s">
        <v>1608</v>
      </c>
      <c r="N1211" s="555" t="str">
        <f t="shared" ca="1" si="198"/>
        <v/>
      </c>
      <c r="O1211" s="494" t="s">
        <v>1609</v>
      </c>
      <c r="P1211" s="555" t="str">
        <f t="shared" ca="1" si="199"/>
        <v/>
      </c>
      <c r="Q1211" s="494" t="s">
        <v>1610</v>
      </c>
      <c r="R1211" s="494" t="str">
        <f t="shared" si="203"/>
        <v>H1211</v>
      </c>
      <c r="S1211" s="494" t="s">
        <v>1611</v>
      </c>
      <c r="T1211" s="494">
        <v>6</v>
      </c>
      <c r="U1211" s="556" t="str">
        <f t="shared" ca="1" si="195"/>
        <v/>
      </c>
      <c r="V1211" s="494">
        <v>7</v>
      </c>
      <c r="W1211" s="556" t="str">
        <f t="shared" ca="1" si="196"/>
        <v/>
      </c>
      <c r="X1211" s="494" t="s">
        <v>198</v>
      </c>
      <c r="Y1211" s="547" t="str">
        <f t="shared" ca="1" si="200"/>
        <v/>
      </c>
      <c r="Z1211" s="494" t="s">
        <v>1612</v>
      </c>
      <c r="AA1211" s="547" t="str">
        <f t="shared" ca="1" si="201"/>
        <v/>
      </c>
      <c r="AB1211" s="494" t="s">
        <v>1613</v>
      </c>
      <c r="AC1211" s="547" t="str">
        <f t="shared" ca="1" si="202"/>
        <v/>
      </c>
      <c r="AD1211" s="557"/>
      <c r="AE1211" s="958"/>
    </row>
    <row r="1212" spans="1:31" ht="15" customHeight="1">
      <c r="A1212" s="957">
        <v>92</v>
      </c>
      <c r="B1212" s="566" t="s">
        <v>533</v>
      </c>
      <c r="C1212" s="567" t="s">
        <v>1595</v>
      </c>
      <c r="D1212" s="958">
        <v>1.1000000000000001</v>
      </c>
      <c r="E1212" s="959" t="s">
        <v>306</v>
      </c>
      <c r="F1212" s="558" t="s">
        <v>1454</v>
      </c>
      <c r="G1212" s="558">
        <v>842</v>
      </c>
      <c r="H1212" s="558">
        <v>11.2</v>
      </c>
      <c r="I1212" s="559" t="s">
        <v>327</v>
      </c>
      <c r="J1212" s="567" t="s">
        <v>1606</v>
      </c>
      <c r="K1212" s="961" t="s">
        <v>1607</v>
      </c>
      <c r="L1212" s="555" t="str">
        <f t="shared" ca="1" si="197"/>
        <v/>
      </c>
      <c r="M1212" s="494" t="s">
        <v>1608</v>
      </c>
      <c r="N1212" s="555" t="str">
        <f t="shared" ca="1" si="198"/>
        <v/>
      </c>
      <c r="O1212" s="494" t="s">
        <v>1609</v>
      </c>
      <c r="P1212" s="555" t="str">
        <f t="shared" ca="1" si="199"/>
        <v/>
      </c>
      <c r="Q1212" s="494" t="s">
        <v>1610</v>
      </c>
      <c r="R1212" s="494" t="str">
        <f t="shared" si="203"/>
        <v>H1212</v>
      </c>
      <c r="S1212" s="494" t="s">
        <v>1611</v>
      </c>
      <c r="T1212" s="494">
        <v>6</v>
      </c>
      <c r="U1212" s="556" t="str">
        <f t="shared" ca="1" si="195"/>
        <v/>
      </c>
      <c r="V1212" s="494">
        <v>7</v>
      </c>
      <c r="W1212" s="556" t="str">
        <f t="shared" ca="1" si="196"/>
        <v/>
      </c>
      <c r="X1212" s="494" t="s">
        <v>198</v>
      </c>
      <c r="Y1212" s="547" t="str">
        <f t="shared" ca="1" si="200"/>
        <v/>
      </c>
      <c r="Z1212" s="494" t="s">
        <v>1612</v>
      </c>
      <c r="AA1212" s="547" t="str">
        <f t="shared" ca="1" si="201"/>
        <v/>
      </c>
      <c r="AB1212" s="494" t="s">
        <v>1613</v>
      </c>
      <c r="AC1212" s="547" t="str">
        <f t="shared" ca="1" si="202"/>
        <v/>
      </c>
      <c r="AD1212" s="557"/>
      <c r="AE1212" s="958"/>
    </row>
    <row r="1213" spans="1:31" ht="15" customHeight="1">
      <c r="A1213" s="957">
        <v>92</v>
      </c>
      <c r="B1213" s="566" t="s">
        <v>533</v>
      </c>
      <c r="C1213" s="567" t="s">
        <v>1595</v>
      </c>
      <c r="D1213" s="958">
        <v>1.1000000000000001</v>
      </c>
      <c r="E1213" s="959" t="s">
        <v>306</v>
      </c>
      <c r="F1213" s="558" t="s">
        <v>1454</v>
      </c>
      <c r="G1213" s="558">
        <v>843</v>
      </c>
      <c r="H1213" s="558">
        <v>12.1</v>
      </c>
      <c r="I1213" s="559" t="s">
        <v>330</v>
      </c>
      <c r="J1213" s="567" t="s">
        <v>1606</v>
      </c>
      <c r="K1213" s="961" t="s">
        <v>1607</v>
      </c>
      <c r="L1213" s="555" t="str">
        <f t="shared" ca="1" si="197"/>
        <v/>
      </c>
      <c r="M1213" s="494" t="s">
        <v>1608</v>
      </c>
      <c r="N1213" s="555" t="str">
        <f t="shared" ca="1" si="198"/>
        <v/>
      </c>
      <c r="O1213" s="494" t="s">
        <v>1609</v>
      </c>
      <c r="P1213" s="555" t="str">
        <f t="shared" ca="1" si="199"/>
        <v/>
      </c>
      <c r="Q1213" s="494" t="s">
        <v>1610</v>
      </c>
      <c r="R1213" s="494" t="str">
        <f t="shared" si="203"/>
        <v>H1213</v>
      </c>
      <c r="S1213" s="494" t="s">
        <v>1611</v>
      </c>
      <c r="T1213" s="494">
        <v>6</v>
      </c>
      <c r="U1213" s="556" t="str">
        <f t="shared" ca="1" si="195"/>
        <v/>
      </c>
      <c r="V1213" s="494">
        <v>7</v>
      </c>
      <c r="W1213" s="556" t="str">
        <f t="shared" ca="1" si="196"/>
        <v/>
      </c>
      <c r="X1213" s="494" t="s">
        <v>198</v>
      </c>
      <c r="Y1213" s="547" t="str">
        <f t="shared" ca="1" si="200"/>
        <v/>
      </c>
      <c r="Z1213" s="494" t="s">
        <v>1612</v>
      </c>
      <c r="AA1213" s="547" t="str">
        <f t="shared" ca="1" si="201"/>
        <v/>
      </c>
      <c r="AB1213" s="494" t="s">
        <v>1613</v>
      </c>
      <c r="AC1213" s="547" t="str">
        <f t="shared" ca="1" si="202"/>
        <v/>
      </c>
      <c r="AD1213" s="557"/>
      <c r="AE1213" s="958"/>
    </row>
    <row r="1214" spans="1:31" ht="15" customHeight="1">
      <c r="A1214" s="957">
        <v>92</v>
      </c>
      <c r="B1214" s="566" t="s">
        <v>533</v>
      </c>
      <c r="C1214" s="567" t="s">
        <v>1595</v>
      </c>
      <c r="D1214" s="958">
        <v>1.1000000000000001</v>
      </c>
      <c r="E1214" s="959" t="s">
        <v>306</v>
      </c>
      <c r="F1214" s="558" t="s">
        <v>1454</v>
      </c>
      <c r="G1214" s="558">
        <v>844</v>
      </c>
      <c r="H1214" s="558">
        <v>12.2</v>
      </c>
      <c r="I1214" s="559" t="s">
        <v>331</v>
      </c>
      <c r="J1214" s="567" t="s">
        <v>1606</v>
      </c>
      <c r="K1214" s="961" t="s">
        <v>1607</v>
      </c>
      <c r="L1214" s="555" t="str">
        <f t="shared" ca="1" si="197"/>
        <v/>
      </c>
      <c r="M1214" s="494" t="s">
        <v>1608</v>
      </c>
      <c r="N1214" s="555" t="str">
        <f t="shared" ca="1" si="198"/>
        <v/>
      </c>
      <c r="O1214" s="494" t="s">
        <v>1609</v>
      </c>
      <c r="P1214" s="555" t="str">
        <f t="shared" ca="1" si="199"/>
        <v/>
      </c>
      <c r="Q1214" s="494" t="s">
        <v>1610</v>
      </c>
      <c r="R1214" s="494" t="str">
        <f t="shared" si="203"/>
        <v>H1214</v>
      </c>
      <c r="S1214" s="494" t="s">
        <v>1611</v>
      </c>
      <c r="T1214" s="494">
        <v>6</v>
      </c>
      <c r="U1214" s="556" t="str">
        <f t="shared" ca="1" si="195"/>
        <v/>
      </c>
      <c r="V1214" s="494">
        <v>7</v>
      </c>
      <c r="W1214" s="556" t="str">
        <f t="shared" ca="1" si="196"/>
        <v/>
      </c>
      <c r="X1214" s="494" t="s">
        <v>198</v>
      </c>
      <c r="Y1214" s="547" t="str">
        <f t="shared" ca="1" si="200"/>
        <v/>
      </c>
      <c r="Z1214" s="494" t="s">
        <v>1612</v>
      </c>
      <c r="AA1214" s="547" t="str">
        <f t="shared" ca="1" si="201"/>
        <v/>
      </c>
      <c r="AB1214" s="494" t="s">
        <v>1613</v>
      </c>
      <c r="AC1214" s="547" t="str">
        <f t="shared" ca="1" si="202"/>
        <v/>
      </c>
      <c r="AD1214" s="557"/>
      <c r="AE1214" s="958"/>
    </row>
    <row r="1215" spans="1:31" ht="15" customHeight="1">
      <c r="A1215" s="957">
        <v>92</v>
      </c>
      <c r="B1215" s="566" t="s">
        <v>533</v>
      </c>
      <c r="C1215" s="567" t="s">
        <v>1595</v>
      </c>
      <c r="D1215" s="958">
        <v>1.1000000000000001</v>
      </c>
      <c r="E1215" s="959" t="s">
        <v>306</v>
      </c>
      <c r="F1215" s="558" t="s">
        <v>1454</v>
      </c>
      <c r="G1215" s="558">
        <v>845</v>
      </c>
      <c r="H1215" s="558">
        <v>12.3</v>
      </c>
      <c r="I1215" s="559" t="s">
        <v>556</v>
      </c>
      <c r="J1215" s="567" t="s">
        <v>1606</v>
      </c>
      <c r="K1215" s="961" t="s">
        <v>1607</v>
      </c>
      <c r="L1215" s="555" t="str">
        <f t="shared" ca="1" si="197"/>
        <v/>
      </c>
      <c r="M1215" s="494" t="s">
        <v>1608</v>
      </c>
      <c r="N1215" s="555" t="str">
        <f t="shared" ca="1" si="198"/>
        <v/>
      </c>
      <c r="O1215" s="494" t="s">
        <v>1609</v>
      </c>
      <c r="P1215" s="555" t="str">
        <f t="shared" ca="1" si="199"/>
        <v/>
      </c>
      <c r="Q1215" s="494" t="s">
        <v>1610</v>
      </c>
      <c r="R1215" s="494" t="str">
        <f t="shared" si="203"/>
        <v>H1215</v>
      </c>
      <c r="S1215" s="494" t="s">
        <v>1611</v>
      </c>
      <c r="T1215" s="494">
        <v>6</v>
      </c>
      <c r="U1215" s="556" t="str">
        <f t="shared" ref="U1215:U1278" ca="1" si="204">IF(AND($B1215=INDIRECT(CONCATENATE($J1215,$K1215,5)),ISBLANK(INDEX(INDIRECT(CONCATENATE($J1215,$Q1215)),MATCH(INDIRECT($R1215),INDIRECT(CONCATENATE($J1215,$S1215)),0),T1215))=FALSE),INDEX(INDIRECT(CONCATENATE($J1215,$Q1215)),MATCH(INDIRECT($R1215),INDIRECT(CONCATENATE($J1215,$S1215)),0),T1215),"")</f>
        <v/>
      </c>
      <c r="V1215" s="494">
        <v>7</v>
      </c>
      <c r="W1215" s="556" t="str">
        <f t="shared" ref="W1215:W1278" ca="1" si="205">IF(AND($B1215=INDIRECT(CONCATENATE($J1215,$K1215,5)),ISBLANK(INDEX(INDIRECT(CONCATENATE($J1215,$Q1215)),MATCH(INDIRECT($R1215),INDIRECT(CONCATENATE($J1215,$S1215)),0),V1215))=FALSE),INDEX(INDIRECT(CONCATENATE($J1215,$Q1215)),MATCH(INDIRECT($R1215),INDIRECT(CONCATENATE($J1215,$S1215)),0),V1215),"")</f>
        <v/>
      </c>
      <c r="X1215" s="494" t="s">
        <v>198</v>
      </c>
      <c r="Y1215" s="547" t="str">
        <f t="shared" ca="1" si="200"/>
        <v/>
      </c>
      <c r="Z1215" s="494" t="s">
        <v>1612</v>
      </c>
      <c r="AA1215" s="547" t="str">
        <f t="shared" ca="1" si="201"/>
        <v/>
      </c>
      <c r="AB1215" s="494" t="s">
        <v>1613</v>
      </c>
      <c r="AC1215" s="547" t="str">
        <f t="shared" ca="1" si="202"/>
        <v/>
      </c>
      <c r="AD1215" s="557"/>
      <c r="AE1215" s="958"/>
    </row>
    <row r="1216" spans="1:31" ht="15" customHeight="1">
      <c r="A1216" s="957">
        <v>92</v>
      </c>
      <c r="B1216" s="566" t="s">
        <v>533</v>
      </c>
      <c r="C1216" s="567" t="s">
        <v>1595</v>
      </c>
      <c r="D1216" s="958">
        <v>1.1000000000000001</v>
      </c>
      <c r="E1216" s="959" t="s">
        <v>306</v>
      </c>
      <c r="F1216" s="558" t="s">
        <v>1454</v>
      </c>
      <c r="G1216" s="558">
        <v>846</v>
      </c>
      <c r="H1216" s="558">
        <v>13.1</v>
      </c>
      <c r="I1216" s="559" t="s">
        <v>332</v>
      </c>
      <c r="J1216" s="567" t="s">
        <v>1606</v>
      </c>
      <c r="K1216" s="961" t="s">
        <v>1607</v>
      </c>
      <c r="L1216" s="555" t="str">
        <f t="shared" ca="1" si="197"/>
        <v/>
      </c>
      <c r="M1216" s="494" t="s">
        <v>1608</v>
      </c>
      <c r="N1216" s="555" t="str">
        <f t="shared" ca="1" si="198"/>
        <v/>
      </c>
      <c r="O1216" s="494" t="s">
        <v>1609</v>
      </c>
      <c r="P1216" s="555" t="str">
        <f t="shared" ca="1" si="199"/>
        <v/>
      </c>
      <c r="Q1216" s="494" t="s">
        <v>1610</v>
      </c>
      <c r="R1216" s="494" t="str">
        <f t="shared" si="203"/>
        <v>H1216</v>
      </c>
      <c r="S1216" s="494" t="s">
        <v>1611</v>
      </c>
      <c r="T1216" s="494">
        <v>6</v>
      </c>
      <c r="U1216" s="556" t="str">
        <f t="shared" ca="1" si="204"/>
        <v/>
      </c>
      <c r="V1216" s="494">
        <v>7</v>
      </c>
      <c r="W1216" s="556" t="str">
        <f t="shared" ca="1" si="205"/>
        <v/>
      </c>
      <c r="X1216" s="494" t="s">
        <v>198</v>
      </c>
      <c r="Y1216" s="547" t="str">
        <f t="shared" ca="1" si="200"/>
        <v/>
      </c>
      <c r="Z1216" s="494" t="s">
        <v>1612</v>
      </c>
      <c r="AA1216" s="547" t="str">
        <f t="shared" ca="1" si="201"/>
        <v/>
      </c>
      <c r="AB1216" s="494" t="s">
        <v>1613</v>
      </c>
      <c r="AC1216" s="547" t="str">
        <f t="shared" ca="1" si="202"/>
        <v/>
      </c>
      <c r="AD1216" s="557"/>
      <c r="AE1216" s="958"/>
    </row>
    <row r="1217" spans="1:31" ht="15" customHeight="1">
      <c r="A1217" s="957">
        <v>92</v>
      </c>
      <c r="B1217" s="566" t="s">
        <v>533</v>
      </c>
      <c r="C1217" s="567" t="s">
        <v>1595</v>
      </c>
      <c r="D1217" s="958">
        <v>1.1000000000000001</v>
      </c>
      <c r="E1217" s="959" t="s">
        <v>306</v>
      </c>
      <c r="F1217" s="558" t="s">
        <v>1454</v>
      </c>
      <c r="G1217" s="558">
        <v>847</v>
      </c>
      <c r="H1217" s="558">
        <v>13.2</v>
      </c>
      <c r="I1217" s="559" t="s">
        <v>334</v>
      </c>
      <c r="J1217" s="567" t="s">
        <v>1606</v>
      </c>
      <c r="K1217" s="961" t="s">
        <v>1607</v>
      </c>
      <c r="L1217" s="555" t="str">
        <f t="shared" ca="1" si="197"/>
        <v/>
      </c>
      <c r="M1217" s="494" t="s">
        <v>1608</v>
      </c>
      <c r="N1217" s="555" t="str">
        <f t="shared" ca="1" si="198"/>
        <v/>
      </c>
      <c r="O1217" s="494" t="s">
        <v>1609</v>
      </c>
      <c r="P1217" s="555" t="str">
        <f t="shared" ca="1" si="199"/>
        <v/>
      </c>
      <c r="Q1217" s="494" t="s">
        <v>1610</v>
      </c>
      <c r="R1217" s="494" t="str">
        <f t="shared" si="203"/>
        <v>H1217</v>
      </c>
      <c r="S1217" s="494" t="s">
        <v>1611</v>
      </c>
      <c r="T1217" s="494">
        <v>6</v>
      </c>
      <c r="U1217" s="556" t="str">
        <f t="shared" ca="1" si="204"/>
        <v/>
      </c>
      <c r="V1217" s="494">
        <v>7</v>
      </c>
      <c r="W1217" s="556" t="str">
        <f t="shared" ca="1" si="205"/>
        <v/>
      </c>
      <c r="X1217" s="494" t="s">
        <v>198</v>
      </c>
      <c r="Y1217" s="547" t="str">
        <f t="shared" ca="1" si="200"/>
        <v/>
      </c>
      <c r="Z1217" s="494" t="s">
        <v>1612</v>
      </c>
      <c r="AA1217" s="547" t="str">
        <f t="shared" ca="1" si="201"/>
        <v/>
      </c>
      <c r="AB1217" s="494" t="s">
        <v>1613</v>
      </c>
      <c r="AC1217" s="547" t="str">
        <f t="shared" ca="1" si="202"/>
        <v/>
      </c>
      <c r="AD1217" s="557"/>
      <c r="AE1217" s="958"/>
    </row>
    <row r="1218" spans="1:31" ht="15" customHeight="1">
      <c r="A1218" s="957">
        <v>92</v>
      </c>
      <c r="B1218" s="566" t="s">
        <v>533</v>
      </c>
      <c r="C1218" s="567" t="s">
        <v>1595</v>
      </c>
      <c r="D1218" s="958">
        <v>1.1000000000000001</v>
      </c>
      <c r="E1218" s="959" t="s">
        <v>306</v>
      </c>
      <c r="F1218" s="558" t="s">
        <v>1454</v>
      </c>
      <c r="G1218" s="558">
        <v>848</v>
      </c>
      <c r="H1218" s="558" t="s">
        <v>559</v>
      </c>
      <c r="I1218" s="559" t="s">
        <v>560</v>
      </c>
      <c r="J1218" s="567" t="s">
        <v>1606</v>
      </c>
      <c r="K1218" s="961" t="s">
        <v>1607</v>
      </c>
      <c r="L1218" s="555" t="str">
        <f t="shared" ref="L1218:L1281" ca="1" si="206">IF(AND(INDIRECT(CONCATENATE($J1218,$K1218,5))=$B1218,ISNUMBER(SEARCH("Please",INDIRECT(CONCATENATE($J1218,$K1218,2)),1))=FALSE),SUMPRODUCT(MID(0&amp;INDIRECT(CONCATENATE($J1218,$K1218,2)), LARGE(INDEX(ISNUMBER(--MID(INDIRECT(CONCATENATE($J1218,$K1218,2)), ROW(INDIRECT("1:"&amp;LEN(INDIRECT(CONCATENATE($J1218,$K1218,2))))),1))*ROW(INDIRECT("1:"&amp;LEN(INDIRECT(CONCATENATE($J1218,$K1218,2))))),0), ROW(INDIRECT("1:"&amp;LEN(INDIRECT(CONCATENATE($J1218,$K1218,2))))))+1,1)*10^ROW(INDIRECT("1:"&amp;LEN(INDIRECT(CONCATENATE($J1218,$K1218,2)))))/10),"")</f>
        <v/>
      </c>
      <c r="M1218" s="494" t="s">
        <v>1608</v>
      </c>
      <c r="N1218" s="555" t="str">
        <f t="shared" ref="N1218:N1281" ca="1" si="207">IF(AND(INDIRECT(CONCATENATE($J1218,$K1218,5))=$B1218,ISNUMBER(SEARCH("Select",INDIRECT(CONCATENATE($J1218,$M1218,6)),1))=FALSE),INDIRECT(CONCATENATE($J1218,$M1218,6)),"")</f>
        <v/>
      </c>
      <c r="O1218" s="494" t="s">
        <v>1609</v>
      </c>
      <c r="P1218" s="555" t="str">
        <f t="shared" ref="P1218:P1281" ca="1" si="208">IF(AND(INDIRECT(CONCATENATE($J1218,$K1218,5))=$B1218,ISNUMBER(SEARCH("Select",INDIRECT(CONCATENATE($J1218,$O1218,6)),1))=FALSE),INDIRECT(CONCATENATE($J1218,$O1218,6)),"")</f>
        <v/>
      </c>
      <c r="Q1218" s="494" t="s">
        <v>1610</v>
      </c>
      <c r="R1218" s="494" t="str">
        <f t="shared" si="203"/>
        <v>H1218</v>
      </c>
      <c r="S1218" s="494" t="s">
        <v>1611</v>
      </c>
      <c r="T1218" s="494">
        <v>6</v>
      </c>
      <c r="U1218" s="556" t="str">
        <f t="shared" ca="1" si="204"/>
        <v/>
      </c>
      <c r="V1218" s="494">
        <v>7</v>
      </c>
      <c r="W1218" s="556" t="str">
        <f t="shared" ca="1" si="205"/>
        <v/>
      </c>
      <c r="X1218" s="494" t="s">
        <v>198</v>
      </c>
      <c r="Y1218" s="547" t="str">
        <f t="shared" ref="Y1218:Y1281" ca="1" si="209">IF(AND(INDIRECT(CONCATENATE($J1218,$K1218,5))=$B1218,ISBLANK(INDIRECT(CONCATENATE($J1218,X1218)))=FALSE),INDIRECT(CONCATENATE($J1218,X1218)),"")</f>
        <v/>
      </c>
      <c r="Z1218" s="494" t="s">
        <v>1612</v>
      </c>
      <c r="AA1218" s="547" t="str">
        <f t="shared" ref="AA1218:AA1281" ca="1" si="210">IF(AND(INDIRECT(CONCATENATE($J1218,$K1218,"5"))=$B1218,ISBLANK(INDIRECT(CONCATENATE($J1218,Z1218)))=FALSE),INDIRECT(CONCATENATE($J1218,Z1218)),"")</f>
        <v/>
      </c>
      <c r="AB1218" s="494" t="s">
        <v>1613</v>
      </c>
      <c r="AC1218" s="547" t="str">
        <f t="shared" ref="AC1218:AC1281" ca="1" si="211">IF(AND(INDIRECT(CONCATENATE($J1218,$K1218,"5"))=$B1218,ISBLANK(INDIRECT(CONCATENATE($J1218,AB1218)))=FALSE),INDIRECT(CONCATENATE($J1218,AB1218)),"")</f>
        <v/>
      </c>
      <c r="AD1218" s="557"/>
      <c r="AE1218" s="958"/>
    </row>
    <row r="1219" spans="1:31" ht="15" customHeight="1">
      <c r="A1219" s="957">
        <v>92</v>
      </c>
      <c r="B1219" s="566" t="s">
        <v>533</v>
      </c>
      <c r="C1219" s="567" t="s">
        <v>1595</v>
      </c>
      <c r="D1219" s="958">
        <v>1.1000000000000001</v>
      </c>
      <c r="E1219" s="959" t="s">
        <v>306</v>
      </c>
      <c r="F1219" s="558" t="s">
        <v>1454</v>
      </c>
      <c r="G1219" s="558">
        <v>848</v>
      </c>
      <c r="H1219" s="558" t="s">
        <v>561</v>
      </c>
      <c r="I1219" s="559" t="s">
        <v>558</v>
      </c>
      <c r="J1219" s="567" t="s">
        <v>1606</v>
      </c>
      <c r="K1219" s="961" t="s">
        <v>1607</v>
      </c>
      <c r="L1219" s="555" t="str">
        <f t="shared" ca="1" si="206"/>
        <v/>
      </c>
      <c r="M1219" s="494" t="s">
        <v>1608</v>
      </c>
      <c r="N1219" s="555" t="str">
        <f t="shared" ca="1" si="207"/>
        <v/>
      </c>
      <c r="O1219" s="494" t="s">
        <v>1609</v>
      </c>
      <c r="P1219" s="555" t="str">
        <f t="shared" ca="1" si="208"/>
        <v/>
      </c>
      <c r="Q1219" s="494" t="s">
        <v>1610</v>
      </c>
      <c r="R1219" s="494" t="str">
        <f t="shared" si="203"/>
        <v>H1219</v>
      </c>
      <c r="S1219" s="494" t="s">
        <v>1611</v>
      </c>
      <c r="T1219" s="494">
        <v>6</v>
      </c>
      <c r="U1219" s="556" t="str">
        <f t="shared" ca="1" si="204"/>
        <v/>
      </c>
      <c r="V1219" s="494">
        <v>7</v>
      </c>
      <c r="W1219" s="556" t="str">
        <f t="shared" ca="1" si="205"/>
        <v/>
      </c>
      <c r="X1219" s="494" t="s">
        <v>198</v>
      </c>
      <c r="Y1219" s="547" t="str">
        <f t="shared" ca="1" si="209"/>
        <v/>
      </c>
      <c r="Z1219" s="494" t="s">
        <v>1612</v>
      </c>
      <c r="AA1219" s="547" t="str">
        <f t="shared" ca="1" si="210"/>
        <v/>
      </c>
      <c r="AB1219" s="494" t="s">
        <v>1613</v>
      </c>
      <c r="AC1219" s="547" t="str">
        <f t="shared" ca="1" si="211"/>
        <v/>
      </c>
      <c r="AD1219" s="557"/>
      <c r="AE1219" s="958"/>
    </row>
    <row r="1220" spans="1:31" ht="15" customHeight="1">
      <c r="A1220" s="957">
        <v>92</v>
      </c>
      <c r="B1220" s="566" t="s">
        <v>533</v>
      </c>
      <c r="C1220" s="567" t="s">
        <v>1595</v>
      </c>
      <c r="D1220" s="958">
        <v>1.1000000000000001</v>
      </c>
      <c r="E1220" s="959" t="s">
        <v>306</v>
      </c>
      <c r="F1220" s="558" t="s">
        <v>1454</v>
      </c>
      <c r="G1220" s="558">
        <v>849</v>
      </c>
      <c r="H1220" s="558">
        <v>15</v>
      </c>
      <c r="I1220" s="559" t="s">
        <v>564</v>
      </c>
      <c r="J1220" s="567" t="s">
        <v>1606</v>
      </c>
      <c r="K1220" s="961" t="s">
        <v>1607</v>
      </c>
      <c r="L1220" s="555" t="str">
        <f t="shared" ca="1" si="206"/>
        <v/>
      </c>
      <c r="M1220" s="494" t="s">
        <v>1608</v>
      </c>
      <c r="N1220" s="555" t="str">
        <f t="shared" ca="1" si="207"/>
        <v/>
      </c>
      <c r="O1220" s="494" t="s">
        <v>1609</v>
      </c>
      <c r="P1220" s="555" t="str">
        <f t="shared" ca="1" si="208"/>
        <v/>
      </c>
      <c r="Q1220" s="494" t="s">
        <v>1610</v>
      </c>
      <c r="R1220" s="494" t="str">
        <f t="shared" si="203"/>
        <v>H1220</v>
      </c>
      <c r="S1220" s="494" t="s">
        <v>1611</v>
      </c>
      <c r="T1220" s="494">
        <v>6</v>
      </c>
      <c r="U1220" s="556" t="str">
        <f t="shared" ca="1" si="204"/>
        <v/>
      </c>
      <c r="V1220" s="494">
        <v>7</v>
      </c>
      <c r="W1220" s="556" t="str">
        <f t="shared" ca="1" si="205"/>
        <v/>
      </c>
      <c r="X1220" s="494" t="s">
        <v>198</v>
      </c>
      <c r="Y1220" s="547" t="str">
        <f t="shared" ca="1" si="209"/>
        <v/>
      </c>
      <c r="Z1220" s="494" t="s">
        <v>1612</v>
      </c>
      <c r="AA1220" s="547" t="str">
        <f t="shared" ca="1" si="210"/>
        <v/>
      </c>
      <c r="AB1220" s="494" t="s">
        <v>1613</v>
      </c>
      <c r="AC1220" s="547" t="str">
        <f t="shared" ca="1" si="211"/>
        <v/>
      </c>
      <c r="AD1220" s="557"/>
      <c r="AE1220" s="958"/>
    </row>
    <row r="1221" spans="1:31" ht="15" customHeight="1">
      <c r="A1221" s="957">
        <v>92</v>
      </c>
      <c r="B1221" s="566" t="s">
        <v>533</v>
      </c>
      <c r="C1221" s="567" t="s">
        <v>1595</v>
      </c>
      <c r="D1221" s="958">
        <v>1.1000000000000001</v>
      </c>
      <c r="E1221" s="959" t="s">
        <v>335</v>
      </c>
      <c r="F1221" s="558" t="s">
        <v>1455</v>
      </c>
      <c r="G1221" s="558">
        <v>851</v>
      </c>
      <c r="H1221" s="558" t="s">
        <v>617</v>
      </c>
      <c r="I1221" s="559" t="s">
        <v>565</v>
      </c>
      <c r="J1221" s="567" t="s">
        <v>1606</v>
      </c>
      <c r="K1221" s="961" t="s">
        <v>1607</v>
      </c>
      <c r="L1221" s="555" t="str">
        <f t="shared" ca="1" si="206"/>
        <v/>
      </c>
      <c r="M1221" s="494" t="s">
        <v>1608</v>
      </c>
      <c r="N1221" s="555" t="str">
        <f t="shared" ca="1" si="207"/>
        <v/>
      </c>
      <c r="O1221" s="494" t="s">
        <v>1609</v>
      </c>
      <c r="P1221" s="555" t="str">
        <f t="shared" ca="1" si="208"/>
        <v/>
      </c>
      <c r="Q1221" s="494" t="s">
        <v>1610</v>
      </c>
      <c r="R1221" s="494" t="str">
        <f t="shared" si="203"/>
        <v>H1221</v>
      </c>
      <c r="S1221" s="494" t="s">
        <v>1611</v>
      </c>
      <c r="T1221" s="494">
        <v>6</v>
      </c>
      <c r="U1221" s="556" t="str">
        <f t="shared" ca="1" si="204"/>
        <v/>
      </c>
      <c r="V1221" s="494">
        <v>7</v>
      </c>
      <c r="W1221" s="556" t="str">
        <f t="shared" ca="1" si="205"/>
        <v/>
      </c>
      <c r="X1221" s="494" t="s">
        <v>198</v>
      </c>
      <c r="Y1221" s="547" t="str">
        <f t="shared" ca="1" si="209"/>
        <v/>
      </c>
      <c r="Z1221" s="494" t="s">
        <v>1612</v>
      </c>
      <c r="AA1221" s="547" t="str">
        <f t="shared" ca="1" si="210"/>
        <v/>
      </c>
      <c r="AB1221" s="494" t="s">
        <v>1613</v>
      </c>
      <c r="AC1221" s="547" t="str">
        <f t="shared" ca="1" si="211"/>
        <v/>
      </c>
      <c r="AD1221" s="557"/>
      <c r="AE1221" s="958"/>
    </row>
    <row r="1222" spans="1:31" ht="15" customHeight="1">
      <c r="A1222" s="957">
        <v>92</v>
      </c>
      <c r="B1222" s="566" t="s">
        <v>533</v>
      </c>
      <c r="C1222" s="567" t="s">
        <v>1595</v>
      </c>
      <c r="D1222" s="958">
        <v>1.1000000000000001</v>
      </c>
      <c r="E1222" s="959" t="s">
        <v>335</v>
      </c>
      <c r="F1222" s="558" t="s">
        <v>1455</v>
      </c>
      <c r="G1222" s="558">
        <v>851</v>
      </c>
      <c r="H1222" s="558" t="s">
        <v>618</v>
      </c>
      <c r="I1222" s="559" t="s">
        <v>619</v>
      </c>
      <c r="J1222" s="567" t="s">
        <v>1606</v>
      </c>
      <c r="K1222" s="961" t="s">
        <v>1607</v>
      </c>
      <c r="L1222" s="555" t="str">
        <f t="shared" ca="1" si="206"/>
        <v/>
      </c>
      <c r="M1222" s="494" t="s">
        <v>1608</v>
      </c>
      <c r="N1222" s="555" t="str">
        <f t="shared" ca="1" si="207"/>
        <v/>
      </c>
      <c r="O1222" s="494" t="s">
        <v>1609</v>
      </c>
      <c r="P1222" s="555" t="str">
        <f t="shared" ca="1" si="208"/>
        <v/>
      </c>
      <c r="Q1222" s="494" t="s">
        <v>1610</v>
      </c>
      <c r="R1222" s="494" t="str">
        <f t="shared" si="203"/>
        <v>H1222</v>
      </c>
      <c r="S1222" s="494" t="s">
        <v>1611</v>
      </c>
      <c r="T1222" s="494">
        <v>6</v>
      </c>
      <c r="U1222" s="556" t="str">
        <f t="shared" ca="1" si="204"/>
        <v/>
      </c>
      <c r="V1222" s="494">
        <v>7</v>
      </c>
      <c r="W1222" s="556" t="str">
        <f t="shared" ca="1" si="205"/>
        <v/>
      </c>
      <c r="X1222" s="494" t="s">
        <v>198</v>
      </c>
      <c r="Y1222" s="547" t="str">
        <f t="shared" ca="1" si="209"/>
        <v/>
      </c>
      <c r="Z1222" s="494" t="s">
        <v>1612</v>
      </c>
      <c r="AA1222" s="547" t="str">
        <f t="shared" ca="1" si="210"/>
        <v/>
      </c>
      <c r="AB1222" s="494" t="s">
        <v>1613</v>
      </c>
      <c r="AC1222" s="547" t="str">
        <f t="shared" ca="1" si="211"/>
        <v/>
      </c>
      <c r="AD1222" s="557"/>
      <c r="AE1222" s="958"/>
    </row>
    <row r="1223" spans="1:31" ht="15" customHeight="1">
      <c r="A1223" s="957">
        <v>92</v>
      </c>
      <c r="B1223" s="566" t="s">
        <v>533</v>
      </c>
      <c r="C1223" s="567" t="s">
        <v>1595</v>
      </c>
      <c r="D1223" s="958">
        <v>1.1000000000000001</v>
      </c>
      <c r="E1223" s="959" t="s">
        <v>335</v>
      </c>
      <c r="F1223" s="558" t="s">
        <v>1455</v>
      </c>
      <c r="G1223" s="558">
        <v>851</v>
      </c>
      <c r="H1223" s="558" t="s">
        <v>620</v>
      </c>
      <c r="I1223" s="559" t="s">
        <v>621</v>
      </c>
      <c r="J1223" s="567" t="s">
        <v>1606</v>
      </c>
      <c r="K1223" s="961" t="s">
        <v>1607</v>
      </c>
      <c r="L1223" s="555" t="str">
        <f t="shared" ca="1" si="206"/>
        <v/>
      </c>
      <c r="M1223" s="494" t="s">
        <v>1608</v>
      </c>
      <c r="N1223" s="555" t="str">
        <f t="shared" ca="1" si="207"/>
        <v/>
      </c>
      <c r="O1223" s="494" t="s">
        <v>1609</v>
      </c>
      <c r="P1223" s="555" t="str">
        <f t="shared" ca="1" si="208"/>
        <v/>
      </c>
      <c r="Q1223" s="494" t="s">
        <v>1610</v>
      </c>
      <c r="R1223" s="494" t="str">
        <f t="shared" si="203"/>
        <v>H1223</v>
      </c>
      <c r="S1223" s="494" t="s">
        <v>1611</v>
      </c>
      <c r="T1223" s="494">
        <v>6</v>
      </c>
      <c r="U1223" s="556" t="str">
        <f t="shared" ca="1" si="204"/>
        <v/>
      </c>
      <c r="V1223" s="494">
        <v>7</v>
      </c>
      <c r="W1223" s="556" t="str">
        <f t="shared" ca="1" si="205"/>
        <v/>
      </c>
      <c r="X1223" s="494" t="s">
        <v>198</v>
      </c>
      <c r="Y1223" s="547" t="str">
        <f t="shared" ca="1" si="209"/>
        <v/>
      </c>
      <c r="Z1223" s="494" t="s">
        <v>1612</v>
      </c>
      <c r="AA1223" s="547" t="str">
        <f t="shared" ca="1" si="210"/>
        <v/>
      </c>
      <c r="AB1223" s="494" t="s">
        <v>1613</v>
      </c>
      <c r="AC1223" s="547" t="str">
        <f t="shared" ca="1" si="211"/>
        <v/>
      </c>
      <c r="AD1223" s="557"/>
      <c r="AE1223" s="958"/>
    </row>
    <row r="1224" spans="1:31" ht="15" customHeight="1">
      <c r="A1224" s="957">
        <v>92</v>
      </c>
      <c r="B1224" s="566" t="s">
        <v>533</v>
      </c>
      <c r="C1224" s="567" t="s">
        <v>1595</v>
      </c>
      <c r="D1224" s="958">
        <v>1.1000000000000001</v>
      </c>
      <c r="E1224" s="959" t="s">
        <v>335</v>
      </c>
      <c r="F1224" s="558" t="s">
        <v>1455</v>
      </c>
      <c r="G1224" s="558">
        <v>851</v>
      </c>
      <c r="H1224" s="558" t="s">
        <v>623</v>
      </c>
      <c r="I1224" s="559" t="s">
        <v>1465</v>
      </c>
      <c r="J1224" s="567" t="s">
        <v>1606</v>
      </c>
      <c r="K1224" s="961" t="s">
        <v>1607</v>
      </c>
      <c r="L1224" s="555" t="str">
        <f t="shared" ca="1" si="206"/>
        <v/>
      </c>
      <c r="M1224" s="494" t="s">
        <v>1608</v>
      </c>
      <c r="N1224" s="555" t="str">
        <f t="shared" ca="1" si="207"/>
        <v/>
      </c>
      <c r="O1224" s="494" t="s">
        <v>1609</v>
      </c>
      <c r="P1224" s="555" t="str">
        <f t="shared" ca="1" si="208"/>
        <v/>
      </c>
      <c r="Q1224" s="494" t="s">
        <v>1610</v>
      </c>
      <c r="R1224" s="494" t="str">
        <f t="shared" si="203"/>
        <v>H1224</v>
      </c>
      <c r="S1224" s="494" t="s">
        <v>1611</v>
      </c>
      <c r="T1224" s="494">
        <v>6</v>
      </c>
      <c r="U1224" s="556" t="str">
        <f t="shared" ca="1" si="204"/>
        <v/>
      </c>
      <c r="V1224" s="494">
        <v>7</v>
      </c>
      <c r="W1224" s="556" t="str">
        <f t="shared" ca="1" si="205"/>
        <v/>
      </c>
      <c r="X1224" s="494" t="s">
        <v>198</v>
      </c>
      <c r="Y1224" s="547" t="str">
        <f t="shared" ca="1" si="209"/>
        <v/>
      </c>
      <c r="Z1224" s="494" t="s">
        <v>1612</v>
      </c>
      <c r="AA1224" s="547" t="str">
        <f t="shared" ca="1" si="210"/>
        <v/>
      </c>
      <c r="AB1224" s="494" t="s">
        <v>1613</v>
      </c>
      <c r="AC1224" s="547" t="str">
        <f t="shared" ca="1" si="211"/>
        <v/>
      </c>
      <c r="AD1224" s="557"/>
      <c r="AE1224" s="958"/>
    </row>
    <row r="1225" spans="1:31" ht="15" customHeight="1">
      <c r="A1225" s="957">
        <v>92</v>
      </c>
      <c r="B1225" s="566" t="s">
        <v>533</v>
      </c>
      <c r="C1225" s="567" t="s">
        <v>1595</v>
      </c>
      <c r="D1225" s="958">
        <v>1.1000000000000001</v>
      </c>
      <c r="E1225" s="959" t="s">
        <v>335</v>
      </c>
      <c r="F1225" s="558" t="s">
        <v>1455</v>
      </c>
      <c r="G1225" s="558">
        <v>851</v>
      </c>
      <c r="H1225" s="558" t="s">
        <v>625</v>
      </c>
      <c r="I1225" s="559" t="s">
        <v>626</v>
      </c>
      <c r="J1225" s="567" t="s">
        <v>1606</v>
      </c>
      <c r="K1225" s="961" t="s">
        <v>1607</v>
      </c>
      <c r="L1225" s="555" t="str">
        <f t="shared" ca="1" si="206"/>
        <v/>
      </c>
      <c r="M1225" s="494" t="s">
        <v>1608</v>
      </c>
      <c r="N1225" s="555" t="str">
        <f t="shared" ca="1" si="207"/>
        <v/>
      </c>
      <c r="O1225" s="494" t="s">
        <v>1609</v>
      </c>
      <c r="P1225" s="555" t="str">
        <f t="shared" ca="1" si="208"/>
        <v/>
      </c>
      <c r="Q1225" s="494" t="s">
        <v>1610</v>
      </c>
      <c r="R1225" s="494" t="str">
        <f t="shared" si="203"/>
        <v>H1225</v>
      </c>
      <c r="S1225" s="494" t="s">
        <v>1611</v>
      </c>
      <c r="T1225" s="494">
        <v>6</v>
      </c>
      <c r="U1225" s="556" t="str">
        <f t="shared" ca="1" si="204"/>
        <v/>
      </c>
      <c r="V1225" s="494">
        <v>7</v>
      </c>
      <c r="W1225" s="556" t="str">
        <f t="shared" ca="1" si="205"/>
        <v/>
      </c>
      <c r="X1225" s="494" t="s">
        <v>198</v>
      </c>
      <c r="Y1225" s="547" t="str">
        <f t="shared" ca="1" si="209"/>
        <v/>
      </c>
      <c r="Z1225" s="494" t="s">
        <v>1612</v>
      </c>
      <c r="AA1225" s="547" t="str">
        <f t="shared" ca="1" si="210"/>
        <v/>
      </c>
      <c r="AB1225" s="494" t="s">
        <v>1613</v>
      </c>
      <c r="AC1225" s="547" t="str">
        <f t="shared" ca="1" si="211"/>
        <v/>
      </c>
      <c r="AD1225" s="557"/>
      <c r="AE1225" s="958"/>
    </row>
    <row r="1226" spans="1:31" ht="15" customHeight="1">
      <c r="A1226" s="957">
        <v>92</v>
      </c>
      <c r="B1226" s="566" t="s">
        <v>533</v>
      </c>
      <c r="C1226" s="567" t="s">
        <v>1595</v>
      </c>
      <c r="D1226" s="958">
        <v>1.1000000000000001</v>
      </c>
      <c r="E1226" s="959" t="s">
        <v>335</v>
      </c>
      <c r="F1226" s="558" t="s">
        <v>1455</v>
      </c>
      <c r="G1226" s="558">
        <v>851</v>
      </c>
      <c r="H1226" s="558" t="s">
        <v>627</v>
      </c>
      <c r="I1226" s="559" t="s">
        <v>628</v>
      </c>
      <c r="J1226" s="567" t="s">
        <v>1606</v>
      </c>
      <c r="K1226" s="961" t="s">
        <v>1607</v>
      </c>
      <c r="L1226" s="555" t="str">
        <f t="shared" ca="1" si="206"/>
        <v/>
      </c>
      <c r="M1226" s="494" t="s">
        <v>1608</v>
      </c>
      <c r="N1226" s="555" t="str">
        <f t="shared" ca="1" si="207"/>
        <v/>
      </c>
      <c r="O1226" s="494" t="s">
        <v>1609</v>
      </c>
      <c r="P1226" s="555" t="str">
        <f t="shared" ca="1" si="208"/>
        <v/>
      </c>
      <c r="Q1226" s="494" t="s">
        <v>1610</v>
      </c>
      <c r="R1226" s="494" t="str">
        <f t="shared" si="203"/>
        <v>H1226</v>
      </c>
      <c r="S1226" s="494" t="s">
        <v>1611</v>
      </c>
      <c r="T1226" s="494">
        <v>6</v>
      </c>
      <c r="U1226" s="556" t="str">
        <f t="shared" ca="1" si="204"/>
        <v/>
      </c>
      <c r="V1226" s="494">
        <v>7</v>
      </c>
      <c r="W1226" s="556" t="str">
        <f t="shared" ca="1" si="205"/>
        <v/>
      </c>
      <c r="X1226" s="494" t="s">
        <v>198</v>
      </c>
      <c r="Y1226" s="547" t="str">
        <f t="shared" ca="1" si="209"/>
        <v/>
      </c>
      <c r="Z1226" s="494" t="s">
        <v>1612</v>
      </c>
      <c r="AA1226" s="547" t="str">
        <f t="shared" ca="1" si="210"/>
        <v/>
      </c>
      <c r="AB1226" s="494" t="s">
        <v>1613</v>
      </c>
      <c r="AC1226" s="547" t="str">
        <f t="shared" ca="1" si="211"/>
        <v/>
      </c>
      <c r="AD1226" s="557"/>
      <c r="AE1226" s="958"/>
    </row>
    <row r="1227" spans="1:31" ht="15" customHeight="1">
      <c r="A1227" s="957">
        <v>92</v>
      </c>
      <c r="B1227" s="566" t="s">
        <v>533</v>
      </c>
      <c r="C1227" s="567" t="s">
        <v>1595</v>
      </c>
      <c r="D1227" s="958">
        <v>1.1000000000000001</v>
      </c>
      <c r="E1227" s="959" t="s">
        <v>335</v>
      </c>
      <c r="F1227" s="558" t="s">
        <v>1455</v>
      </c>
      <c r="G1227" s="558">
        <v>851</v>
      </c>
      <c r="H1227" s="558" t="s">
        <v>629</v>
      </c>
      <c r="I1227" s="559" t="s">
        <v>67</v>
      </c>
      <c r="J1227" s="567" t="s">
        <v>1606</v>
      </c>
      <c r="K1227" s="961" t="s">
        <v>1607</v>
      </c>
      <c r="L1227" s="555" t="str">
        <f t="shared" ca="1" si="206"/>
        <v/>
      </c>
      <c r="M1227" s="494" t="s">
        <v>1608</v>
      </c>
      <c r="N1227" s="555" t="str">
        <f t="shared" ca="1" si="207"/>
        <v/>
      </c>
      <c r="O1227" s="494" t="s">
        <v>1609</v>
      </c>
      <c r="P1227" s="555" t="str">
        <f t="shared" ca="1" si="208"/>
        <v/>
      </c>
      <c r="Q1227" s="494" t="s">
        <v>1610</v>
      </c>
      <c r="R1227" s="494" t="str">
        <f t="shared" si="203"/>
        <v>H1227</v>
      </c>
      <c r="S1227" s="494" t="s">
        <v>1611</v>
      </c>
      <c r="T1227" s="494">
        <v>6</v>
      </c>
      <c r="U1227" s="556" t="str">
        <f t="shared" ca="1" si="204"/>
        <v/>
      </c>
      <c r="V1227" s="494">
        <v>7</v>
      </c>
      <c r="W1227" s="556" t="str">
        <f t="shared" ca="1" si="205"/>
        <v/>
      </c>
      <c r="X1227" s="494" t="s">
        <v>198</v>
      </c>
      <c r="Y1227" s="547" t="str">
        <f t="shared" ca="1" si="209"/>
        <v/>
      </c>
      <c r="Z1227" s="494" t="s">
        <v>1612</v>
      </c>
      <c r="AA1227" s="547" t="str">
        <f t="shared" ca="1" si="210"/>
        <v/>
      </c>
      <c r="AB1227" s="494" t="s">
        <v>1613</v>
      </c>
      <c r="AC1227" s="547" t="str">
        <f t="shared" ca="1" si="211"/>
        <v/>
      </c>
      <c r="AD1227" s="557"/>
      <c r="AE1227" s="958"/>
    </row>
    <row r="1228" spans="1:31" ht="15" customHeight="1">
      <c r="A1228" s="957">
        <v>92</v>
      </c>
      <c r="B1228" s="566" t="s">
        <v>533</v>
      </c>
      <c r="C1228" s="567" t="s">
        <v>1595</v>
      </c>
      <c r="D1228" s="958">
        <v>1.1000000000000001</v>
      </c>
      <c r="E1228" s="959" t="s">
        <v>335</v>
      </c>
      <c r="F1228" s="558" t="s">
        <v>1455</v>
      </c>
      <c r="G1228" s="558">
        <v>851</v>
      </c>
      <c r="H1228" s="558" t="s">
        <v>630</v>
      </c>
      <c r="I1228" s="559" t="s">
        <v>631</v>
      </c>
      <c r="J1228" s="567" t="s">
        <v>1606</v>
      </c>
      <c r="K1228" s="961" t="s">
        <v>1607</v>
      </c>
      <c r="L1228" s="555" t="str">
        <f t="shared" ca="1" si="206"/>
        <v/>
      </c>
      <c r="M1228" s="494" t="s">
        <v>1608</v>
      </c>
      <c r="N1228" s="555" t="str">
        <f t="shared" ca="1" si="207"/>
        <v/>
      </c>
      <c r="O1228" s="494" t="s">
        <v>1609</v>
      </c>
      <c r="P1228" s="555" t="str">
        <f t="shared" ca="1" si="208"/>
        <v/>
      </c>
      <c r="Q1228" s="494" t="s">
        <v>1610</v>
      </c>
      <c r="R1228" s="494" t="str">
        <f t="shared" si="203"/>
        <v>H1228</v>
      </c>
      <c r="S1228" s="494" t="s">
        <v>1611</v>
      </c>
      <c r="T1228" s="494">
        <v>6</v>
      </c>
      <c r="U1228" s="556" t="str">
        <f t="shared" ca="1" si="204"/>
        <v/>
      </c>
      <c r="V1228" s="494">
        <v>7</v>
      </c>
      <c r="W1228" s="556" t="str">
        <f t="shared" ca="1" si="205"/>
        <v/>
      </c>
      <c r="X1228" s="494" t="s">
        <v>198</v>
      </c>
      <c r="Y1228" s="547" t="str">
        <f t="shared" ca="1" si="209"/>
        <v/>
      </c>
      <c r="Z1228" s="494" t="s">
        <v>1612</v>
      </c>
      <c r="AA1228" s="547" t="str">
        <f t="shared" ca="1" si="210"/>
        <v/>
      </c>
      <c r="AB1228" s="494" t="s">
        <v>1613</v>
      </c>
      <c r="AC1228" s="547" t="str">
        <f t="shared" ca="1" si="211"/>
        <v/>
      </c>
      <c r="AD1228" s="557"/>
      <c r="AE1228" s="958"/>
    </row>
    <row r="1229" spans="1:31" ht="15" customHeight="1">
      <c r="A1229" s="957">
        <v>92</v>
      </c>
      <c r="B1229" s="566" t="s">
        <v>533</v>
      </c>
      <c r="C1229" s="567" t="s">
        <v>1595</v>
      </c>
      <c r="D1229" s="958">
        <v>1.1000000000000001</v>
      </c>
      <c r="E1229" s="959" t="s">
        <v>335</v>
      </c>
      <c r="F1229" s="558" t="s">
        <v>1455</v>
      </c>
      <c r="G1229" s="558">
        <v>851</v>
      </c>
      <c r="H1229" s="558" t="s">
        <v>632</v>
      </c>
      <c r="I1229" s="559" t="s">
        <v>619</v>
      </c>
      <c r="J1229" s="567" t="s">
        <v>1606</v>
      </c>
      <c r="K1229" s="961" t="s">
        <v>1607</v>
      </c>
      <c r="L1229" s="555" t="str">
        <f t="shared" ca="1" si="206"/>
        <v/>
      </c>
      <c r="M1229" s="494" t="s">
        <v>1608</v>
      </c>
      <c r="N1229" s="555" t="str">
        <f t="shared" ca="1" si="207"/>
        <v/>
      </c>
      <c r="O1229" s="494" t="s">
        <v>1609</v>
      </c>
      <c r="P1229" s="555" t="str">
        <f t="shared" ca="1" si="208"/>
        <v/>
      </c>
      <c r="Q1229" s="494" t="s">
        <v>1610</v>
      </c>
      <c r="R1229" s="494" t="str">
        <f t="shared" si="203"/>
        <v>H1229</v>
      </c>
      <c r="S1229" s="494" t="s">
        <v>1611</v>
      </c>
      <c r="T1229" s="494">
        <v>6</v>
      </c>
      <c r="U1229" s="556" t="str">
        <f t="shared" ca="1" si="204"/>
        <v/>
      </c>
      <c r="V1229" s="494">
        <v>7</v>
      </c>
      <c r="W1229" s="556" t="str">
        <f t="shared" ca="1" si="205"/>
        <v/>
      </c>
      <c r="X1229" s="494" t="s">
        <v>198</v>
      </c>
      <c r="Y1229" s="547" t="str">
        <f t="shared" ca="1" si="209"/>
        <v/>
      </c>
      <c r="Z1229" s="494" t="s">
        <v>1612</v>
      </c>
      <c r="AA1229" s="547" t="str">
        <f t="shared" ca="1" si="210"/>
        <v/>
      </c>
      <c r="AB1229" s="494" t="s">
        <v>1613</v>
      </c>
      <c r="AC1229" s="547" t="str">
        <f t="shared" ca="1" si="211"/>
        <v/>
      </c>
      <c r="AD1229" s="557"/>
      <c r="AE1229" s="958"/>
    </row>
    <row r="1230" spans="1:31" ht="15" customHeight="1">
      <c r="A1230" s="957">
        <v>92</v>
      </c>
      <c r="B1230" s="566" t="s">
        <v>533</v>
      </c>
      <c r="C1230" s="567" t="s">
        <v>1595</v>
      </c>
      <c r="D1230" s="958">
        <v>1.1000000000000001</v>
      </c>
      <c r="E1230" s="959" t="s">
        <v>335</v>
      </c>
      <c r="F1230" s="558" t="s">
        <v>1455</v>
      </c>
      <c r="G1230" s="558">
        <v>851</v>
      </c>
      <c r="H1230" s="558" t="s">
        <v>633</v>
      </c>
      <c r="I1230" s="559" t="s">
        <v>621</v>
      </c>
      <c r="J1230" s="567" t="s">
        <v>1606</v>
      </c>
      <c r="K1230" s="961" t="s">
        <v>1607</v>
      </c>
      <c r="L1230" s="555" t="str">
        <f t="shared" ca="1" si="206"/>
        <v/>
      </c>
      <c r="M1230" s="494" t="s">
        <v>1608</v>
      </c>
      <c r="N1230" s="555" t="str">
        <f t="shared" ca="1" si="207"/>
        <v/>
      </c>
      <c r="O1230" s="494" t="s">
        <v>1609</v>
      </c>
      <c r="P1230" s="555" t="str">
        <f t="shared" ca="1" si="208"/>
        <v/>
      </c>
      <c r="Q1230" s="494" t="s">
        <v>1610</v>
      </c>
      <c r="R1230" s="494" t="str">
        <f t="shared" ref="R1230:R1294" si="212">CONCATENATE("H",ROW(J1230))</f>
        <v>H1230</v>
      </c>
      <c r="S1230" s="494" t="s">
        <v>1611</v>
      </c>
      <c r="T1230" s="494">
        <v>6</v>
      </c>
      <c r="U1230" s="556" t="str">
        <f t="shared" ca="1" si="204"/>
        <v/>
      </c>
      <c r="V1230" s="494">
        <v>7</v>
      </c>
      <c r="W1230" s="556" t="str">
        <f t="shared" ca="1" si="205"/>
        <v/>
      </c>
      <c r="X1230" s="494" t="s">
        <v>198</v>
      </c>
      <c r="Y1230" s="547" t="str">
        <f t="shared" ca="1" si="209"/>
        <v/>
      </c>
      <c r="Z1230" s="494" t="s">
        <v>1612</v>
      </c>
      <c r="AA1230" s="547" t="str">
        <f t="shared" ca="1" si="210"/>
        <v/>
      </c>
      <c r="AB1230" s="494" t="s">
        <v>1613</v>
      </c>
      <c r="AC1230" s="547" t="str">
        <f t="shared" ca="1" si="211"/>
        <v/>
      </c>
      <c r="AD1230" s="557"/>
      <c r="AE1230" s="958"/>
    </row>
    <row r="1231" spans="1:31" ht="15" customHeight="1">
      <c r="A1231" s="957">
        <v>92</v>
      </c>
      <c r="B1231" s="566" t="s">
        <v>533</v>
      </c>
      <c r="C1231" s="567" t="s">
        <v>1595</v>
      </c>
      <c r="D1231" s="958">
        <v>1.1000000000000001</v>
      </c>
      <c r="E1231" s="959" t="s">
        <v>335</v>
      </c>
      <c r="F1231" s="558" t="s">
        <v>1455</v>
      </c>
      <c r="G1231" s="558">
        <v>851</v>
      </c>
      <c r="H1231" s="558" t="s">
        <v>634</v>
      </c>
      <c r="I1231" s="559" t="s">
        <v>635</v>
      </c>
      <c r="J1231" s="567" t="s">
        <v>1606</v>
      </c>
      <c r="K1231" s="961" t="s">
        <v>1607</v>
      </c>
      <c r="L1231" s="555" t="str">
        <f t="shared" ca="1" si="206"/>
        <v/>
      </c>
      <c r="M1231" s="494" t="s">
        <v>1608</v>
      </c>
      <c r="N1231" s="555" t="str">
        <f t="shared" ca="1" si="207"/>
        <v/>
      </c>
      <c r="O1231" s="494" t="s">
        <v>1609</v>
      </c>
      <c r="P1231" s="555" t="str">
        <f t="shared" ca="1" si="208"/>
        <v/>
      </c>
      <c r="Q1231" s="494" t="s">
        <v>1610</v>
      </c>
      <c r="R1231" s="494" t="str">
        <f t="shared" si="212"/>
        <v>H1231</v>
      </c>
      <c r="S1231" s="494" t="s">
        <v>1611</v>
      </c>
      <c r="T1231" s="494">
        <v>6</v>
      </c>
      <c r="U1231" s="556" t="str">
        <f t="shared" ca="1" si="204"/>
        <v/>
      </c>
      <c r="V1231" s="494">
        <v>7</v>
      </c>
      <c r="W1231" s="556" t="str">
        <f t="shared" ca="1" si="205"/>
        <v/>
      </c>
      <c r="X1231" s="494" t="s">
        <v>198</v>
      </c>
      <c r="Y1231" s="547" t="str">
        <f t="shared" ca="1" si="209"/>
        <v/>
      </c>
      <c r="Z1231" s="494" t="s">
        <v>1612</v>
      </c>
      <c r="AA1231" s="547" t="str">
        <f t="shared" ca="1" si="210"/>
        <v/>
      </c>
      <c r="AB1231" s="494" t="s">
        <v>1613</v>
      </c>
      <c r="AC1231" s="547" t="str">
        <f t="shared" ca="1" si="211"/>
        <v/>
      </c>
      <c r="AD1231" s="557"/>
      <c r="AE1231" s="958"/>
    </row>
    <row r="1232" spans="1:31" ht="15" customHeight="1">
      <c r="A1232" s="957">
        <v>92</v>
      </c>
      <c r="B1232" s="566" t="s">
        <v>533</v>
      </c>
      <c r="C1232" s="567" t="s">
        <v>1595</v>
      </c>
      <c r="D1232" s="958">
        <v>1.1000000000000001</v>
      </c>
      <c r="E1232" s="959" t="s">
        <v>335</v>
      </c>
      <c r="F1232" s="558" t="s">
        <v>1455</v>
      </c>
      <c r="G1232" s="558">
        <v>851</v>
      </c>
      <c r="H1232" s="558" t="s">
        <v>636</v>
      </c>
      <c r="I1232" s="559" t="s">
        <v>637</v>
      </c>
      <c r="J1232" s="567" t="s">
        <v>1606</v>
      </c>
      <c r="K1232" s="961" t="s">
        <v>1607</v>
      </c>
      <c r="L1232" s="555" t="str">
        <f t="shared" ca="1" si="206"/>
        <v/>
      </c>
      <c r="M1232" s="494" t="s">
        <v>1608</v>
      </c>
      <c r="N1232" s="555" t="str">
        <f t="shared" ca="1" si="207"/>
        <v/>
      </c>
      <c r="O1232" s="494" t="s">
        <v>1609</v>
      </c>
      <c r="P1232" s="555" t="str">
        <f t="shared" ca="1" si="208"/>
        <v/>
      </c>
      <c r="Q1232" s="494" t="s">
        <v>1610</v>
      </c>
      <c r="R1232" s="494" t="str">
        <f t="shared" si="212"/>
        <v>H1232</v>
      </c>
      <c r="S1232" s="494" t="s">
        <v>1611</v>
      </c>
      <c r="T1232" s="494">
        <v>6</v>
      </c>
      <c r="U1232" s="556" t="str">
        <f t="shared" ca="1" si="204"/>
        <v/>
      </c>
      <c r="V1232" s="494">
        <v>7</v>
      </c>
      <c r="W1232" s="556" t="str">
        <f t="shared" ca="1" si="205"/>
        <v/>
      </c>
      <c r="X1232" s="494" t="s">
        <v>198</v>
      </c>
      <c r="Y1232" s="547" t="str">
        <f t="shared" ca="1" si="209"/>
        <v/>
      </c>
      <c r="Z1232" s="494" t="s">
        <v>1612</v>
      </c>
      <c r="AA1232" s="547" t="str">
        <f t="shared" ca="1" si="210"/>
        <v/>
      </c>
      <c r="AB1232" s="494" t="s">
        <v>1613</v>
      </c>
      <c r="AC1232" s="547" t="str">
        <f t="shared" ca="1" si="211"/>
        <v/>
      </c>
      <c r="AD1232" s="557"/>
      <c r="AE1232" s="958"/>
    </row>
    <row r="1233" spans="1:31" ht="15" customHeight="1">
      <c r="A1233" s="957">
        <v>92</v>
      </c>
      <c r="B1233" s="566" t="s">
        <v>533</v>
      </c>
      <c r="C1233" s="567" t="s">
        <v>1595</v>
      </c>
      <c r="D1233" s="958">
        <v>1.1000000000000001</v>
      </c>
      <c r="E1233" s="959" t="s">
        <v>335</v>
      </c>
      <c r="F1233" s="558" t="s">
        <v>1455</v>
      </c>
      <c r="G1233" s="558">
        <v>851</v>
      </c>
      <c r="H1233" s="558" t="s">
        <v>638</v>
      </c>
      <c r="I1233" s="559" t="s">
        <v>67</v>
      </c>
      <c r="J1233" s="567" t="s">
        <v>1606</v>
      </c>
      <c r="K1233" s="961" t="s">
        <v>1607</v>
      </c>
      <c r="L1233" s="555" t="str">
        <f t="shared" ca="1" si="206"/>
        <v/>
      </c>
      <c r="M1233" s="494" t="s">
        <v>1608</v>
      </c>
      <c r="N1233" s="555" t="str">
        <f t="shared" ca="1" si="207"/>
        <v/>
      </c>
      <c r="O1233" s="494" t="s">
        <v>1609</v>
      </c>
      <c r="P1233" s="555" t="str">
        <f t="shared" ca="1" si="208"/>
        <v/>
      </c>
      <c r="Q1233" s="494" t="s">
        <v>1610</v>
      </c>
      <c r="R1233" s="494" t="str">
        <f t="shared" si="212"/>
        <v>H1233</v>
      </c>
      <c r="S1233" s="494" t="s">
        <v>1611</v>
      </c>
      <c r="T1233" s="494">
        <v>6</v>
      </c>
      <c r="U1233" s="556" t="str">
        <f t="shared" ca="1" si="204"/>
        <v/>
      </c>
      <c r="V1233" s="494">
        <v>7</v>
      </c>
      <c r="W1233" s="556" t="str">
        <f t="shared" ca="1" si="205"/>
        <v/>
      </c>
      <c r="X1233" s="494" t="s">
        <v>198</v>
      </c>
      <c r="Y1233" s="547" t="str">
        <f t="shared" ca="1" si="209"/>
        <v/>
      </c>
      <c r="Z1233" s="494" t="s">
        <v>1612</v>
      </c>
      <c r="AA1233" s="547" t="str">
        <f t="shared" ca="1" si="210"/>
        <v/>
      </c>
      <c r="AB1233" s="494" t="s">
        <v>1613</v>
      </c>
      <c r="AC1233" s="547" t="str">
        <f t="shared" ca="1" si="211"/>
        <v/>
      </c>
      <c r="AD1233" s="557"/>
      <c r="AE1233" s="958"/>
    </row>
    <row r="1234" spans="1:31" ht="15" customHeight="1">
      <c r="A1234" s="957">
        <v>92</v>
      </c>
      <c r="B1234" s="566" t="s">
        <v>533</v>
      </c>
      <c r="C1234" s="567" t="s">
        <v>1595</v>
      </c>
      <c r="D1234" s="958">
        <v>1.1000000000000001</v>
      </c>
      <c r="E1234" s="959" t="s">
        <v>335</v>
      </c>
      <c r="F1234" s="558" t="s">
        <v>1455</v>
      </c>
      <c r="G1234" s="558">
        <v>851</v>
      </c>
      <c r="H1234" s="558" t="s">
        <v>639</v>
      </c>
      <c r="I1234" s="559" t="s">
        <v>640</v>
      </c>
      <c r="J1234" s="567" t="s">
        <v>1606</v>
      </c>
      <c r="K1234" s="961" t="s">
        <v>1607</v>
      </c>
      <c r="L1234" s="555" t="str">
        <f t="shared" ca="1" si="206"/>
        <v/>
      </c>
      <c r="M1234" s="494" t="s">
        <v>1608</v>
      </c>
      <c r="N1234" s="555" t="str">
        <f t="shared" ca="1" si="207"/>
        <v/>
      </c>
      <c r="O1234" s="494" t="s">
        <v>1609</v>
      </c>
      <c r="P1234" s="555" t="str">
        <f t="shared" ca="1" si="208"/>
        <v/>
      </c>
      <c r="Q1234" s="494" t="s">
        <v>1610</v>
      </c>
      <c r="R1234" s="494" t="str">
        <f t="shared" si="212"/>
        <v>H1234</v>
      </c>
      <c r="S1234" s="494" t="s">
        <v>1611</v>
      </c>
      <c r="T1234" s="494">
        <v>6</v>
      </c>
      <c r="U1234" s="556" t="str">
        <f t="shared" ca="1" si="204"/>
        <v/>
      </c>
      <c r="V1234" s="494">
        <v>7</v>
      </c>
      <c r="W1234" s="556" t="str">
        <f t="shared" ca="1" si="205"/>
        <v/>
      </c>
      <c r="X1234" s="494" t="s">
        <v>198</v>
      </c>
      <c r="Y1234" s="547" t="str">
        <f t="shared" ca="1" si="209"/>
        <v/>
      </c>
      <c r="Z1234" s="494" t="s">
        <v>1612</v>
      </c>
      <c r="AA1234" s="547" t="str">
        <f t="shared" ca="1" si="210"/>
        <v/>
      </c>
      <c r="AB1234" s="494" t="s">
        <v>1613</v>
      </c>
      <c r="AC1234" s="547" t="str">
        <f t="shared" ca="1" si="211"/>
        <v/>
      </c>
      <c r="AD1234" s="557"/>
      <c r="AE1234" s="958"/>
    </row>
    <row r="1235" spans="1:31" ht="15" customHeight="1">
      <c r="A1235" s="957">
        <v>92</v>
      </c>
      <c r="B1235" s="566" t="s">
        <v>533</v>
      </c>
      <c r="C1235" s="567" t="s">
        <v>1595</v>
      </c>
      <c r="D1235" s="958">
        <v>1.1000000000000001</v>
      </c>
      <c r="E1235" s="959" t="s">
        <v>335</v>
      </c>
      <c r="F1235" s="558" t="s">
        <v>1455</v>
      </c>
      <c r="G1235" s="558">
        <v>851</v>
      </c>
      <c r="H1235" s="558" t="s">
        <v>641</v>
      </c>
      <c r="I1235" s="559" t="s">
        <v>1479</v>
      </c>
      <c r="J1235" s="567" t="s">
        <v>1606</v>
      </c>
      <c r="K1235" s="961" t="s">
        <v>1607</v>
      </c>
      <c r="L1235" s="555" t="str">
        <f t="shared" ca="1" si="206"/>
        <v/>
      </c>
      <c r="M1235" s="494" t="s">
        <v>1608</v>
      </c>
      <c r="N1235" s="555" t="str">
        <f t="shared" ca="1" si="207"/>
        <v/>
      </c>
      <c r="O1235" s="494" t="s">
        <v>1609</v>
      </c>
      <c r="P1235" s="555" t="str">
        <f t="shared" ca="1" si="208"/>
        <v/>
      </c>
      <c r="Q1235" s="494" t="s">
        <v>1610</v>
      </c>
      <c r="R1235" s="494" t="str">
        <f t="shared" si="212"/>
        <v>H1235</v>
      </c>
      <c r="S1235" s="494" t="s">
        <v>1611</v>
      </c>
      <c r="T1235" s="494">
        <v>6</v>
      </c>
      <c r="U1235" s="556" t="str">
        <f t="shared" ca="1" si="204"/>
        <v/>
      </c>
      <c r="V1235" s="494">
        <v>7</v>
      </c>
      <c r="W1235" s="556" t="str">
        <f t="shared" ca="1" si="205"/>
        <v/>
      </c>
      <c r="X1235" s="494" t="s">
        <v>198</v>
      </c>
      <c r="Y1235" s="547" t="str">
        <f t="shared" ca="1" si="209"/>
        <v/>
      </c>
      <c r="Z1235" s="494" t="s">
        <v>1612</v>
      </c>
      <c r="AA1235" s="547" t="str">
        <f t="shared" ca="1" si="210"/>
        <v/>
      </c>
      <c r="AB1235" s="494" t="s">
        <v>1613</v>
      </c>
      <c r="AC1235" s="547" t="str">
        <f t="shared" ca="1" si="211"/>
        <v/>
      </c>
      <c r="AD1235" s="557"/>
      <c r="AE1235" s="958"/>
    </row>
    <row r="1236" spans="1:31" ht="15" customHeight="1">
      <c r="A1236" s="957">
        <v>92</v>
      </c>
      <c r="B1236" s="566" t="s">
        <v>533</v>
      </c>
      <c r="C1236" s="567" t="s">
        <v>1595</v>
      </c>
      <c r="D1236" s="958">
        <v>1.1000000000000001</v>
      </c>
      <c r="E1236" s="959" t="s">
        <v>335</v>
      </c>
      <c r="F1236" s="558" t="s">
        <v>1455</v>
      </c>
      <c r="G1236" s="558">
        <v>851</v>
      </c>
      <c r="H1236" s="558" t="s">
        <v>642</v>
      </c>
      <c r="I1236" s="559" t="s">
        <v>1615</v>
      </c>
      <c r="J1236" s="567" t="s">
        <v>1606</v>
      </c>
      <c r="K1236" s="961" t="s">
        <v>1607</v>
      </c>
      <c r="L1236" s="555" t="str">
        <f t="shared" ca="1" si="206"/>
        <v/>
      </c>
      <c r="M1236" s="494" t="s">
        <v>1608</v>
      </c>
      <c r="N1236" s="555" t="str">
        <f t="shared" ca="1" si="207"/>
        <v/>
      </c>
      <c r="O1236" s="494" t="s">
        <v>1609</v>
      </c>
      <c r="P1236" s="555" t="str">
        <f t="shared" ca="1" si="208"/>
        <v/>
      </c>
      <c r="Q1236" s="494" t="s">
        <v>1610</v>
      </c>
      <c r="R1236" s="494" t="str">
        <f t="shared" si="212"/>
        <v>H1236</v>
      </c>
      <c r="S1236" s="494" t="s">
        <v>1611</v>
      </c>
      <c r="T1236" s="494">
        <v>6</v>
      </c>
      <c r="U1236" s="556" t="str">
        <f t="shared" ca="1" si="204"/>
        <v/>
      </c>
      <c r="V1236" s="494">
        <v>7</v>
      </c>
      <c r="W1236" s="556" t="str">
        <f t="shared" ca="1" si="205"/>
        <v/>
      </c>
      <c r="X1236" s="494" t="s">
        <v>198</v>
      </c>
      <c r="Y1236" s="547" t="str">
        <f t="shared" ca="1" si="209"/>
        <v/>
      </c>
      <c r="Z1236" s="494" t="s">
        <v>1612</v>
      </c>
      <c r="AA1236" s="547" t="str">
        <f t="shared" ca="1" si="210"/>
        <v/>
      </c>
      <c r="AB1236" s="494" t="s">
        <v>1613</v>
      </c>
      <c r="AC1236" s="547" t="str">
        <f t="shared" ca="1" si="211"/>
        <v/>
      </c>
      <c r="AD1236" s="557"/>
      <c r="AE1236" s="958"/>
    </row>
    <row r="1237" spans="1:31" ht="15" customHeight="1">
      <c r="A1237" s="957">
        <v>92</v>
      </c>
      <c r="B1237" s="566" t="s">
        <v>533</v>
      </c>
      <c r="C1237" s="567" t="s">
        <v>1595</v>
      </c>
      <c r="D1237" s="958">
        <v>1.1000000000000001</v>
      </c>
      <c r="E1237" s="959" t="s">
        <v>335</v>
      </c>
      <c r="F1237" s="558" t="s">
        <v>1455</v>
      </c>
      <c r="G1237" s="558">
        <v>851</v>
      </c>
      <c r="H1237" s="558" t="s">
        <v>643</v>
      </c>
      <c r="I1237" s="559" t="s">
        <v>1616</v>
      </c>
      <c r="J1237" s="567" t="s">
        <v>1606</v>
      </c>
      <c r="K1237" s="961" t="s">
        <v>1607</v>
      </c>
      <c r="L1237" s="555" t="str">
        <f t="shared" ca="1" si="206"/>
        <v/>
      </c>
      <c r="M1237" s="494" t="s">
        <v>1608</v>
      </c>
      <c r="N1237" s="555" t="str">
        <f t="shared" ca="1" si="207"/>
        <v/>
      </c>
      <c r="O1237" s="494" t="s">
        <v>1609</v>
      </c>
      <c r="P1237" s="555" t="str">
        <f t="shared" ca="1" si="208"/>
        <v/>
      </c>
      <c r="Q1237" s="494" t="s">
        <v>1610</v>
      </c>
      <c r="R1237" s="494" t="str">
        <f t="shared" si="212"/>
        <v>H1237</v>
      </c>
      <c r="S1237" s="494" t="s">
        <v>1611</v>
      </c>
      <c r="T1237" s="494">
        <v>6</v>
      </c>
      <c r="U1237" s="556" t="str">
        <f t="shared" ca="1" si="204"/>
        <v/>
      </c>
      <c r="V1237" s="494">
        <v>7</v>
      </c>
      <c r="W1237" s="556" t="str">
        <f t="shared" ca="1" si="205"/>
        <v/>
      </c>
      <c r="X1237" s="494" t="s">
        <v>198</v>
      </c>
      <c r="Y1237" s="547" t="str">
        <f t="shared" ca="1" si="209"/>
        <v/>
      </c>
      <c r="Z1237" s="494" t="s">
        <v>1612</v>
      </c>
      <c r="AA1237" s="547" t="str">
        <f t="shared" ca="1" si="210"/>
        <v/>
      </c>
      <c r="AB1237" s="494" t="s">
        <v>1613</v>
      </c>
      <c r="AC1237" s="547" t="str">
        <f t="shared" ca="1" si="211"/>
        <v/>
      </c>
      <c r="AD1237" s="557"/>
      <c r="AE1237" s="958"/>
    </row>
    <row r="1238" spans="1:31" ht="15" customHeight="1">
      <c r="A1238" s="957">
        <v>92</v>
      </c>
      <c r="B1238" s="566" t="s">
        <v>533</v>
      </c>
      <c r="C1238" s="567" t="s">
        <v>1595</v>
      </c>
      <c r="D1238" s="958">
        <v>1.1000000000000001</v>
      </c>
      <c r="E1238" s="959" t="s">
        <v>345</v>
      </c>
      <c r="F1238" s="558" t="s">
        <v>1484</v>
      </c>
      <c r="G1238" s="558">
        <v>852</v>
      </c>
      <c r="H1238" s="558" t="s">
        <v>1485</v>
      </c>
      <c r="I1238" s="559" t="s">
        <v>265</v>
      </c>
      <c r="J1238" s="567" t="s">
        <v>1606</v>
      </c>
      <c r="K1238" s="961" t="s">
        <v>1607</v>
      </c>
      <c r="L1238" s="555" t="str">
        <f t="shared" ca="1" si="206"/>
        <v/>
      </c>
      <c r="M1238" s="494" t="s">
        <v>1608</v>
      </c>
      <c r="N1238" s="555" t="str">
        <f t="shared" ca="1" si="207"/>
        <v/>
      </c>
      <c r="O1238" s="494" t="s">
        <v>1609</v>
      </c>
      <c r="P1238" s="555" t="str">
        <f t="shared" ca="1" si="208"/>
        <v/>
      </c>
      <c r="Q1238" s="494" t="s">
        <v>1610</v>
      </c>
      <c r="R1238" s="494" t="str">
        <f t="shared" si="212"/>
        <v>H1238</v>
      </c>
      <c r="S1238" s="494" t="s">
        <v>1611</v>
      </c>
      <c r="T1238" s="494">
        <v>6</v>
      </c>
      <c r="U1238" s="556" t="str">
        <f t="shared" ca="1" si="204"/>
        <v/>
      </c>
      <c r="V1238" s="494">
        <v>7</v>
      </c>
      <c r="W1238" s="556" t="str">
        <f t="shared" ca="1" si="205"/>
        <v/>
      </c>
      <c r="X1238" s="494" t="s">
        <v>198</v>
      </c>
      <c r="Y1238" s="547" t="str">
        <f t="shared" ca="1" si="209"/>
        <v/>
      </c>
      <c r="Z1238" s="494" t="s">
        <v>1612</v>
      </c>
      <c r="AA1238" s="547" t="str">
        <f t="shared" ca="1" si="210"/>
        <v/>
      </c>
      <c r="AB1238" s="494" t="s">
        <v>1613</v>
      </c>
      <c r="AC1238" s="547" t="str">
        <f t="shared" ca="1" si="211"/>
        <v/>
      </c>
      <c r="AD1238" s="557"/>
      <c r="AE1238" s="958"/>
    </row>
    <row r="1239" spans="1:31" ht="15" customHeight="1">
      <c r="A1239" s="957">
        <v>92</v>
      </c>
      <c r="B1239" s="566" t="s">
        <v>533</v>
      </c>
      <c r="C1239" s="567" t="s">
        <v>1595</v>
      </c>
      <c r="D1239" s="958">
        <v>1.1000000000000001</v>
      </c>
      <c r="E1239" s="959" t="s">
        <v>345</v>
      </c>
      <c r="F1239" s="558" t="s">
        <v>1484</v>
      </c>
      <c r="G1239" s="558">
        <v>852</v>
      </c>
      <c r="H1239" s="558" t="s">
        <v>467</v>
      </c>
      <c r="I1239" s="559" t="s">
        <v>348</v>
      </c>
      <c r="J1239" s="567" t="s">
        <v>1606</v>
      </c>
      <c r="K1239" s="961" t="s">
        <v>1607</v>
      </c>
      <c r="L1239" s="555" t="str">
        <f t="shared" ca="1" si="206"/>
        <v/>
      </c>
      <c r="M1239" s="494" t="s">
        <v>1608</v>
      </c>
      <c r="N1239" s="555" t="str">
        <f t="shared" ca="1" si="207"/>
        <v/>
      </c>
      <c r="O1239" s="494" t="s">
        <v>1609</v>
      </c>
      <c r="P1239" s="555" t="str">
        <f t="shared" ca="1" si="208"/>
        <v/>
      </c>
      <c r="Q1239" s="494" t="s">
        <v>1610</v>
      </c>
      <c r="R1239" s="494" t="str">
        <f t="shared" si="212"/>
        <v>H1239</v>
      </c>
      <c r="S1239" s="494" t="s">
        <v>1611</v>
      </c>
      <c r="T1239" s="494">
        <v>6</v>
      </c>
      <c r="U1239" s="556" t="str">
        <f t="shared" ca="1" si="204"/>
        <v/>
      </c>
      <c r="V1239" s="494">
        <v>7</v>
      </c>
      <c r="W1239" s="556" t="str">
        <f t="shared" ca="1" si="205"/>
        <v/>
      </c>
      <c r="X1239" s="494" t="s">
        <v>198</v>
      </c>
      <c r="Y1239" s="547" t="str">
        <f t="shared" ca="1" si="209"/>
        <v/>
      </c>
      <c r="Z1239" s="494" t="s">
        <v>1612</v>
      </c>
      <c r="AA1239" s="547" t="str">
        <f t="shared" ca="1" si="210"/>
        <v/>
      </c>
      <c r="AB1239" s="494" t="s">
        <v>1613</v>
      </c>
      <c r="AC1239" s="547" t="str">
        <f t="shared" ca="1" si="211"/>
        <v/>
      </c>
      <c r="AD1239" s="557"/>
      <c r="AE1239" s="958"/>
    </row>
    <row r="1240" spans="1:31" ht="15" customHeight="1">
      <c r="A1240" s="957">
        <v>92</v>
      </c>
      <c r="B1240" s="566" t="s">
        <v>533</v>
      </c>
      <c r="C1240" s="567" t="s">
        <v>1595</v>
      </c>
      <c r="D1240" s="958">
        <v>1.1000000000000001</v>
      </c>
      <c r="E1240" s="959" t="s">
        <v>345</v>
      </c>
      <c r="F1240" s="558" t="s">
        <v>1484</v>
      </c>
      <c r="G1240" s="558">
        <v>852</v>
      </c>
      <c r="H1240" s="558" t="s">
        <v>470</v>
      </c>
      <c r="I1240" s="559" t="s">
        <v>350</v>
      </c>
      <c r="J1240" s="567" t="s">
        <v>1606</v>
      </c>
      <c r="K1240" s="961" t="s">
        <v>1607</v>
      </c>
      <c r="L1240" s="555" t="str">
        <f t="shared" ca="1" si="206"/>
        <v/>
      </c>
      <c r="M1240" s="494" t="s">
        <v>1608</v>
      </c>
      <c r="N1240" s="555" t="str">
        <f t="shared" ca="1" si="207"/>
        <v/>
      </c>
      <c r="O1240" s="494" t="s">
        <v>1609</v>
      </c>
      <c r="P1240" s="555" t="str">
        <f t="shared" ca="1" si="208"/>
        <v/>
      </c>
      <c r="Q1240" s="494" t="s">
        <v>1610</v>
      </c>
      <c r="R1240" s="494" t="str">
        <f t="shared" si="212"/>
        <v>H1240</v>
      </c>
      <c r="S1240" s="494" t="s">
        <v>1611</v>
      </c>
      <c r="T1240" s="494">
        <v>6</v>
      </c>
      <c r="U1240" s="556" t="str">
        <f t="shared" ca="1" si="204"/>
        <v/>
      </c>
      <c r="V1240" s="494">
        <v>7</v>
      </c>
      <c r="W1240" s="556" t="str">
        <f t="shared" ca="1" si="205"/>
        <v/>
      </c>
      <c r="X1240" s="494" t="s">
        <v>198</v>
      </c>
      <c r="Y1240" s="547" t="str">
        <f t="shared" ca="1" si="209"/>
        <v/>
      </c>
      <c r="Z1240" s="494" t="s">
        <v>1612</v>
      </c>
      <c r="AA1240" s="547" t="str">
        <f t="shared" ca="1" si="210"/>
        <v/>
      </c>
      <c r="AB1240" s="494" t="s">
        <v>1613</v>
      </c>
      <c r="AC1240" s="547" t="str">
        <f t="shared" ca="1" si="211"/>
        <v/>
      </c>
      <c r="AD1240" s="557"/>
      <c r="AE1240" s="958"/>
    </row>
    <row r="1241" spans="1:31" ht="15" customHeight="1">
      <c r="A1241" s="957">
        <v>92</v>
      </c>
      <c r="B1241" s="566" t="s">
        <v>533</v>
      </c>
      <c r="C1241" s="567" t="s">
        <v>1595</v>
      </c>
      <c r="D1241" s="958">
        <v>1.1000000000000001</v>
      </c>
      <c r="E1241" s="959" t="s">
        <v>345</v>
      </c>
      <c r="F1241" s="558" t="s">
        <v>1484</v>
      </c>
      <c r="G1241" s="558">
        <v>852</v>
      </c>
      <c r="H1241" s="558" t="s">
        <v>472</v>
      </c>
      <c r="I1241" s="559" t="s">
        <v>351</v>
      </c>
      <c r="J1241" s="567" t="s">
        <v>1606</v>
      </c>
      <c r="K1241" s="961" t="s">
        <v>1607</v>
      </c>
      <c r="L1241" s="555" t="str">
        <f t="shared" ca="1" si="206"/>
        <v/>
      </c>
      <c r="M1241" s="494" t="s">
        <v>1608</v>
      </c>
      <c r="N1241" s="555" t="str">
        <f t="shared" ca="1" si="207"/>
        <v/>
      </c>
      <c r="O1241" s="494" t="s">
        <v>1609</v>
      </c>
      <c r="P1241" s="555" t="str">
        <f t="shared" ca="1" si="208"/>
        <v/>
      </c>
      <c r="Q1241" s="494" t="s">
        <v>1610</v>
      </c>
      <c r="R1241" s="494" t="str">
        <f t="shared" si="212"/>
        <v>H1241</v>
      </c>
      <c r="S1241" s="494" t="s">
        <v>1611</v>
      </c>
      <c r="T1241" s="494">
        <v>6</v>
      </c>
      <c r="U1241" s="556" t="str">
        <f t="shared" ca="1" si="204"/>
        <v/>
      </c>
      <c r="V1241" s="494">
        <v>7</v>
      </c>
      <c r="W1241" s="556" t="str">
        <f t="shared" ca="1" si="205"/>
        <v/>
      </c>
      <c r="X1241" s="494" t="s">
        <v>198</v>
      </c>
      <c r="Y1241" s="547" t="str">
        <f t="shared" ca="1" si="209"/>
        <v/>
      </c>
      <c r="Z1241" s="494" t="s">
        <v>1612</v>
      </c>
      <c r="AA1241" s="547" t="str">
        <f t="shared" ca="1" si="210"/>
        <v/>
      </c>
      <c r="AB1241" s="494" t="s">
        <v>1613</v>
      </c>
      <c r="AC1241" s="547" t="str">
        <f t="shared" ca="1" si="211"/>
        <v/>
      </c>
      <c r="AD1241" s="557"/>
      <c r="AE1241" s="958"/>
    </row>
    <row r="1242" spans="1:31" ht="15" customHeight="1">
      <c r="A1242" s="957">
        <v>92</v>
      </c>
      <c r="B1242" s="566" t="s">
        <v>533</v>
      </c>
      <c r="C1242" s="567" t="s">
        <v>1595</v>
      </c>
      <c r="D1242" s="958">
        <v>1.1000000000000001</v>
      </c>
      <c r="E1242" s="959" t="s">
        <v>345</v>
      </c>
      <c r="F1242" s="558" t="s">
        <v>1484</v>
      </c>
      <c r="G1242" s="558">
        <v>852</v>
      </c>
      <c r="H1242" s="558" t="s">
        <v>474</v>
      </c>
      <c r="I1242" s="559" t="s">
        <v>352</v>
      </c>
      <c r="J1242" s="567" t="s">
        <v>1606</v>
      </c>
      <c r="K1242" s="961" t="s">
        <v>1607</v>
      </c>
      <c r="L1242" s="555" t="str">
        <f t="shared" ca="1" si="206"/>
        <v/>
      </c>
      <c r="M1242" s="494" t="s">
        <v>1608</v>
      </c>
      <c r="N1242" s="555" t="str">
        <f t="shared" ca="1" si="207"/>
        <v/>
      </c>
      <c r="O1242" s="494" t="s">
        <v>1609</v>
      </c>
      <c r="P1242" s="555" t="str">
        <f t="shared" ca="1" si="208"/>
        <v/>
      </c>
      <c r="Q1242" s="494" t="s">
        <v>1610</v>
      </c>
      <c r="R1242" s="494" t="str">
        <f t="shared" si="212"/>
        <v>H1242</v>
      </c>
      <c r="S1242" s="494" t="s">
        <v>1611</v>
      </c>
      <c r="T1242" s="494">
        <v>6</v>
      </c>
      <c r="U1242" s="556" t="str">
        <f t="shared" ca="1" si="204"/>
        <v/>
      </c>
      <c r="V1242" s="494">
        <v>7</v>
      </c>
      <c r="W1242" s="556" t="str">
        <f t="shared" ca="1" si="205"/>
        <v/>
      </c>
      <c r="X1242" s="494" t="s">
        <v>198</v>
      </c>
      <c r="Y1242" s="547" t="str">
        <f t="shared" ca="1" si="209"/>
        <v/>
      </c>
      <c r="Z1242" s="494" t="s">
        <v>1612</v>
      </c>
      <c r="AA1242" s="547" t="str">
        <f t="shared" ca="1" si="210"/>
        <v/>
      </c>
      <c r="AB1242" s="494" t="s">
        <v>1613</v>
      </c>
      <c r="AC1242" s="547" t="str">
        <f t="shared" ca="1" si="211"/>
        <v/>
      </c>
      <c r="AD1242" s="557"/>
      <c r="AE1242" s="958"/>
    </row>
    <row r="1243" spans="1:31" ht="15" customHeight="1">
      <c r="A1243" s="957">
        <v>92</v>
      </c>
      <c r="B1243" s="566" t="s">
        <v>533</v>
      </c>
      <c r="C1243" s="567" t="s">
        <v>1595</v>
      </c>
      <c r="D1243" s="958">
        <v>1.1000000000000001</v>
      </c>
      <c r="E1243" s="959" t="s">
        <v>353</v>
      </c>
      <c r="F1243" s="558" t="s">
        <v>1486</v>
      </c>
      <c r="G1243" s="558">
        <v>853</v>
      </c>
      <c r="H1243" s="558" t="s">
        <v>1487</v>
      </c>
      <c r="I1243" s="559" t="s">
        <v>265</v>
      </c>
      <c r="J1243" s="567" t="s">
        <v>1606</v>
      </c>
      <c r="K1243" s="961" t="s">
        <v>1607</v>
      </c>
      <c r="L1243" s="555" t="str">
        <f t="shared" ca="1" si="206"/>
        <v/>
      </c>
      <c r="M1243" s="494" t="s">
        <v>1608</v>
      </c>
      <c r="N1243" s="555" t="str">
        <f t="shared" ca="1" si="207"/>
        <v/>
      </c>
      <c r="O1243" s="494" t="s">
        <v>1609</v>
      </c>
      <c r="P1243" s="555" t="str">
        <f t="shared" ca="1" si="208"/>
        <v/>
      </c>
      <c r="Q1243" s="494" t="s">
        <v>1610</v>
      </c>
      <c r="R1243" s="494" t="str">
        <f t="shared" si="212"/>
        <v>H1243</v>
      </c>
      <c r="S1243" s="494" t="s">
        <v>1611</v>
      </c>
      <c r="T1243" s="494">
        <v>6</v>
      </c>
      <c r="U1243" s="556" t="str">
        <f t="shared" ca="1" si="204"/>
        <v/>
      </c>
      <c r="V1243" s="494">
        <v>7</v>
      </c>
      <c r="W1243" s="556" t="str">
        <f t="shared" ca="1" si="205"/>
        <v/>
      </c>
      <c r="X1243" s="494" t="s">
        <v>198</v>
      </c>
      <c r="Y1243" s="547" t="str">
        <f t="shared" ca="1" si="209"/>
        <v/>
      </c>
      <c r="Z1243" s="494" t="s">
        <v>1612</v>
      </c>
      <c r="AA1243" s="547" t="str">
        <f t="shared" ca="1" si="210"/>
        <v/>
      </c>
      <c r="AB1243" s="494" t="s">
        <v>1613</v>
      </c>
      <c r="AC1243" s="547" t="str">
        <f t="shared" ca="1" si="211"/>
        <v/>
      </c>
      <c r="AD1243" s="557"/>
      <c r="AE1243" s="958"/>
    </row>
    <row r="1244" spans="1:31" ht="15" customHeight="1">
      <c r="A1244" s="957">
        <v>92</v>
      </c>
      <c r="B1244" s="566" t="s">
        <v>533</v>
      </c>
      <c r="C1244" s="567" t="s">
        <v>1595</v>
      </c>
      <c r="D1244" s="958">
        <v>1.1000000000000001</v>
      </c>
      <c r="E1244" s="959" t="s">
        <v>353</v>
      </c>
      <c r="F1244" s="558" t="s">
        <v>1486</v>
      </c>
      <c r="G1244" s="558">
        <v>853</v>
      </c>
      <c r="H1244" s="558" t="s">
        <v>357</v>
      </c>
      <c r="I1244" s="559" t="s">
        <v>358</v>
      </c>
      <c r="J1244" s="567" t="s">
        <v>1606</v>
      </c>
      <c r="K1244" s="961" t="s">
        <v>1607</v>
      </c>
      <c r="L1244" s="555" t="str">
        <f t="shared" ca="1" si="206"/>
        <v/>
      </c>
      <c r="M1244" s="494" t="s">
        <v>1608</v>
      </c>
      <c r="N1244" s="555" t="str">
        <f t="shared" ca="1" si="207"/>
        <v/>
      </c>
      <c r="O1244" s="494" t="s">
        <v>1609</v>
      </c>
      <c r="P1244" s="555" t="str">
        <f t="shared" ca="1" si="208"/>
        <v/>
      </c>
      <c r="Q1244" s="494" t="s">
        <v>1610</v>
      </c>
      <c r="R1244" s="494" t="str">
        <f t="shared" si="212"/>
        <v>H1244</v>
      </c>
      <c r="S1244" s="494" t="s">
        <v>1611</v>
      </c>
      <c r="T1244" s="494">
        <v>6</v>
      </c>
      <c r="U1244" s="556" t="str">
        <f t="shared" ca="1" si="204"/>
        <v/>
      </c>
      <c r="V1244" s="494">
        <v>7</v>
      </c>
      <c r="W1244" s="556" t="str">
        <f t="shared" ca="1" si="205"/>
        <v/>
      </c>
      <c r="X1244" s="494" t="s">
        <v>198</v>
      </c>
      <c r="Y1244" s="547" t="str">
        <f t="shared" ca="1" si="209"/>
        <v/>
      </c>
      <c r="Z1244" s="494" t="s">
        <v>1612</v>
      </c>
      <c r="AA1244" s="547" t="str">
        <f t="shared" ca="1" si="210"/>
        <v/>
      </c>
      <c r="AB1244" s="494" t="s">
        <v>1613</v>
      </c>
      <c r="AC1244" s="547" t="str">
        <f t="shared" ca="1" si="211"/>
        <v/>
      </c>
      <c r="AD1244" s="557"/>
      <c r="AE1244" s="958"/>
    </row>
    <row r="1245" spans="1:31" ht="15" customHeight="1">
      <c r="A1245" s="957">
        <v>92</v>
      </c>
      <c r="B1245" s="566" t="s">
        <v>533</v>
      </c>
      <c r="C1245" s="567" t="s">
        <v>1595</v>
      </c>
      <c r="D1245" s="958">
        <v>1.1000000000000001</v>
      </c>
      <c r="E1245" s="959" t="s">
        <v>353</v>
      </c>
      <c r="F1245" s="558" t="s">
        <v>1486</v>
      </c>
      <c r="G1245" s="558">
        <v>853</v>
      </c>
      <c r="H1245" s="558" t="s">
        <v>359</v>
      </c>
      <c r="I1245" s="559" t="s">
        <v>582</v>
      </c>
      <c r="J1245" s="567" t="s">
        <v>1606</v>
      </c>
      <c r="K1245" s="961" t="s">
        <v>1607</v>
      </c>
      <c r="L1245" s="555" t="str">
        <f t="shared" ca="1" si="206"/>
        <v/>
      </c>
      <c r="M1245" s="494" t="s">
        <v>1608</v>
      </c>
      <c r="N1245" s="555" t="str">
        <f t="shared" ca="1" si="207"/>
        <v/>
      </c>
      <c r="O1245" s="494" t="s">
        <v>1609</v>
      </c>
      <c r="P1245" s="555" t="str">
        <f t="shared" ca="1" si="208"/>
        <v/>
      </c>
      <c r="Q1245" s="494" t="s">
        <v>1610</v>
      </c>
      <c r="R1245" s="494" t="str">
        <f t="shared" si="212"/>
        <v>H1245</v>
      </c>
      <c r="S1245" s="494" t="s">
        <v>1611</v>
      </c>
      <c r="T1245" s="494">
        <v>6</v>
      </c>
      <c r="U1245" s="556" t="str">
        <f t="shared" ca="1" si="204"/>
        <v/>
      </c>
      <c r="V1245" s="494">
        <v>7</v>
      </c>
      <c r="W1245" s="556" t="str">
        <f t="shared" ca="1" si="205"/>
        <v/>
      </c>
      <c r="X1245" s="494" t="s">
        <v>198</v>
      </c>
      <c r="Y1245" s="547" t="str">
        <f t="shared" ca="1" si="209"/>
        <v/>
      </c>
      <c r="Z1245" s="494" t="s">
        <v>1612</v>
      </c>
      <c r="AA1245" s="547" t="str">
        <f t="shared" ca="1" si="210"/>
        <v/>
      </c>
      <c r="AB1245" s="494" t="s">
        <v>1613</v>
      </c>
      <c r="AC1245" s="547" t="str">
        <f t="shared" ca="1" si="211"/>
        <v/>
      </c>
      <c r="AD1245" s="557"/>
      <c r="AE1245" s="958"/>
    </row>
    <row r="1246" spans="1:31" ht="15" customHeight="1">
      <c r="A1246" s="957">
        <v>92</v>
      </c>
      <c r="B1246" s="566" t="s">
        <v>533</v>
      </c>
      <c r="C1246" s="567" t="s">
        <v>1595</v>
      </c>
      <c r="D1246" s="958">
        <v>1.1000000000000001</v>
      </c>
      <c r="E1246" s="959" t="s">
        <v>353</v>
      </c>
      <c r="F1246" s="558" t="s">
        <v>1486</v>
      </c>
      <c r="G1246" s="558">
        <v>853</v>
      </c>
      <c r="H1246" s="558" t="s">
        <v>361</v>
      </c>
      <c r="I1246" s="559" t="s">
        <v>583</v>
      </c>
      <c r="J1246" s="567" t="s">
        <v>1606</v>
      </c>
      <c r="K1246" s="961" t="s">
        <v>1607</v>
      </c>
      <c r="L1246" s="555" t="str">
        <f t="shared" ca="1" si="206"/>
        <v/>
      </c>
      <c r="M1246" s="494" t="s">
        <v>1608</v>
      </c>
      <c r="N1246" s="555" t="str">
        <f t="shared" ca="1" si="207"/>
        <v/>
      </c>
      <c r="O1246" s="494" t="s">
        <v>1609</v>
      </c>
      <c r="P1246" s="555" t="str">
        <f t="shared" ca="1" si="208"/>
        <v/>
      </c>
      <c r="Q1246" s="494" t="s">
        <v>1610</v>
      </c>
      <c r="R1246" s="494" t="str">
        <f t="shared" si="212"/>
        <v>H1246</v>
      </c>
      <c r="S1246" s="494" t="s">
        <v>1611</v>
      </c>
      <c r="T1246" s="494">
        <v>6</v>
      </c>
      <c r="U1246" s="556" t="str">
        <f t="shared" ca="1" si="204"/>
        <v/>
      </c>
      <c r="V1246" s="494">
        <v>7</v>
      </c>
      <c r="W1246" s="556" t="str">
        <f t="shared" ca="1" si="205"/>
        <v/>
      </c>
      <c r="X1246" s="494" t="s">
        <v>198</v>
      </c>
      <c r="Y1246" s="547" t="str">
        <f t="shared" ca="1" si="209"/>
        <v/>
      </c>
      <c r="Z1246" s="494" t="s">
        <v>1612</v>
      </c>
      <c r="AA1246" s="547" t="str">
        <f t="shared" ca="1" si="210"/>
        <v/>
      </c>
      <c r="AB1246" s="494" t="s">
        <v>1613</v>
      </c>
      <c r="AC1246" s="547" t="str">
        <f t="shared" ca="1" si="211"/>
        <v/>
      </c>
      <c r="AD1246" s="557"/>
      <c r="AE1246" s="958"/>
    </row>
    <row r="1247" spans="1:31" ht="15" customHeight="1">
      <c r="A1247" s="957">
        <v>92</v>
      </c>
      <c r="B1247" s="566" t="s">
        <v>533</v>
      </c>
      <c r="C1247" s="567" t="s">
        <v>1595</v>
      </c>
      <c r="D1247" s="958">
        <v>1.1000000000000001</v>
      </c>
      <c r="E1247" s="959" t="s">
        <v>353</v>
      </c>
      <c r="F1247" s="558" t="s">
        <v>1486</v>
      </c>
      <c r="G1247" s="558">
        <v>853</v>
      </c>
      <c r="H1247" s="558" t="s">
        <v>363</v>
      </c>
      <c r="I1247" s="559" t="s">
        <v>584</v>
      </c>
      <c r="J1247" s="567" t="s">
        <v>1606</v>
      </c>
      <c r="K1247" s="961" t="s">
        <v>1607</v>
      </c>
      <c r="L1247" s="555" t="str">
        <f t="shared" ca="1" si="206"/>
        <v/>
      </c>
      <c r="M1247" s="494" t="s">
        <v>1608</v>
      </c>
      <c r="N1247" s="555" t="str">
        <f t="shared" ca="1" si="207"/>
        <v/>
      </c>
      <c r="O1247" s="494" t="s">
        <v>1609</v>
      </c>
      <c r="P1247" s="555" t="str">
        <f t="shared" ca="1" si="208"/>
        <v/>
      </c>
      <c r="Q1247" s="494" t="s">
        <v>1610</v>
      </c>
      <c r="R1247" s="494" t="str">
        <f t="shared" si="212"/>
        <v>H1247</v>
      </c>
      <c r="S1247" s="494" t="s">
        <v>1611</v>
      </c>
      <c r="T1247" s="494">
        <v>6</v>
      </c>
      <c r="U1247" s="556" t="str">
        <f t="shared" ca="1" si="204"/>
        <v/>
      </c>
      <c r="V1247" s="494">
        <v>7</v>
      </c>
      <c r="W1247" s="556" t="str">
        <f t="shared" ca="1" si="205"/>
        <v/>
      </c>
      <c r="X1247" s="494" t="s">
        <v>198</v>
      </c>
      <c r="Y1247" s="547" t="str">
        <f t="shared" ca="1" si="209"/>
        <v/>
      </c>
      <c r="Z1247" s="494" t="s">
        <v>1612</v>
      </c>
      <c r="AA1247" s="547" t="str">
        <f t="shared" ca="1" si="210"/>
        <v/>
      </c>
      <c r="AB1247" s="494" t="s">
        <v>1613</v>
      </c>
      <c r="AC1247" s="547" t="str">
        <f t="shared" ca="1" si="211"/>
        <v/>
      </c>
      <c r="AD1247" s="557"/>
      <c r="AE1247" s="958"/>
    </row>
    <row r="1248" spans="1:31" ht="15" customHeight="1">
      <c r="A1248" s="957">
        <v>92</v>
      </c>
      <c r="B1248" s="566" t="s">
        <v>533</v>
      </c>
      <c r="C1248" s="567" t="s">
        <v>1595</v>
      </c>
      <c r="D1248" s="958">
        <v>1.1000000000000001</v>
      </c>
      <c r="E1248" s="959" t="s">
        <v>367</v>
      </c>
      <c r="F1248" s="558" t="s">
        <v>1488</v>
      </c>
      <c r="G1248" s="558">
        <v>855</v>
      </c>
      <c r="H1248" s="558">
        <v>19.100000000000001</v>
      </c>
      <c r="I1248" s="559" t="s">
        <v>371</v>
      </c>
      <c r="J1248" s="567" t="s">
        <v>1606</v>
      </c>
      <c r="K1248" s="961" t="s">
        <v>1607</v>
      </c>
      <c r="L1248" s="555" t="str">
        <f t="shared" ca="1" si="206"/>
        <v/>
      </c>
      <c r="M1248" s="494" t="s">
        <v>1608</v>
      </c>
      <c r="N1248" s="555" t="str">
        <f t="shared" ca="1" si="207"/>
        <v/>
      </c>
      <c r="O1248" s="494" t="s">
        <v>1609</v>
      </c>
      <c r="P1248" s="555" t="str">
        <f t="shared" ca="1" si="208"/>
        <v/>
      </c>
      <c r="Q1248" s="494" t="s">
        <v>1610</v>
      </c>
      <c r="R1248" s="494" t="str">
        <f t="shared" si="212"/>
        <v>H1248</v>
      </c>
      <c r="S1248" s="494" t="s">
        <v>1611</v>
      </c>
      <c r="T1248" s="494">
        <v>6</v>
      </c>
      <c r="U1248" s="556" t="str">
        <f t="shared" ca="1" si="204"/>
        <v/>
      </c>
      <c r="V1248" s="494">
        <v>7</v>
      </c>
      <c r="W1248" s="556" t="str">
        <f t="shared" ca="1" si="205"/>
        <v/>
      </c>
      <c r="X1248" s="494" t="s">
        <v>198</v>
      </c>
      <c r="Y1248" s="547" t="str">
        <f t="shared" ca="1" si="209"/>
        <v/>
      </c>
      <c r="Z1248" s="494" t="s">
        <v>1612</v>
      </c>
      <c r="AA1248" s="547" t="str">
        <f t="shared" ca="1" si="210"/>
        <v/>
      </c>
      <c r="AB1248" s="494" t="s">
        <v>1613</v>
      </c>
      <c r="AC1248" s="547" t="str">
        <f t="shared" ca="1" si="211"/>
        <v/>
      </c>
      <c r="AD1248" s="557"/>
      <c r="AE1248" s="958"/>
    </row>
    <row r="1249" spans="1:31" ht="15" customHeight="1">
      <c r="A1249" s="957">
        <v>92</v>
      </c>
      <c r="B1249" s="566" t="s">
        <v>533</v>
      </c>
      <c r="C1249" s="567" t="s">
        <v>1595</v>
      </c>
      <c r="D1249" s="958">
        <v>1.1000000000000001</v>
      </c>
      <c r="E1249" s="959" t="s">
        <v>367</v>
      </c>
      <c r="F1249" s="558" t="s">
        <v>1488</v>
      </c>
      <c r="G1249" s="558">
        <v>855</v>
      </c>
      <c r="H1249" s="558">
        <v>19.2</v>
      </c>
      <c r="I1249" s="559" t="s">
        <v>587</v>
      </c>
      <c r="J1249" s="567" t="s">
        <v>1606</v>
      </c>
      <c r="K1249" s="961" t="s">
        <v>1607</v>
      </c>
      <c r="L1249" s="555" t="str">
        <f t="shared" ca="1" si="206"/>
        <v/>
      </c>
      <c r="M1249" s="494" t="s">
        <v>1608</v>
      </c>
      <c r="N1249" s="555" t="str">
        <f t="shared" ca="1" si="207"/>
        <v/>
      </c>
      <c r="O1249" s="494" t="s">
        <v>1609</v>
      </c>
      <c r="P1249" s="555" t="str">
        <f t="shared" ca="1" si="208"/>
        <v/>
      </c>
      <c r="Q1249" s="494" t="s">
        <v>1610</v>
      </c>
      <c r="R1249" s="494" t="str">
        <f t="shared" si="212"/>
        <v>H1249</v>
      </c>
      <c r="S1249" s="494" t="s">
        <v>1611</v>
      </c>
      <c r="T1249" s="494">
        <v>6</v>
      </c>
      <c r="U1249" s="556" t="str">
        <f t="shared" ca="1" si="204"/>
        <v/>
      </c>
      <c r="V1249" s="494">
        <v>7</v>
      </c>
      <c r="W1249" s="556" t="str">
        <f t="shared" ca="1" si="205"/>
        <v/>
      </c>
      <c r="X1249" s="494" t="s">
        <v>198</v>
      </c>
      <c r="Y1249" s="547" t="str">
        <f t="shared" ca="1" si="209"/>
        <v/>
      </c>
      <c r="Z1249" s="494" t="s">
        <v>1612</v>
      </c>
      <c r="AA1249" s="547" t="str">
        <f t="shared" ca="1" si="210"/>
        <v/>
      </c>
      <c r="AB1249" s="494" t="s">
        <v>1613</v>
      </c>
      <c r="AC1249" s="547" t="str">
        <f t="shared" ca="1" si="211"/>
        <v/>
      </c>
      <c r="AD1249" s="557"/>
      <c r="AE1249" s="958"/>
    </row>
    <row r="1250" spans="1:31" ht="15" customHeight="1">
      <c r="A1250" s="957">
        <v>92</v>
      </c>
      <c r="B1250" s="566" t="s">
        <v>533</v>
      </c>
      <c r="C1250" s="567" t="s">
        <v>1595</v>
      </c>
      <c r="D1250" s="958">
        <v>1.1000000000000001</v>
      </c>
      <c r="E1250" s="959" t="s">
        <v>367</v>
      </c>
      <c r="F1250" s="558" t="s">
        <v>1488</v>
      </c>
      <c r="G1250" s="558">
        <v>857</v>
      </c>
      <c r="H1250" s="558">
        <v>20.100000000000001</v>
      </c>
      <c r="I1250" s="559" t="s">
        <v>589</v>
      </c>
      <c r="J1250" s="567" t="s">
        <v>1606</v>
      </c>
      <c r="K1250" s="961" t="s">
        <v>1607</v>
      </c>
      <c r="L1250" s="555" t="str">
        <f t="shared" ca="1" si="206"/>
        <v/>
      </c>
      <c r="M1250" s="494" t="s">
        <v>1608</v>
      </c>
      <c r="N1250" s="555" t="str">
        <f t="shared" ca="1" si="207"/>
        <v/>
      </c>
      <c r="O1250" s="494" t="s">
        <v>1609</v>
      </c>
      <c r="P1250" s="555" t="str">
        <f t="shared" ca="1" si="208"/>
        <v/>
      </c>
      <c r="Q1250" s="494" t="s">
        <v>1610</v>
      </c>
      <c r="R1250" s="494" t="str">
        <f t="shared" si="212"/>
        <v>H1250</v>
      </c>
      <c r="S1250" s="494" t="s">
        <v>1611</v>
      </c>
      <c r="T1250" s="494">
        <v>6</v>
      </c>
      <c r="U1250" s="556" t="str">
        <f t="shared" ca="1" si="204"/>
        <v/>
      </c>
      <c r="V1250" s="494">
        <v>7</v>
      </c>
      <c r="W1250" s="556" t="str">
        <f t="shared" ca="1" si="205"/>
        <v/>
      </c>
      <c r="X1250" s="494" t="s">
        <v>198</v>
      </c>
      <c r="Y1250" s="547" t="str">
        <f t="shared" ca="1" si="209"/>
        <v/>
      </c>
      <c r="Z1250" s="494" t="s">
        <v>1612</v>
      </c>
      <c r="AA1250" s="547" t="str">
        <f t="shared" ca="1" si="210"/>
        <v/>
      </c>
      <c r="AB1250" s="494" t="s">
        <v>1613</v>
      </c>
      <c r="AC1250" s="547" t="str">
        <f t="shared" ca="1" si="211"/>
        <v/>
      </c>
      <c r="AD1250" s="557"/>
      <c r="AE1250" s="958"/>
    </row>
    <row r="1251" spans="1:31" ht="15" customHeight="1">
      <c r="A1251" s="957">
        <v>92</v>
      </c>
      <c r="B1251" s="566" t="s">
        <v>533</v>
      </c>
      <c r="C1251" s="567" t="s">
        <v>1595</v>
      </c>
      <c r="D1251" s="958">
        <v>1.1000000000000001</v>
      </c>
      <c r="E1251" s="959" t="s">
        <v>367</v>
      </c>
      <c r="F1251" s="558" t="s">
        <v>1488</v>
      </c>
      <c r="G1251" s="558">
        <v>858</v>
      </c>
      <c r="H1251" s="558">
        <v>20.2</v>
      </c>
      <c r="I1251" s="559" t="s">
        <v>1617</v>
      </c>
      <c r="J1251" s="567" t="s">
        <v>1606</v>
      </c>
      <c r="K1251" s="961" t="s">
        <v>1607</v>
      </c>
      <c r="L1251" s="555" t="str">
        <f t="shared" ca="1" si="206"/>
        <v/>
      </c>
      <c r="M1251" s="494" t="s">
        <v>1608</v>
      </c>
      <c r="N1251" s="555" t="str">
        <f t="shared" ca="1" si="207"/>
        <v/>
      </c>
      <c r="O1251" s="494" t="s">
        <v>1609</v>
      </c>
      <c r="P1251" s="555" t="str">
        <f t="shared" ca="1" si="208"/>
        <v/>
      </c>
      <c r="Q1251" s="494" t="s">
        <v>1610</v>
      </c>
      <c r="R1251" s="494" t="str">
        <f t="shared" si="212"/>
        <v>H1251</v>
      </c>
      <c r="S1251" s="494" t="s">
        <v>1611</v>
      </c>
      <c r="T1251" s="494">
        <v>6</v>
      </c>
      <c r="U1251" s="556" t="str">
        <f t="shared" ca="1" si="204"/>
        <v/>
      </c>
      <c r="V1251" s="494">
        <v>7</v>
      </c>
      <c r="W1251" s="556" t="str">
        <f t="shared" ca="1" si="205"/>
        <v/>
      </c>
      <c r="X1251" s="494" t="s">
        <v>198</v>
      </c>
      <c r="Y1251" s="547" t="str">
        <f t="shared" ca="1" si="209"/>
        <v/>
      </c>
      <c r="Z1251" s="494" t="s">
        <v>1612</v>
      </c>
      <c r="AA1251" s="547" t="str">
        <f t="shared" ca="1" si="210"/>
        <v/>
      </c>
      <c r="AB1251" s="494" t="s">
        <v>1613</v>
      </c>
      <c r="AC1251" s="547" t="str">
        <f t="shared" ca="1" si="211"/>
        <v/>
      </c>
      <c r="AD1251" s="557"/>
      <c r="AE1251" s="958"/>
    </row>
    <row r="1252" spans="1:31" ht="15" customHeight="1">
      <c r="A1252" s="957">
        <v>92</v>
      </c>
      <c r="B1252" s="566" t="s">
        <v>533</v>
      </c>
      <c r="C1252" s="567" t="s">
        <v>1595</v>
      </c>
      <c r="D1252" s="958">
        <v>1.1000000000000001</v>
      </c>
      <c r="E1252" s="959" t="s">
        <v>367</v>
      </c>
      <c r="F1252" s="558" t="s">
        <v>1488</v>
      </c>
      <c r="G1252" s="558">
        <v>734</v>
      </c>
      <c r="H1252" s="558">
        <v>21</v>
      </c>
      <c r="I1252" s="559" t="s">
        <v>390</v>
      </c>
      <c r="J1252" s="567" t="s">
        <v>1606</v>
      </c>
      <c r="K1252" s="961" t="s">
        <v>1607</v>
      </c>
      <c r="L1252" s="555" t="str">
        <f t="shared" ca="1" si="206"/>
        <v/>
      </c>
      <c r="M1252" s="494" t="s">
        <v>1608</v>
      </c>
      <c r="N1252" s="555" t="str">
        <f t="shared" ca="1" si="207"/>
        <v/>
      </c>
      <c r="O1252" s="494" t="s">
        <v>1609</v>
      </c>
      <c r="P1252" s="555" t="str">
        <f t="shared" ca="1" si="208"/>
        <v/>
      </c>
      <c r="Q1252" s="494" t="s">
        <v>1610</v>
      </c>
      <c r="R1252" s="494" t="str">
        <f t="shared" si="212"/>
        <v>H1252</v>
      </c>
      <c r="S1252" s="494" t="s">
        <v>1611</v>
      </c>
      <c r="T1252" s="494">
        <v>6</v>
      </c>
      <c r="U1252" s="556" t="str">
        <f t="shared" ca="1" si="204"/>
        <v/>
      </c>
      <c r="V1252" s="494">
        <v>7</v>
      </c>
      <c r="W1252" s="556" t="str">
        <f t="shared" ca="1" si="205"/>
        <v/>
      </c>
      <c r="X1252" s="494" t="s">
        <v>198</v>
      </c>
      <c r="Y1252" s="547" t="str">
        <f t="shared" ca="1" si="209"/>
        <v/>
      </c>
      <c r="Z1252" s="494" t="s">
        <v>1612</v>
      </c>
      <c r="AA1252" s="547" t="str">
        <f t="shared" ca="1" si="210"/>
        <v/>
      </c>
      <c r="AB1252" s="494" t="s">
        <v>1613</v>
      </c>
      <c r="AC1252" s="547" t="str">
        <f t="shared" ca="1" si="211"/>
        <v/>
      </c>
      <c r="AD1252" s="557"/>
      <c r="AE1252" s="958"/>
    </row>
    <row r="1253" spans="1:31" ht="15" customHeight="1">
      <c r="A1253" s="957">
        <v>92</v>
      </c>
      <c r="B1253" s="566" t="s">
        <v>533</v>
      </c>
      <c r="C1253" s="567" t="s">
        <v>1595</v>
      </c>
      <c r="D1253" s="958">
        <v>1.1000000000000001</v>
      </c>
      <c r="E1253" s="959" t="s">
        <v>367</v>
      </c>
      <c r="F1253" s="558" t="s">
        <v>1488</v>
      </c>
      <c r="G1253" s="558">
        <v>859</v>
      </c>
      <c r="H1253" s="558" t="s">
        <v>393</v>
      </c>
      <c r="I1253" s="559" t="s">
        <v>1618</v>
      </c>
      <c r="J1253" s="567" t="s">
        <v>1606</v>
      </c>
      <c r="K1253" s="961" t="s">
        <v>1607</v>
      </c>
      <c r="L1253" s="555" t="str">
        <f t="shared" ca="1" si="206"/>
        <v/>
      </c>
      <c r="M1253" s="494" t="s">
        <v>1608</v>
      </c>
      <c r="N1253" s="555" t="str">
        <f t="shared" ca="1" si="207"/>
        <v/>
      </c>
      <c r="O1253" s="494" t="s">
        <v>1609</v>
      </c>
      <c r="P1253" s="555" t="str">
        <f t="shared" ca="1" si="208"/>
        <v/>
      </c>
      <c r="Q1253" s="494" t="s">
        <v>1610</v>
      </c>
      <c r="R1253" s="494" t="str">
        <f t="shared" si="212"/>
        <v>H1253</v>
      </c>
      <c r="S1253" s="494" t="s">
        <v>1611</v>
      </c>
      <c r="T1253" s="494">
        <v>6</v>
      </c>
      <c r="U1253" s="556" t="str">
        <f t="shared" ca="1" si="204"/>
        <v/>
      </c>
      <c r="V1253" s="494">
        <v>7</v>
      </c>
      <c r="W1253" s="556" t="str">
        <f t="shared" ca="1" si="205"/>
        <v/>
      </c>
      <c r="X1253" s="494" t="s">
        <v>198</v>
      </c>
      <c r="Y1253" s="547" t="str">
        <f t="shared" ca="1" si="209"/>
        <v/>
      </c>
      <c r="Z1253" s="494" t="s">
        <v>1612</v>
      </c>
      <c r="AA1253" s="547" t="str">
        <f t="shared" ca="1" si="210"/>
        <v/>
      </c>
      <c r="AB1253" s="494" t="s">
        <v>1613</v>
      </c>
      <c r="AC1253" s="547" t="str">
        <f t="shared" ca="1" si="211"/>
        <v/>
      </c>
      <c r="AD1253" s="557"/>
      <c r="AE1253" s="958"/>
    </row>
    <row r="1254" spans="1:31" ht="15" customHeight="1">
      <c r="A1254" s="957">
        <v>92</v>
      </c>
      <c r="B1254" s="566" t="s">
        <v>533</v>
      </c>
      <c r="C1254" s="567" t="s">
        <v>1595</v>
      </c>
      <c r="D1254" s="958">
        <v>1.1000000000000001</v>
      </c>
      <c r="E1254" s="959" t="s">
        <v>367</v>
      </c>
      <c r="F1254" s="558" t="s">
        <v>1488</v>
      </c>
      <c r="G1254" s="558">
        <v>859</v>
      </c>
      <c r="H1254" s="558" t="s">
        <v>395</v>
      </c>
      <c r="I1254" s="559" t="s">
        <v>593</v>
      </c>
      <c r="J1254" s="567" t="s">
        <v>1606</v>
      </c>
      <c r="K1254" s="961" t="s">
        <v>1607</v>
      </c>
      <c r="L1254" s="555" t="str">
        <f t="shared" ca="1" si="206"/>
        <v/>
      </c>
      <c r="M1254" s="494" t="s">
        <v>1608</v>
      </c>
      <c r="N1254" s="555" t="str">
        <f t="shared" ca="1" si="207"/>
        <v/>
      </c>
      <c r="O1254" s="494" t="s">
        <v>1609</v>
      </c>
      <c r="P1254" s="555" t="str">
        <f t="shared" ca="1" si="208"/>
        <v/>
      </c>
      <c r="Q1254" s="494" t="s">
        <v>1610</v>
      </c>
      <c r="R1254" s="494" t="str">
        <f t="shared" si="212"/>
        <v>H1254</v>
      </c>
      <c r="S1254" s="494" t="s">
        <v>1611</v>
      </c>
      <c r="T1254" s="494">
        <v>6</v>
      </c>
      <c r="U1254" s="556" t="str">
        <f t="shared" ca="1" si="204"/>
        <v/>
      </c>
      <c r="V1254" s="494">
        <v>7</v>
      </c>
      <c r="W1254" s="556" t="str">
        <f t="shared" ca="1" si="205"/>
        <v/>
      </c>
      <c r="X1254" s="494" t="s">
        <v>198</v>
      </c>
      <c r="Y1254" s="547" t="str">
        <f t="shared" ca="1" si="209"/>
        <v/>
      </c>
      <c r="Z1254" s="494" t="s">
        <v>1612</v>
      </c>
      <c r="AA1254" s="547" t="str">
        <f t="shared" ca="1" si="210"/>
        <v/>
      </c>
      <c r="AB1254" s="494" t="s">
        <v>1613</v>
      </c>
      <c r="AC1254" s="547" t="str">
        <f t="shared" ca="1" si="211"/>
        <v/>
      </c>
      <c r="AD1254" s="557"/>
      <c r="AE1254" s="958"/>
    </row>
    <row r="1255" spans="1:31" ht="15" customHeight="1">
      <c r="A1255" s="957">
        <v>92</v>
      </c>
      <c r="B1255" s="566" t="s">
        <v>533</v>
      </c>
      <c r="C1255" s="567" t="s">
        <v>1595</v>
      </c>
      <c r="D1255" s="958">
        <v>1.1000000000000001</v>
      </c>
      <c r="E1255" s="959" t="s">
        <v>396</v>
      </c>
      <c r="F1255" s="558" t="s">
        <v>1498</v>
      </c>
      <c r="G1255" s="558">
        <v>872</v>
      </c>
      <c r="H1255" s="558">
        <v>23.1</v>
      </c>
      <c r="I1255" s="559" t="s">
        <v>595</v>
      </c>
      <c r="J1255" s="567" t="s">
        <v>1606</v>
      </c>
      <c r="K1255" s="961" t="s">
        <v>1607</v>
      </c>
      <c r="L1255" s="555" t="str">
        <f t="shared" ca="1" si="206"/>
        <v/>
      </c>
      <c r="M1255" s="494" t="s">
        <v>1608</v>
      </c>
      <c r="N1255" s="555" t="str">
        <f t="shared" ca="1" si="207"/>
        <v/>
      </c>
      <c r="O1255" s="494" t="s">
        <v>1609</v>
      </c>
      <c r="P1255" s="555" t="str">
        <f t="shared" ca="1" si="208"/>
        <v/>
      </c>
      <c r="Q1255" s="494" t="s">
        <v>1610</v>
      </c>
      <c r="R1255" s="494" t="str">
        <f t="shared" si="212"/>
        <v>H1255</v>
      </c>
      <c r="S1255" s="494" t="s">
        <v>1611</v>
      </c>
      <c r="T1255" s="494">
        <v>6</v>
      </c>
      <c r="U1255" s="556" t="str">
        <f t="shared" ca="1" si="204"/>
        <v/>
      </c>
      <c r="V1255" s="494">
        <v>7</v>
      </c>
      <c r="W1255" s="556" t="str">
        <f t="shared" ca="1" si="205"/>
        <v/>
      </c>
      <c r="X1255" s="494" t="s">
        <v>198</v>
      </c>
      <c r="Y1255" s="547" t="str">
        <f t="shared" ca="1" si="209"/>
        <v/>
      </c>
      <c r="Z1255" s="494" t="s">
        <v>1612</v>
      </c>
      <c r="AA1255" s="547" t="str">
        <f t="shared" ca="1" si="210"/>
        <v/>
      </c>
      <c r="AB1255" s="494" t="s">
        <v>1613</v>
      </c>
      <c r="AC1255" s="547" t="str">
        <f t="shared" ca="1" si="211"/>
        <v/>
      </c>
      <c r="AD1255" s="557"/>
      <c r="AE1255" s="958"/>
    </row>
    <row r="1256" spans="1:31" ht="15" customHeight="1">
      <c r="A1256" s="957">
        <v>92</v>
      </c>
      <c r="B1256" s="566" t="s">
        <v>533</v>
      </c>
      <c r="C1256" s="567" t="s">
        <v>1595</v>
      </c>
      <c r="D1256" s="958">
        <v>1.1000000000000001</v>
      </c>
      <c r="E1256" s="959" t="s">
        <v>396</v>
      </c>
      <c r="F1256" s="558" t="s">
        <v>1498</v>
      </c>
      <c r="G1256" s="558">
        <v>872</v>
      </c>
      <c r="H1256" s="558">
        <v>23.2</v>
      </c>
      <c r="I1256" s="559" t="s">
        <v>596</v>
      </c>
      <c r="J1256" s="567" t="s">
        <v>1606</v>
      </c>
      <c r="K1256" s="961" t="s">
        <v>1607</v>
      </c>
      <c r="L1256" s="555" t="str">
        <f t="shared" ca="1" si="206"/>
        <v/>
      </c>
      <c r="M1256" s="494" t="s">
        <v>1608</v>
      </c>
      <c r="N1256" s="555" t="str">
        <f t="shared" ca="1" si="207"/>
        <v/>
      </c>
      <c r="O1256" s="494" t="s">
        <v>1609</v>
      </c>
      <c r="P1256" s="555" t="str">
        <f t="shared" ca="1" si="208"/>
        <v/>
      </c>
      <c r="Q1256" s="494" t="s">
        <v>1610</v>
      </c>
      <c r="R1256" s="494" t="str">
        <f t="shared" si="212"/>
        <v>H1256</v>
      </c>
      <c r="S1256" s="494" t="s">
        <v>1611</v>
      </c>
      <c r="T1256" s="494">
        <v>6</v>
      </c>
      <c r="U1256" s="556" t="str">
        <f t="shared" ca="1" si="204"/>
        <v/>
      </c>
      <c r="V1256" s="494">
        <v>7</v>
      </c>
      <c r="W1256" s="556" t="str">
        <f t="shared" ca="1" si="205"/>
        <v/>
      </c>
      <c r="X1256" s="494" t="s">
        <v>198</v>
      </c>
      <c r="Y1256" s="547" t="str">
        <f t="shared" ca="1" si="209"/>
        <v/>
      </c>
      <c r="Z1256" s="494" t="s">
        <v>1612</v>
      </c>
      <c r="AA1256" s="547" t="str">
        <f t="shared" ca="1" si="210"/>
        <v/>
      </c>
      <c r="AB1256" s="494" t="s">
        <v>1613</v>
      </c>
      <c r="AC1256" s="547" t="str">
        <f t="shared" ca="1" si="211"/>
        <v/>
      </c>
      <c r="AD1256" s="557"/>
      <c r="AE1256" s="958"/>
    </row>
    <row r="1257" spans="1:31" ht="15" customHeight="1">
      <c r="A1257" s="957">
        <v>92</v>
      </c>
      <c r="B1257" s="566" t="s">
        <v>533</v>
      </c>
      <c r="C1257" s="567" t="s">
        <v>1595</v>
      </c>
      <c r="D1257" s="958">
        <v>1.1000000000000001</v>
      </c>
      <c r="E1257" s="959" t="s">
        <v>396</v>
      </c>
      <c r="F1257" s="558" t="s">
        <v>1498</v>
      </c>
      <c r="G1257" s="558">
        <v>872</v>
      </c>
      <c r="H1257" s="558">
        <v>23.3</v>
      </c>
      <c r="I1257" s="559" t="s">
        <v>597</v>
      </c>
      <c r="J1257" s="567" t="s">
        <v>1606</v>
      </c>
      <c r="K1257" s="961" t="s">
        <v>1607</v>
      </c>
      <c r="L1257" s="555" t="str">
        <f t="shared" ca="1" si="206"/>
        <v/>
      </c>
      <c r="M1257" s="494" t="s">
        <v>1608</v>
      </c>
      <c r="N1257" s="555" t="str">
        <f t="shared" ca="1" si="207"/>
        <v/>
      </c>
      <c r="O1257" s="494" t="s">
        <v>1609</v>
      </c>
      <c r="P1257" s="555" t="str">
        <f t="shared" ca="1" si="208"/>
        <v/>
      </c>
      <c r="Q1257" s="494" t="s">
        <v>1610</v>
      </c>
      <c r="R1257" s="494" t="str">
        <f t="shared" si="212"/>
        <v>H1257</v>
      </c>
      <c r="S1257" s="494" t="s">
        <v>1611</v>
      </c>
      <c r="T1257" s="494">
        <v>6</v>
      </c>
      <c r="U1257" s="556" t="str">
        <f t="shared" ca="1" si="204"/>
        <v/>
      </c>
      <c r="V1257" s="494">
        <v>7</v>
      </c>
      <c r="W1257" s="556" t="str">
        <f t="shared" ca="1" si="205"/>
        <v/>
      </c>
      <c r="X1257" s="494" t="s">
        <v>198</v>
      </c>
      <c r="Y1257" s="547" t="str">
        <f t="shared" ca="1" si="209"/>
        <v/>
      </c>
      <c r="Z1257" s="494" t="s">
        <v>1612</v>
      </c>
      <c r="AA1257" s="547" t="str">
        <f t="shared" ca="1" si="210"/>
        <v/>
      </c>
      <c r="AB1257" s="494" t="s">
        <v>1613</v>
      </c>
      <c r="AC1257" s="547" t="str">
        <f t="shared" ca="1" si="211"/>
        <v/>
      </c>
      <c r="AD1257" s="557"/>
      <c r="AE1257" s="958"/>
    </row>
    <row r="1258" spans="1:31" ht="15" customHeight="1">
      <c r="A1258" s="957">
        <v>92</v>
      </c>
      <c r="B1258" s="566" t="s">
        <v>533</v>
      </c>
      <c r="C1258" s="567" t="s">
        <v>1595</v>
      </c>
      <c r="D1258" s="958">
        <v>1.1000000000000001</v>
      </c>
      <c r="E1258" s="959" t="s">
        <v>404</v>
      </c>
      <c r="F1258" s="558" t="s">
        <v>1499</v>
      </c>
      <c r="G1258" s="558">
        <v>863</v>
      </c>
      <c r="H1258" s="558">
        <v>24</v>
      </c>
      <c r="I1258" s="559" t="s">
        <v>646</v>
      </c>
      <c r="J1258" s="567" t="s">
        <v>1606</v>
      </c>
      <c r="K1258" s="961" t="s">
        <v>1607</v>
      </c>
      <c r="L1258" s="555" t="str">
        <f t="shared" ca="1" si="206"/>
        <v/>
      </c>
      <c r="M1258" s="494" t="s">
        <v>1608</v>
      </c>
      <c r="N1258" s="555" t="str">
        <f t="shared" ca="1" si="207"/>
        <v/>
      </c>
      <c r="O1258" s="494" t="s">
        <v>1609</v>
      </c>
      <c r="P1258" s="555" t="str">
        <f t="shared" ca="1" si="208"/>
        <v/>
      </c>
      <c r="Q1258" s="494" t="s">
        <v>1610</v>
      </c>
      <c r="R1258" s="494" t="str">
        <f t="shared" si="212"/>
        <v>H1258</v>
      </c>
      <c r="S1258" s="494" t="s">
        <v>1611</v>
      </c>
      <c r="T1258" s="494">
        <v>6</v>
      </c>
      <c r="U1258" s="556" t="str">
        <f t="shared" ca="1" si="204"/>
        <v/>
      </c>
      <c r="V1258" s="494">
        <v>7</v>
      </c>
      <c r="W1258" s="556" t="str">
        <f t="shared" ca="1" si="205"/>
        <v/>
      </c>
      <c r="X1258" s="494" t="s">
        <v>198</v>
      </c>
      <c r="Y1258" s="547" t="str">
        <f t="shared" ca="1" si="209"/>
        <v/>
      </c>
      <c r="Z1258" s="494" t="s">
        <v>1612</v>
      </c>
      <c r="AA1258" s="547" t="str">
        <f t="shared" ca="1" si="210"/>
        <v/>
      </c>
      <c r="AB1258" s="494" t="s">
        <v>1613</v>
      </c>
      <c r="AC1258" s="547" t="str">
        <f t="shared" ca="1" si="211"/>
        <v/>
      </c>
      <c r="AD1258" s="557"/>
      <c r="AE1258" s="958"/>
    </row>
    <row r="1259" spans="1:31" ht="15" customHeight="1">
      <c r="A1259" s="957">
        <v>92</v>
      </c>
      <c r="B1259" s="566" t="s">
        <v>533</v>
      </c>
      <c r="C1259" s="567" t="s">
        <v>1595</v>
      </c>
      <c r="D1259" s="958">
        <v>1.1000000000000001</v>
      </c>
      <c r="E1259" s="959" t="s">
        <v>404</v>
      </c>
      <c r="F1259" s="558" t="s">
        <v>1499</v>
      </c>
      <c r="G1259" s="558">
        <v>864</v>
      </c>
      <c r="H1259" s="558">
        <v>24.1</v>
      </c>
      <c r="I1259" s="559" t="s">
        <v>412</v>
      </c>
      <c r="J1259" s="567" t="s">
        <v>1606</v>
      </c>
      <c r="K1259" s="961" t="s">
        <v>1607</v>
      </c>
      <c r="L1259" s="555" t="str">
        <f t="shared" ca="1" si="206"/>
        <v/>
      </c>
      <c r="M1259" s="494" t="s">
        <v>1608</v>
      </c>
      <c r="N1259" s="555" t="str">
        <f t="shared" ca="1" si="207"/>
        <v/>
      </c>
      <c r="O1259" s="494" t="s">
        <v>1609</v>
      </c>
      <c r="P1259" s="555" t="str">
        <f t="shared" ca="1" si="208"/>
        <v/>
      </c>
      <c r="Q1259" s="494" t="s">
        <v>1610</v>
      </c>
      <c r="R1259" s="494" t="str">
        <f t="shared" si="212"/>
        <v>H1259</v>
      </c>
      <c r="S1259" s="494" t="s">
        <v>1611</v>
      </c>
      <c r="T1259" s="494">
        <v>6</v>
      </c>
      <c r="U1259" s="556" t="str">
        <f t="shared" ca="1" si="204"/>
        <v/>
      </c>
      <c r="V1259" s="494">
        <v>7</v>
      </c>
      <c r="W1259" s="556" t="str">
        <f t="shared" ca="1" si="205"/>
        <v/>
      </c>
      <c r="X1259" s="494" t="s">
        <v>198</v>
      </c>
      <c r="Y1259" s="547" t="str">
        <f t="shared" ca="1" si="209"/>
        <v/>
      </c>
      <c r="Z1259" s="494" t="s">
        <v>1612</v>
      </c>
      <c r="AA1259" s="547" t="str">
        <f t="shared" ca="1" si="210"/>
        <v/>
      </c>
      <c r="AB1259" s="494" t="s">
        <v>1613</v>
      </c>
      <c r="AC1259" s="547" t="str">
        <f t="shared" ca="1" si="211"/>
        <v/>
      </c>
      <c r="AD1259" s="557"/>
      <c r="AE1259" s="958"/>
    </row>
    <row r="1260" spans="1:31" ht="15" customHeight="1">
      <c r="A1260" s="957">
        <v>92</v>
      </c>
      <c r="B1260" s="566" t="s">
        <v>533</v>
      </c>
      <c r="C1260" s="567" t="s">
        <v>1595</v>
      </c>
      <c r="D1260" s="958">
        <v>1.1000000000000001</v>
      </c>
      <c r="E1260" s="959" t="s">
        <v>404</v>
      </c>
      <c r="F1260" s="558" t="s">
        <v>1499</v>
      </c>
      <c r="G1260" s="558">
        <v>865</v>
      </c>
      <c r="H1260" s="558">
        <v>25</v>
      </c>
      <c r="I1260" s="559" t="s">
        <v>415</v>
      </c>
      <c r="J1260" s="567" t="s">
        <v>1606</v>
      </c>
      <c r="K1260" s="961" t="s">
        <v>1607</v>
      </c>
      <c r="L1260" s="555" t="str">
        <f t="shared" ca="1" si="206"/>
        <v/>
      </c>
      <c r="M1260" s="494" t="s">
        <v>1608</v>
      </c>
      <c r="N1260" s="555" t="str">
        <f t="shared" ca="1" si="207"/>
        <v/>
      </c>
      <c r="O1260" s="494" t="s">
        <v>1609</v>
      </c>
      <c r="P1260" s="555" t="str">
        <f t="shared" ca="1" si="208"/>
        <v/>
      </c>
      <c r="Q1260" s="494" t="s">
        <v>1610</v>
      </c>
      <c r="R1260" s="494" t="str">
        <f t="shared" si="212"/>
        <v>H1260</v>
      </c>
      <c r="S1260" s="494" t="s">
        <v>1611</v>
      </c>
      <c r="T1260" s="494">
        <v>6</v>
      </c>
      <c r="U1260" s="556" t="str">
        <f t="shared" ca="1" si="204"/>
        <v/>
      </c>
      <c r="V1260" s="494">
        <v>7</v>
      </c>
      <c r="W1260" s="556" t="str">
        <f t="shared" ca="1" si="205"/>
        <v/>
      </c>
      <c r="X1260" s="494" t="s">
        <v>198</v>
      </c>
      <c r="Y1260" s="547" t="str">
        <f t="shared" ca="1" si="209"/>
        <v/>
      </c>
      <c r="Z1260" s="494" t="s">
        <v>1612</v>
      </c>
      <c r="AA1260" s="547" t="str">
        <f t="shared" ca="1" si="210"/>
        <v/>
      </c>
      <c r="AB1260" s="494" t="s">
        <v>1613</v>
      </c>
      <c r="AC1260" s="547" t="str">
        <f t="shared" ca="1" si="211"/>
        <v/>
      </c>
      <c r="AD1260" s="557"/>
      <c r="AE1260" s="958"/>
    </row>
    <row r="1261" spans="1:31" ht="15" customHeight="1">
      <c r="A1261" s="957">
        <v>92</v>
      </c>
      <c r="B1261" s="566" t="s">
        <v>533</v>
      </c>
      <c r="C1261" s="567" t="s">
        <v>1595</v>
      </c>
      <c r="D1261" s="958">
        <v>1.1000000000000001</v>
      </c>
      <c r="E1261" s="959" t="s">
        <v>404</v>
      </c>
      <c r="F1261" s="558" t="s">
        <v>1499</v>
      </c>
      <c r="G1261" s="558">
        <v>866</v>
      </c>
      <c r="H1261" s="558">
        <v>26</v>
      </c>
      <c r="I1261" s="559" t="s">
        <v>416</v>
      </c>
      <c r="J1261" s="567" t="s">
        <v>1606</v>
      </c>
      <c r="K1261" s="961" t="s">
        <v>1607</v>
      </c>
      <c r="L1261" s="555" t="str">
        <f t="shared" ca="1" si="206"/>
        <v/>
      </c>
      <c r="M1261" s="494" t="s">
        <v>1608</v>
      </c>
      <c r="N1261" s="555" t="str">
        <f t="shared" ca="1" si="207"/>
        <v/>
      </c>
      <c r="O1261" s="494" t="s">
        <v>1609</v>
      </c>
      <c r="P1261" s="555" t="str">
        <f t="shared" ca="1" si="208"/>
        <v/>
      </c>
      <c r="Q1261" s="494" t="s">
        <v>1610</v>
      </c>
      <c r="R1261" s="494" t="str">
        <f t="shared" si="212"/>
        <v>H1261</v>
      </c>
      <c r="S1261" s="494" t="s">
        <v>1611</v>
      </c>
      <c r="T1261" s="494">
        <v>6</v>
      </c>
      <c r="U1261" s="556" t="str">
        <f t="shared" ca="1" si="204"/>
        <v/>
      </c>
      <c r="V1261" s="494">
        <v>7</v>
      </c>
      <c r="W1261" s="556" t="str">
        <f t="shared" ca="1" si="205"/>
        <v/>
      </c>
      <c r="X1261" s="494" t="s">
        <v>198</v>
      </c>
      <c r="Y1261" s="547" t="str">
        <f t="shared" ca="1" si="209"/>
        <v/>
      </c>
      <c r="Z1261" s="494" t="s">
        <v>1612</v>
      </c>
      <c r="AA1261" s="547" t="str">
        <f t="shared" ca="1" si="210"/>
        <v/>
      </c>
      <c r="AB1261" s="494" t="s">
        <v>1613</v>
      </c>
      <c r="AC1261" s="547" t="str">
        <f t="shared" ca="1" si="211"/>
        <v/>
      </c>
      <c r="AD1261" s="557"/>
      <c r="AE1261" s="958"/>
    </row>
    <row r="1262" spans="1:31" ht="15" customHeight="1">
      <c r="A1262" s="957">
        <v>92</v>
      </c>
      <c r="B1262" s="566" t="s">
        <v>533</v>
      </c>
      <c r="C1262" s="567" t="s">
        <v>1595</v>
      </c>
      <c r="D1262" s="958">
        <v>1.1000000000000001</v>
      </c>
      <c r="E1262" s="959" t="s">
        <v>419</v>
      </c>
      <c r="F1262" s="558" t="s">
        <v>1501</v>
      </c>
      <c r="G1262" s="558">
        <v>867</v>
      </c>
      <c r="H1262" s="558" t="s">
        <v>647</v>
      </c>
      <c r="I1262" s="559" t="s">
        <v>1619</v>
      </c>
      <c r="J1262" s="567" t="s">
        <v>1606</v>
      </c>
      <c r="K1262" s="961" t="s">
        <v>1607</v>
      </c>
      <c r="L1262" s="555" t="str">
        <f t="shared" ca="1" si="206"/>
        <v/>
      </c>
      <c r="M1262" s="494" t="s">
        <v>1608</v>
      </c>
      <c r="N1262" s="555" t="str">
        <f t="shared" ca="1" si="207"/>
        <v/>
      </c>
      <c r="O1262" s="494" t="s">
        <v>1609</v>
      </c>
      <c r="P1262" s="555" t="str">
        <f t="shared" ca="1" si="208"/>
        <v/>
      </c>
      <c r="Q1262" s="494" t="s">
        <v>1610</v>
      </c>
      <c r="R1262" s="494" t="str">
        <f t="shared" si="212"/>
        <v>H1262</v>
      </c>
      <c r="S1262" s="494" t="s">
        <v>1611</v>
      </c>
      <c r="T1262" s="494">
        <v>6</v>
      </c>
      <c r="U1262" s="556" t="str">
        <f t="shared" ca="1" si="204"/>
        <v/>
      </c>
      <c r="V1262" s="494">
        <v>7</v>
      </c>
      <c r="W1262" s="556" t="str">
        <f t="shared" ca="1" si="205"/>
        <v/>
      </c>
      <c r="X1262" s="494" t="s">
        <v>198</v>
      </c>
      <c r="Y1262" s="547" t="str">
        <f t="shared" ca="1" si="209"/>
        <v/>
      </c>
      <c r="Z1262" s="494" t="s">
        <v>1612</v>
      </c>
      <c r="AA1262" s="547" t="str">
        <f t="shared" ca="1" si="210"/>
        <v/>
      </c>
      <c r="AB1262" s="494" t="s">
        <v>1613</v>
      </c>
      <c r="AC1262" s="547" t="str">
        <f t="shared" ca="1" si="211"/>
        <v/>
      </c>
      <c r="AD1262" s="557"/>
      <c r="AE1262" s="958"/>
    </row>
    <row r="1263" spans="1:31" ht="15" customHeight="1">
      <c r="A1263" s="957">
        <v>92</v>
      </c>
      <c r="B1263" s="566" t="s">
        <v>533</v>
      </c>
      <c r="C1263" s="567" t="s">
        <v>1595</v>
      </c>
      <c r="D1263" s="958">
        <v>1.1000000000000001</v>
      </c>
      <c r="E1263" s="959" t="s">
        <v>419</v>
      </c>
      <c r="F1263" s="558" t="s">
        <v>1501</v>
      </c>
      <c r="G1263" s="558">
        <v>868</v>
      </c>
      <c r="H1263" s="558" t="s">
        <v>648</v>
      </c>
      <c r="I1263" s="559" t="s">
        <v>1620</v>
      </c>
      <c r="J1263" s="567" t="s">
        <v>1606</v>
      </c>
      <c r="K1263" s="961" t="s">
        <v>1607</v>
      </c>
      <c r="L1263" s="555" t="str">
        <f t="shared" ca="1" si="206"/>
        <v/>
      </c>
      <c r="M1263" s="494" t="s">
        <v>1608</v>
      </c>
      <c r="N1263" s="555" t="str">
        <f t="shared" ca="1" si="207"/>
        <v/>
      </c>
      <c r="O1263" s="494" t="s">
        <v>1609</v>
      </c>
      <c r="P1263" s="555" t="str">
        <f t="shared" ca="1" si="208"/>
        <v/>
      </c>
      <c r="Q1263" s="494" t="s">
        <v>1610</v>
      </c>
      <c r="R1263" s="494" t="str">
        <f t="shared" si="212"/>
        <v>H1263</v>
      </c>
      <c r="S1263" s="494" t="s">
        <v>1611</v>
      </c>
      <c r="T1263" s="494">
        <v>6</v>
      </c>
      <c r="U1263" s="556" t="str">
        <f t="shared" ca="1" si="204"/>
        <v/>
      </c>
      <c r="V1263" s="494">
        <v>7</v>
      </c>
      <c r="W1263" s="556" t="str">
        <f t="shared" ca="1" si="205"/>
        <v/>
      </c>
      <c r="X1263" s="494" t="s">
        <v>198</v>
      </c>
      <c r="Y1263" s="547" t="str">
        <f t="shared" ca="1" si="209"/>
        <v/>
      </c>
      <c r="Z1263" s="494" t="s">
        <v>1612</v>
      </c>
      <c r="AA1263" s="547" t="str">
        <f t="shared" ca="1" si="210"/>
        <v/>
      </c>
      <c r="AB1263" s="494" t="s">
        <v>1613</v>
      </c>
      <c r="AC1263" s="547" t="str">
        <f t="shared" ca="1" si="211"/>
        <v/>
      </c>
      <c r="AD1263" s="557"/>
      <c r="AE1263" s="958"/>
    </row>
    <row r="1264" spans="1:31" ht="15" customHeight="1">
      <c r="A1264" s="957">
        <v>92</v>
      </c>
      <c r="B1264" s="566" t="s">
        <v>533</v>
      </c>
      <c r="C1264" s="567" t="s">
        <v>1595</v>
      </c>
      <c r="D1264" s="958">
        <v>1.1000000000000001</v>
      </c>
      <c r="E1264" s="959" t="s">
        <v>419</v>
      </c>
      <c r="F1264" s="558" t="s">
        <v>1501</v>
      </c>
      <c r="G1264" s="558">
        <v>869</v>
      </c>
      <c r="H1264" s="558" t="s">
        <v>649</v>
      </c>
      <c r="I1264" s="559" t="s">
        <v>1621</v>
      </c>
      <c r="J1264" s="567" t="s">
        <v>1606</v>
      </c>
      <c r="K1264" s="961" t="s">
        <v>1607</v>
      </c>
      <c r="L1264" s="555" t="str">
        <f t="shared" ca="1" si="206"/>
        <v/>
      </c>
      <c r="M1264" s="494" t="s">
        <v>1608</v>
      </c>
      <c r="N1264" s="555" t="str">
        <f t="shared" ca="1" si="207"/>
        <v/>
      </c>
      <c r="O1264" s="494" t="s">
        <v>1609</v>
      </c>
      <c r="P1264" s="555" t="str">
        <f t="shared" ca="1" si="208"/>
        <v/>
      </c>
      <c r="Q1264" s="494" t="s">
        <v>1610</v>
      </c>
      <c r="R1264" s="494" t="str">
        <f t="shared" si="212"/>
        <v>H1264</v>
      </c>
      <c r="S1264" s="494" t="s">
        <v>1611</v>
      </c>
      <c r="T1264" s="494">
        <v>6</v>
      </c>
      <c r="U1264" s="556" t="str">
        <f t="shared" ca="1" si="204"/>
        <v/>
      </c>
      <c r="V1264" s="494">
        <v>7</v>
      </c>
      <c r="W1264" s="556" t="str">
        <f t="shared" ca="1" si="205"/>
        <v/>
      </c>
      <c r="X1264" s="494" t="s">
        <v>198</v>
      </c>
      <c r="Y1264" s="547" t="str">
        <f t="shared" ca="1" si="209"/>
        <v/>
      </c>
      <c r="Z1264" s="494" t="s">
        <v>1612</v>
      </c>
      <c r="AA1264" s="547" t="str">
        <f t="shared" ca="1" si="210"/>
        <v/>
      </c>
      <c r="AB1264" s="494" t="s">
        <v>1613</v>
      </c>
      <c r="AC1264" s="547" t="str">
        <f t="shared" ca="1" si="211"/>
        <v/>
      </c>
      <c r="AD1264" s="557"/>
      <c r="AE1264" s="958"/>
    </row>
    <row r="1265" spans="1:31" ht="15" customHeight="1">
      <c r="A1265" s="957">
        <v>92</v>
      </c>
      <c r="B1265" s="566" t="s">
        <v>533</v>
      </c>
      <c r="C1265" s="567" t="s">
        <v>1595</v>
      </c>
      <c r="D1265" s="958">
        <v>1.1000000000000001</v>
      </c>
      <c r="E1265" s="959" t="s">
        <v>419</v>
      </c>
      <c r="F1265" s="558" t="s">
        <v>1501</v>
      </c>
      <c r="G1265" s="558">
        <v>870</v>
      </c>
      <c r="H1265" s="558" t="s">
        <v>650</v>
      </c>
      <c r="I1265" s="559" t="s">
        <v>426</v>
      </c>
      <c r="J1265" s="567" t="s">
        <v>1606</v>
      </c>
      <c r="K1265" s="961" t="s">
        <v>1607</v>
      </c>
      <c r="L1265" s="555" t="str">
        <f t="shared" ca="1" si="206"/>
        <v/>
      </c>
      <c r="M1265" s="494" t="s">
        <v>1608</v>
      </c>
      <c r="N1265" s="555" t="str">
        <f t="shared" ca="1" si="207"/>
        <v/>
      </c>
      <c r="O1265" s="494" t="s">
        <v>1609</v>
      </c>
      <c r="P1265" s="555" t="str">
        <f t="shared" ca="1" si="208"/>
        <v/>
      </c>
      <c r="Q1265" s="494" t="s">
        <v>1610</v>
      </c>
      <c r="R1265" s="494" t="str">
        <f t="shared" si="212"/>
        <v>H1265</v>
      </c>
      <c r="S1265" s="494" t="s">
        <v>1611</v>
      </c>
      <c r="T1265" s="494">
        <v>6</v>
      </c>
      <c r="U1265" s="556" t="str">
        <f t="shared" ca="1" si="204"/>
        <v/>
      </c>
      <c r="V1265" s="494">
        <v>7</v>
      </c>
      <c r="W1265" s="556" t="str">
        <f t="shared" ca="1" si="205"/>
        <v/>
      </c>
      <c r="X1265" s="494" t="s">
        <v>198</v>
      </c>
      <c r="Y1265" s="547" t="str">
        <f t="shared" ca="1" si="209"/>
        <v/>
      </c>
      <c r="Z1265" s="494" t="s">
        <v>1612</v>
      </c>
      <c r="AA1265" s="547" t="str">
        <f t="shared" ca="1" si="210"/>
        <v/>
      </c>
      <c r="AB1265" s="494" t="s">
        <v>1613</v>
      </c>
      <c r="AC1265" s="547" t="str">
        <f t="shared" ca="1" si="211"/>
        <v/>
      </c>
      <c r="AD1265" s="557"/>
      <c r="AE1265" s="958"/>
    </row>
    <row r="1266" spans="1:31" ht="15" customHeight="1">
      <c r="A1266" s="957">
        <v>92</v>
      </c>
      <c r="B1266" s="566" t="s">
        <v>533</v>
      </c>
      <c r="C1266" s="567" t="s">
        <v>1595</v>
      </c>
      <c r="D1266" s="958">
        <v>1.1000000000000001</v>
      </c>
      <c r="E1266" s="959" t="s">
        <v>419</v>
      </c>
      <c r="F1266" s="558" t="s">
        <v>1501</v>
      </c>
      <c r="G1266" s="558">
        <v>870</v>
      </c>
      <c r="H1266" s="558" t="s">
        <v>651</v>
      </c>
      <c r="I1266" s="559" t="s">
        <v>428</v>
      </c>
      <c r="J1266" s="567" t="s">
        <v>1606</v>
      </c>
      <c r="K1266" s="961" t="s">
        <v>1607</v>
      </c>
      <c r="L1266" s="555" t="str">
        <f t="shared" ca="1" si="206"/>
        <v/>
      </c>
      <c r="M1266" s="494" t="s">
        <v>1608</v>
      </c>
      <c r="N1266" s="555" t="str">
        <f t="shared" ca="1" si="207"/>
        <v/>
      </c>
      <c r="O1266" s="494" t="s">
        <v>1609</v>
      </c>
      <c r="P1266" s="555" t="str">
        <f t="shared" ca="1" si="208"/>
        <v/>
      </c>
      <c r="Q1266" s="494" t="s">
        <v>1610</v>
      </c>
      <c r="R1266" s="494" t="str">
        <f t="shared" si="212"/>
        <v>H1266</v>
      </c>
      <c r="S1266" s="494" t="s">
        <v>1611</v>
      </c>
      <c r="T1266" s="494">
        <v>6</v>
      </c>
      <c r="U1266" s="556" t="str">
        <f t="shared" ca="1" si="204"/>
        <v/>
      </c>
      <c r="V1266" s="494">
        <v>7</v>
      </c>
      <c r="W1266" s="556" t="str">
        <f t="shared" ca="1" si="205"/>
        <v/>
      </c>
      <c r="X1266" s="494" t="s">
        <v>198</v>
      </c>
      <c r="Y1266" s="547" t="str">
        <f t="shared" ca="1" si="209"/>
        <v/>
      </c>
      <c r="Z1266" s="494" t="s">
        <v>1612</v>
      </c>
      <c r="AA1266" s="547" t="str">
        <f t="shared" ca="1" si="210"/>
        <v/>
      </c>
      <c r="AB1266" s="494" t="s">
        <v>1613</v>
      </c>
      <c r="AC1266" s="547" t="str">
        <f t="shared" ca="1" si="211"/>
        <v/>
      </c>
      <c r="AD1266" s="557"/>
      <c r="AE1266" s="958"/>
    </row>
    <row r="1267" spans="1:31" ht="15" customHeight="1">
      <c r="A1267" s="957">
        <v>100</v>
      </c>
      <c r="B1267" s="566" t="s">
        <v>535</v>
      </c>
      <c r="C1267" s="567" t="s">
        <v>1595</v>
      </c>
      <c r="D1267" s="958">
        <v>1.2</v>
      </c>
      <c r="E1267" s="959" t="s">
        <v>254</v>
      </c>
      <c r="F1267" s="558" t="s">
        <v>1444</v>
      </c>
      <c r="G1267" s="558">
        <v>813</v>
      </c>
      <c r="H1267" s="558">
        <v>1</v>
      </c>
      <c r="I1267" s="559" t="s">
        <v>492</v>
      </c>
      <c r="J1267" s="567" t="s">
        <v>1606</v>
      </c>
      <c r="K1267" s="961" t="s">
        <v>1607</v>
      </c>
      <c r="L1267" s="555" t="str">
        <f t="shared" ca="1" si="206"/>
        <v/>
      </c>
      <c r="M1267" s="494" t="s">
        <v>1608</v>
      </c>
      <c r="N1267" s="555" t="str">
        <f t="shared" ca="1" si="207"/>
        <v/>
      </c>
      <c r="O1267" s="494" t="s">
        <v>1609</v>
      </c>
      <c r="P1267" s="555" t="str">
        <f t="shared" ca="1" si="208"/>
        <v/>
      </c>
      <c r="Q1267" s="494" t="s">
        <v>1610</v>
      </c>
      <c r="R1267" s="494" t="str">
        <f t="shared" si="212"/>
        <v>H1267</v>
      </c>
      <c r="S1267" s="494" t="s">
        <v>1611</v>
      </c>
      <c r="T1267" s="494">
        <v>6</v>
      </c>
      <c r="U1267" s="556" t="str">
        <f t="shared" ca="1" si="204"/>
        <v/>
      </c>
      <c r="V1267" s="494">
        <v>7</v>
      </c>
      <c r="W1267" s="556" t="str">
        <f t="shared" ca="1" si="205"/>
        <v/>
      </c>
      <c r="X1267" s="494" t="s">
        <v>198</v>
      </c>
      <c r="Y1267" s="547" t="str">
        <f t="shared" ca="1" si="209"/>
        <v/>
      </c>
      <c r="Z1267" s="494" t="s">
        <v>1612</v>
      </c>
      <c r="AA1267" s="547" t="str">
        <f t="shared" ca="1" si="210"/>
        <v/>
      </c>
      <c r="AB1267" s="494" t="s">
        <v>1613</v>
      </c>
      <c r="AC1267" s="547" t="str">
        <f t="shared" ca="1" si="211"/>
        <v/>
      </c>
      <c r="AD1267" s="557"/>
      <c r="AE1267" s="958"/>
    </row>
    <row r="1268" spans="1:31" ht="15" customHeight="1">
      <c r="A1268" s="957">
        <v>100</v>
      </c>
      <c r="B1268" s="566" t="s">
        <v>535</v>
      </c>
      <c r="C1268" s="567" t="s">
        <v>1595</v>
      </c>
      <c r="D1268" s="958">
        <v>1.2</v>
      </c>
      <c r="E1268" s="959" t="s">
        <v>254</v>
      </c>
      <c r="F1268" s="558" t="s">
        <v>1444</v>
      </c>
      <c r="G1268" s="558">
        <v>814</v>
      </c>
      <c r="H1268" s="558">
        <v>2</v>
      </c>
      <c r="I1268" s="559" t="s">
        <v>263</v>
      </c>
      <c r="J1268" s="567" t="s">
        <v>1606</v>
      </c>
      <c r="K1268" s="961" t="s">
        <v>1607</v>
      </c>
      <c r="L1268" s="555" t="str">
        <f t="shared" ca="1" si="206"/>
        <v/>
      </c>
      <c r="M1268" s="494" t="s">
        <v>1608</v>
      </c>
      <c r="N1268" s="555" t="str">
        <f t="shared" ca="1" si="207"/>
        <v/>
      </c>
      <c r="O1268" s="494" t="s">
        <v>1609</v>
      </c>
      <c r="P1268" s="555" t="str">
        <f t="shared" ca="1" si="208"/>
        <v/>
      </c>
      <c r="Q1268" s="494" t="s">
        <v>1610</v>
      </c>
      <c r="R1268" s="494" t="str">
        <f t="shared" si="212"/>
        <v>H1268</v>
      </c>
      <c r="S1268" s="494" t="s">
        <v>1611</v>
      </c>
      <c r="T1268" s="494">
        <v>6</v>
      </c>
      <c r="U1268" s="556" t="str">
        <f t="shared" ca="1" si="204"/>
        <v/>
      </c>
      <c r="V1268" s="494">
        <v>7</v>
      </c>
      <c r="W1268" s="556" t="str">
        <f t="shared" ca="1" si="205"/>
        <v/>
      </c>
      <c r="X1268" s="494" t="s">
        <v>198</v>
      </c>
      <c r="Y1268" s="547" t="str">
        <f t="shared" ca="1" si="209"/>
        <v/>
      </c>
      <c r="Z1268" s="494" t="s">
        <v>1612</v>
      </c>
      <c r="AA1268" s="547" t="str">
        <f t="shared" ca="1" si="210"/>
        <v/>
      </c>
      <c r="AB1268" s="494" t="s">
        <v>1613</v>
      </c>
      <c r="AC1268" s="547" t="str">
        <f t="shared" ca="1" si="211"/>
        <v/>
      </c>
      <c r="AD1268" s="557"/>
      <c r="AE1268" s="958"/>
    </row>
    <row r="1269" spans="1:31" ht="15" customHeight="1">
      <c r="A1269" s="957">
        <v>100</v>
      </c>
      <c r="B1269" s="566" t="s">
        <v>535</v>
      </c>
      <c r="C1269" s="567" t="s">
        <v>1595</v>
      </c>
      <c r="D1269" s="958">
        <v>1.2</v>
      </c>
      <c r="E1269" s="959" t="s">
        <v>254</v>
      </c>
      <c r="F1269" s="558" t="s">
        <v>1444</v>
      </c>
      <c r="G1269" s="558">
        <v>815</v>
      </c>
      <c r="H1269" s="558">
        <v>2.1</v>
      </c>
      <c r="I1269" s="559" t="s">
        <v>270</v>
      </c>
      <c r="J1269" s="567" t="s">
        <v>1606</v>
      </c>
      <c r="K1269" s="961" t="s">
        <v>1607</v>
      </c>
      <c r="L1269" s="555" t="str">
        <f t="shared" ca="1" si="206"/>
        <v/>
      </c>
      <c r="M1269" s="494" t="s">
        <v>1608</v>
      </c>
      <c r="N1269" s="555" t="str">
        <f t="shared" ca="1" si="207"/>
        <v/>
      </c>
      <c r="O1269" s="494" t="s">
        <v>1609</v>
      </c>
      <c r="P1269" s="555" t="str">
        <f t="shared" ca="1" si="208"/>
        <v/>
      </c>
      <c r="Q1269" s="494" t="s">
        <v>1610</v>
      </c>
      <c r="R1269" s="494" t="str">
        <f t="shared" si="212"/>
        <v>H1269</v>
      </c>
      <c r="S1269" s="494" t="s">
        <v>1611</v>
      </c>
      <c r="T1269" s="494">
        <v>6</v>
      </c>
      <c r="U1269" s="556" t="str">
        <f t="shared" ca="1" si="204"/>
        <v/>
      </c>
      <c r="V1269" s="494">
        <v>7</v>
      </c>
      <c r="W1269" s="556" t="str">
        <f t="shared" ca="1" si="205"/>
        <v/>
      </c>
      <c r="X1269" s="494" t="s">
        <v>198</v>
      </c>
      <c r="Y1269" s="547" t="str">
        <f t="shared" ca="1" si="209"/>
        <v/>
      </c>
      <c r="Z1269" s="494" t="s">
        <v>1612</v>
      </c>
      <c r="AA1269" s="547" t="str">
        <f t="shared" ca="1" si="210"/>
        <v/>
      </c>
      <c r="AB1269" s="494" t="s">
        <v>1613</v>
      </c>
      <c r="AC1269" s="547" t="str">
        <f t="shared" ca="1" si="211"/>
        <v/>
      </c>
      <c r="AD1269" s="557"/>
      <c r="AE1269" s="958"/>
    </row>
    <row r="1270" spans="1:31" ht="15" customHeight="1">
      <c r="A1270" s="957">
        <v>100</v>
      </c>
      <c r="B1270" s="566" t="s">
        <v>535</v>
      </c>
      <c r="C1270" s="567" t="s">
        <v>1595</v>
      </c>
      <c r="D1270" s="958">
        <v>1.2</v>
      </c>
      <c r="E1270" s="959" t="s">
        <v>254</v>
      </c>
      <c r="F1270" s="558" t="s">
        <v>1444</v>
      </c>
      <c r="G1270" s="558">
        <v>816</v>
      </c>
      <c r="H1270" s="558">
        <v>2.2000000000000002</v>
      </c>
      <c r="I1270" s="559" t="s">
        <v>542</v>
      </c>
      <c r="J1270" s="567" t="s">
        <v>1606</v>
      </c>
      <c r="K1270" s="961" t="s">
        <v>1607</v>
      </c>
      <c r="L1270" s="555" t="str">
        <f t="shared" ca="1" si="206"/>
        <v/>
      </c>
      <c r="M1270" s="494" t="s">
        <v>1608</v>
      </c>
      <c r="N1270" s="555" t="str">
        <f t="shared" ca="1" si="207"/>
        <v/>
      </c>
      <c r="O1270" s="494" t="s">
        <v>1609</v>
      </c>
      <c r="P1270" s="555" t="str">
        <f t="shared" ca="1" si="208"/>
        <v/>
      </c>
      <c r="Q1270" s="494" t="s">
        <v>1610</v>
      </c>
      <c r="R1270" s="494" t="str">
        <f t="shared" si="212"/>
        <v>H1270</v>
      </c>
      <c r="S1270" s="494" t="s">
        <v>1611</v>
      </c>
      <c r="T1270" s="494">
        <v>6</v>
      </c>
      <c r="U1270" s="556" t="str">
        <f t="shared" ca="1" si="204"/>
        <v/>
      </c>
      <c r="V1270" s="494">
        <v>7</v>
      </c>
      <c r="W1270" s="556" t="str">
        <f t="shared" ca="1" si="205"/>
        <v/>
      </c>
      <c r="X1270" s="494" t="s">
        <v>198</v>
      </c>
      <c r="Y1270" s="547" t="str">
        <f t="shared" ca="1" si="209"/>
        <v/>
      </c>
      <c r="Z1270" s="494" t="s">
        <v>1612</v>
      </c>
      <c r="AA1270" s="547" t="str">
        <f t="shared" ca="1" si="210"/>
        <v/>
      </c>
      <c r="AB1270" s="494" t="s">
        <v>1613</v>
      </c>
      <c r="AC1270" s="547" t="str">
        <f t="shared" ca="1" si="211"/>
        <v/>
      </c>
      <c r="AD1270" s="557"/>
      <c r="AE1270" s="958"/>
    </row>
    <row r="1271" spans="1:31" ht="15" customHeight="1">
      <c r="A1271" s="957">
        <v>100</v>
      </c>
      <c r="B1271" s="566" t="s">
        <v>535</v>
      </c>
      <c r="C1271" s="567" t="s">
        <v>1595</v>
      </c>
      <c r="D1271" s="958">
        <v>1.2</v>
      </c>
      <c r="E1271" s="959" t="s">
        <v>254</v>
      </c>
      <c r="F1271" s="558" t="s">
        <v>1444</v>
      </c>
      <c r="G1271" s="558">
        <v>817</v>
      </c>
      <c r="H1271" s="558">
        <v>2.2999999999999998</v>
      </c>
      <c r="I1271" s="559" t="s">
        <v>543</v>
      </c>
      <c r="J1271" s="567" t="s">
        <v>1606</v>
      </c>
      <c r="K1271" s="961" t="s">
        <v>1607</v>
      </c>
      <c r="L1271" s="555" t="str">
        <f t="shared" ca="1" si="206"/>
        <v/>
      </c>
      <c r="M1271" s="494" t="s">
        <v>1608</v>
      </c>
      <c r="N1271" s="555" t="str">
        <f t="shared" ca="1" si="207"/>
        <v/>
      </c>
      <c r="O1271" s="494" t="s">
        <v>1609</v>
      </c>
      <c r="P1271" s="555" t="str">
        <f t="shared" ca="1" si="208"/>
        <v/>
      </c>
      <c r="Q1271" s="494" t="s">
        <v>1610</v>
      </c>
      <c r="R1271" s="494" t="str">
        <f t="shared" si="212"/>
        <v>H1271</v>
      </c>
      <c r="S1271" s="494" t="s">
        <v>1611</v>
      </c>
      <c r="T1271" s="494">
        <v>6</v>
      </c>
      <c r="U1271" s="556" t="str">
        <f t="shared" ca="1" si="204"/>
        <v/>
      </c>
      <c r="V1271" s="494">
        <v>7</v>
      </c>
      <c r="W1271" s="556" t="str">
        <f t="shared" ca="1" si="205"/>
        <v/>
      </c>
      <c r="X1271" s="494" t="s">
        <v>198</v>
      </c>
      <c r="Y1271" s="547" t="str">
        <f t="shared" ca="1" si="209"/>
        <v/>
      </c>
      <c r="Z1271" s="494" t="s">
        <v>1612</v>
      </c>
      <c r="AA1271" s="547" t="str">
        <f t="shared" ca="1" si="210"/>
        <v/>
      </c>
      <c r="AB1271" s="494" t="s">
        <v>1613</v>
      </c>
      <c r="AC1271" s="547" t="str">
        <f t="shared" ca="1" si="211"/>
        <v/>
      </c>
      <c r="AD1271" s="557"/>
      <c r="AE1271" s="958"/>
    </row>
    <row r="1272" spans="1:31" ht="15" customHeight="1">
      <c r="A1272" s="957">
        <v>100</v>
      </c>
      <c r="B1272" s="566" t="s">
        <v>535</v>
      </c>
      <c r="C1272" s="567" t="s">
        <v>1595</v>
      </c>
      <c r="D1272" s="958">
        <v>1.2</v>
      </c>
      <c r="E1272" s="959" t="s">
        <v>254</v>
      </c>
      <c r="F1272" s="558" t="s">
        <v>1444</v>
      </c>
      <c r="G1272" s="558">
        <v>818</v>
      </c>
      <c r="H1272" s="558">
        <v>2.4</v>
      </c>
      <c r="I1272" s="559" t="s">
        <v>281</v>
      </c>
      <c r="J1272" s="567" t="s">
        <v>1606</v>
      </c>
      <c r="K1272" s="961" t="s">
        <v>1607</v>
      </c>
      <c r="L1272" s="555" t="str">
        <f t="shared" ca="1" si="206"/>
        <v/>
      </c>
      <c r="M1272" s="494" t="s">
        <v>1608</v>
      </c>
      <c r="N1272" s="555" t="str">
        <f t="shared" ca="1" si="207"/>
        <v/>
      </c>
      <c r="O1272" s="494" t="s">
        <v>1609</v>
      </c>
      <c r="P1272" s="555" t="str">
        <f t="shared" ca="1" si="208"/>
        <v/>
      </c>
      <c r="Q1272" s="494" t="s">
        <v>1610</v>
      </c>
      <c r="R1272" s="494" t="str">
        <f t="shared" si="212"/>
        <v>H1272</v>
      </c>
      <c r="S1272" s="494" t="s">
        <v>1611</v>
      </c>
      <c r="T1272" s="494">
        <v>6</v>
      </c>
      <c r="U1272" s="556" t="str">
        <f t="shared" ca="1" si="204"/>
        <v/>
      </c>
      <c r="V1272" s="494">
        <v>7</v>
      </c>
      <c r="W1272" s="556" t="str">
        <f t="shared" ca="1" si="205"/>
        <v/>
      </c>
      <c r="X1272" s="494" t="s">
        <v>198</v>
      </c>
      <c r="Y1272" s="547" t="str">
        <f t="shared" ca="1" si="209"/>
        <v/>
      </c>
      <c r="Z1272" s="494" t="s">
        <v>1612</v>
      </c>
      <c r="AA1272" s="547" t="str">
        <f t="shared" ca="1" si="210"/>
        <v/>
      </c>
      <c r="AB1272" s="494" t="s">
        <v>1613</v>
      </c>
      <c r="AC1272" s="547" t="str">
        <f t="shared" ca="1" si="211"/>
        <v/>
      </c>
      <c r="AD1272" s="557"/>
      <c r="AE1272" s="958"/>
    </row>
    <row r="1273" spans="1:31" ht="15" customHeight="1">
      <c r="A1273" s="957">
        <v>100</v>
      </c>
      <c r="B1273" s="566" t="s">
        <v>535</v>
      </c>
      <c r="C1273" s="567" t="s">
        <v>1595</v>
      </c>
      <c r="D1273" s="958">
        <v>1.2</v>
      </c>
      <c r="E1273" s="959" t="s">
        <v>254</v>
      </c>
      <c r="F1273" s="558" t="s">
        <v>1444</v>
      </c>
      <c r="G1273" s="558">
        <v>903</v>
      </c>
      <c r="H1273" s="558">
        <v>3.1</v>
      </c>
      <c r="I1273" s="559" t="s">
        <v>74</v>
      </c>
      <c r="J1273" s="567" t="s">
        <v>1606</v>
      </c>
      <c r="K1273" s="961" t="s">
        <v>1607</v>
      </c>
      <c r="L1273" s="555" t="str">
        <f t="shared" ca="1" si="206"/>
        <v/>
      </c>
      <c r="M1273" s="494" t="s">
        <v>1608</v>
      </c>
      <c r="N1273" s="555" t="str">
        <f t="shared" ca="1" si="207"/>
        <v/>
      </c>
      <c r="O1273" s="494" t="s">
        <v>1609</v>
      </c>
      <c r="P1273" s="555" t="str">
        <f t="shared" ca="1" si="208"/>
        <v/>
      </c>
      <c r="Q1273" s="494" t="s">
        <v>1610</v>
      </c>
      <c r="R1273" s="494" t="str">
        <f t="shared" si="212"/>
        <v>H1273</v>
      </c>
      <c r="S1273" s="494" t="s">
        <v>1611</v>
      </c>
      <c r="T1273" s="494">
        <v>6</v>
      </c>
      <c r="U1273" s="556" t="str">
        <f t="shared" ca="1" si="204"/>
        <v/>
      </c>
      <c r="V1273" s="494">
        <v>7</v>
      </c>
      <c r="W1273" s="556" t="str">
        <f t="shared" ca="1" si="205"/>
        <v/>
      </c>
      <c r="X1273" s="494" t="s">
        <v>198</v>
      </c>
      <c r="Y1273" s="547" t="str">
        <f t="shared" ca="1" si="209"/>
        <v/>
      </c>
      <c r="Z1273" s="494" t="s">
        <v>1612</v>
      </c>
      <c r="AA1273" s="547" t="str">
        <f t="shared" ca="1" si="210"/>
        <v/>
      </c>
      <c r="AB1273" s="494" t="s">
        <v>1613</v>
      </c>
      <c r="AC1273" s="547" t="str">
        <f t="shared" ca="1" si="211"/>
        <v/>
      </c>
      <c r="AD1273" s="557"/>
      <c r="AE1273" s="958"/>
    </row>
    <row r="1274" spans="1:31" ht="15" customHeight="1">
      <c r="A1274" s="957">
        <v>100</v>
      </c>
      <c r="B1274" s="566" t="s">
        <v>535</v>
      </c>
      <c r="C1274" s="567" t="s">
        <v>1595</v>
      </c>
      <c r="D1274" s="958">
        <v>1.2</v>
      </c>
      <c r="E1274" s="959" t="s">
        <v>254</v>
      </c>
      <c r="F1274" s="558" t="s">
        <v>1444</v>
      </c>
      <c r="G1274" s="558">
        <v>821</v>
      </c>
      <c r="H1274" s="558">
        <v>4.0999999999999996</v>
      </c>
      <c r="I1274" s="559" t="s">
        <v>546</v>
      </c>
      <c r="J1274" s="567" t="s">
        <v>1606</v>
      </c>
      <c r="K1274" s="961" t="s">
        <v>1607</v>
      </c>
      <c r="L1274" s="555" t="str">
        <f t="shared" ca="1" si="206"/>
        <v/>
      </c>
      <c r="M1274" s="494" t="s">
        <v>1608</v>
      </c>
      <c r="N1274" s="555" t="str">
        <f t="shared" ca="1" si="207"/>
        <v/>
      </c>
      <c r="O1274" s="494" t="s">
        <v>1609</v>
      </c>
      <c r="P1274" s="555" t="str">
        <f t="shared" ca="1" si="208"/>
        <v/>
      </c>
      <c r="Q1274" s="494" t="s">
        <v>1610</v>
      </c>
      <c r="R1274" s="494" t="str">
        <f t="shared" si="212"/>
        <v>H1274</v>
      </c>
      <c r="S1274" s="494" t="s">
        <v>1611</v>
      </c>
      <c r="T1274" s="494">
        <v>6</v>
      </c>
      <c r="U1274" s="556" t="str">
        <f t="shared" ca="1" si="204"/>
        <v/>
      </c>
      <c r="V1274" s="494">
        <v>7</v>
      </c>
      <c r="W1274" s="556" t="str">
        <f t="shared" ca="1" si="205"/>
        <v/>
      </c>
      <c r="X1274" s="494" t="s">
        <v>198</v>
      </c>
      <c r="Y1274" s="547" t="str">
        <f t="shared" ca="1" si="209"/>
        <v/>
      </c>
      <c r="Z1274" s="494" t="s">
        <v>1612</v>
      </c>
      <c r="AA1274" s="547" t="str">
        <f t="shared" ca="1" si="210"/>
        <v/>
      </c>
      <c r="AB1274" s="494" t="s">
        <v>1613</v>
      </c>
      <c r="AC1274" s="547" t="str">
        <f t="shared" ca="1" si="211"/>
        <v/>
      </c>
      <c r="AD1274" s="557"/>
      <c r="AE1274" s="958"/>
    </row>
    <row r="1275" spans="1:31" ht="15" customHeight="1">
      <c r="A1275" s="957">
        <v>100</v>
      </c>
      <c r="B1275" s="566" t="s">
        <v>535</v>
      </c>
      <c r="C1275" s="567" t="s">
        <v>1595</v>
      </c>
      <c r="D1275" s="958">
        <v>1.2</v>
      </c>
      <c r="E1275" s="959" t="s">
        <v>254</v>
      </c>
      <c r="F1275" s="558" t="s">
        <v>1444</v>
      </c>
      <c r="G1275" s="558">
        <v>822</v>
      </c>
      <c r="H1275" s="558">
        <v>4.2</v>
      </c>
      <c r="I1275" s="559" t="s">
        <v>291</v>
      </c>
      <c r="J1275" s="567" t="s">
        <v>1606</v>
      </c>
      <c r="K1275" s="961" t="s">
        <v>1607</v>
      </c>
      <c r="L1275" s="555" t="str">
        <f t="shared" ca="1" si="206"/>
        <v/>
      </c>
      <c r="M1275" s="494" t="s">
        <v>1608</v>
      </c>
      <c r="N1275" s="555" t="str">
        <f t="shared" ca="1" si="207"/>
        <v/>
      </c>
      <c r="O1275" s="494" t="s">
        <v>1609</v>
      </c>
      <c r="P1275" s="555" t="str">
        <f t="shared" ca="1" si="208"/>
        <v/>
      </c>
      <c r="Q1275" s="494" t="s">
        <v>1610</v>
      </c>
      <c r="R1275" s="494" t="str">
        <f t="shared" si="212"/>
        <v>H1275</v>
      </c>
      <c r="S1275" s="494" t="s">
        <v>1611</v>
      </c>
      <c r="T1275" s="494">
        <v>6</v>
      </c>
      <c r="U1275" s="556" t="str">
        <f t="shared" ca="1" si="204"/>
        <v/>
      </c>
      <c r="V1275" s="494">
        <v>7</v>
      </c>
      <c r="W1275" s="556" t="str">
        <f t="shared" ca="1" si="205"/>
        <v/>
      </c>
      <c r="X1275" s="494" t="s">
        <v>198</v>
      </c>
      <c r="Y1275" s="547" t="str">
        <f t="shared" ca="1" si="209"/>
        <v/>
      </c>
      <c r="Z1275" s="494" t="s">
        <v>1612</v>
      </c>
      <c r="AA1275" s="547" t="str">
        <f t="shared" ca="1" si="210"/>
        <v/>
      </c>
      <c r="AB1275" s="494" t="s">
        <v>1613</v>
      </c>
      <c r="AC1275" s="547" t="str">
        <f t="shared" ca="1" si="211"/>
        <v/>
      </c>
      <c r="AD1275" s="557"/>
      <c r="AE1275" s="958"/>
    </row>
    <row r="1276" spans="1:31" ht="15" customHeight="1">
      <c r="A1276" s="957">
        <v>100</v>
      </c>
      <c r="B1276" s="566" t="s">
        <v>535</v>
      </c>
      <c r="C1276" s="567" t="s">
        <v>1595</v>
      </c>
      <c r="D1276" s="958">
        <v>1.2</v>
      </c>
      <c r="E1276" s="959" t="s">
        <v>254</v>
      </c>
      <c r="F1276" s="558" t="s">
        <v>1444</v>
      </c>
      <c r="G1276" s="558">
        <v>823</v>
      </c>
      <c r="H1276" s="558">
        <v>4.3</v>
      </c>
      <c r="I1276" s="559" t="s">
        <v>547</v>
      </c>
      <c r="J1276" s="567" t="s">
        <v>1606</v>
      </c>
      <c r="K1276" s="961" t="s">
        <v>1607</v>
      </c>
      <c r="L1276" s="555" t="str">
        <f t="shared" ca="1" si="206"/>
        <v/>
      </c>
      <c r="M1276" s="494" t="s">
        <v>1608</v>
      </c>
      <c r="N1276" s="555" t="str">
        <f t="shared" ca="1" si="207"/>
        <v/>
      </c>
      <c r="O1276" s="494" t="s">
        <v>1609</v>
      </c>
      <c r="P1276" s="555" t="str">
        <f t="shared" ca="1" si="208"/>
        <v/>
      </c>
      <c r="Q1276" s="494" t="s">
        <v>1610</v>
      </c>
      <c r="R1276" s="494" t="str">
        <f t="shared" si="212"/>
        <v>H1276</v>
      </c>
      <c r="S1276" s="494" t="s">
        <v>1611</v>
      </c>
      <c r="T1276" s="494">
        <v>6</v>
      </c>
      <c r="U1276" s="556" t="str">
        <f t="shared" ca="1" si="204"/>
        <v/>
      </c>
      <c r="V1276" s="494">
        <v>7</v>
      </c>
      <c r="W1276" s="556" t="str">
        <f t="shared" ca="1" si="205"/>
        <v/>
      </c>
      <c r="X1276" s="494" t="s">
        <v>198</v>
      </c>
      <c r="Y1276" s="547" t="str">
        <f t="shared" ca="1" si="209"/>
        <v/>
      </c>
      <c r="Z1276" s="494" t="s">
        <v>1612</v>
      </c>
      <c r="AA1276" s="547" t="str">
        <f t="shared" ca="1" si="210"/>
        <v/>
      </c>
      <c r="AB1276" s="494" t="s">
        <v>1613</v>
      </c>
      <c r="AC1276" s="547" t="str">
        <f t="shared" ca="1" si="211"/>
        <v/>
      </c>
      <c r="AD1276" s="557"/>
      <c r="AE1276" s="958"/>
    </row>
    <row r="1277" spans="1:31" ht="15" customHeight="1">
      <c r="A1277" s="957">
        <v>100</v>
      </c>
      <c r="B1277" s="566" t="s">
        <v>535</v>
      </c>
      <c r="C1277" s="567" t="s">
        <v>1595</v>
      </c>
      <c r="D1277" s="958">
        <v>1.2</v>
      </c>
      <c r="E1277" s="959" t="s">
        <v>254</v>
      </c>
      <c r="F1277" s="558" t="s">
        <v>1444</v>
      </c>
      <c r="G1277" s="558">
        <v>825</v>
      </c>
      <c r="H1277" s="558">
        <v>5</v>
      </c>
      <c r="I1277" s="559" t="s">
        <v>548</v>
      </c>
      <c r="J1277" s="567" t="s">
        <v>1606</v>
      </c>
      <c r="K1277" s="961" t="s">
        <v>1607</v>
      </c>
      <c r="L1277" s="555" t="str">
        <f t="shared" ca="1" si="206"/>
        <v/>
      </c>
      <c r="M1277" s="494" t="s">
        <v>1608</v>
      </c>
      <c r="N1277" s="555" t="str">
        <f t="shared" ca="1" si="207"/>
        <v/>
      </c>
      <c r="O1277" s="494" t="s">
        <v>1609</v>
      </c>
      <c r="P1277" s="555" t="str">
        <f t="shared" ca="1" si="208"/>
        <v/>
      </c>
      <c r="Q1277" s="494" t="s">
        <v>1610</v>
      </c>
      <c r="R1277" s="494" t="str">
        <f t="shared" si="212"/>
        <v>H1277</v>
      </c>
      <c r="S1277" s="494" t="s">
        <v>1611</v>
      </c>
      <c r="T1277" s="494">
        <v>6</v>
      </c>
      <c r="U1277" s="556" t="str">
        <f t="shared" ca="1" si="204"/>
        <v/>
      </c>
      <c r="V1277" s="494">
        <v>7</v>
      </c>
      <c r="W1277" s="556" t="str">
        <f t="shared" ca="1" si="205"/>
        <v/>
      </c>
      <c r="X1277" s="494" t="s">
        <v>198</v>
      </c>
      <c r="Y1277" s="547" t="str">
        <f t="shared" ca="1" si="209"/>
        <v/>
      </c>
      <c r="Z1277" s="494" t="s">
        <v>1612</v>
      </c>
      <c r="AA1277" s="547" t="str">
        <f t="shared" ca="1" si="210"/>
        <v/>
      </c>
      <c r="AB1277" s="494" t="s">
        <v>1613</v>
      </c>
      <c r="AC1277" s="547" t="str">
        <f t="shared" ca="1" si="211"/>
        <v/>
      </c>
      <c r="AD1277" s="557"/>
      <c r="AE1277" s="958"/>
    </row>
    <row r="1278" spans="1:31" ht="15" customHeight="1">
      <c r="A1278" s="957">
        <v>100</v>
      </c>
      <c r="B1278" s="566" t="s">
        <v>535</v>
      </c>
      <c r="C1278" s="567" t="s">
        <v>1595</v>
      </c>
      <c r="D1278" s="958">
        <v>1.2</v>
      </c>
      <c r="E1278" s="959" t="s">
        <v>254</v>
      </c>
      <c r="F1278" s="558" t="s">
        <v>1444</v>
      </c>
      <c r="G1278" s="558">
        <v>826</v>
      </c>
      <c r="H1278" s="558">
        <v>5.0999999999999996</v>
      </c>
      <c r="I1278" s="559" t="s">
        <v>549</v>
      </c>
      <c r="J1278" s="567" t="s">
        <v>1606</v>
      </c>
      <c r="K1278" s="961" t="s">
        <v>1607</v>
      </c>
      <c r="L1278" s="555" t="str">
        <f t="shared" ca="1" si="206"/>
        <v/>
      </c>
      <c r="M1278" s="494" t="s">
        <v>1608</v>
      </c>
      <c r="N1278" s="555" t="str">
        <f t="shared" ca="1" si="207"/>
        <v/>
      </c>
      <c r="O1278" s="494" t="s">
        <v>1609</v>
      </c>
      <c r="P1278" s="555" t="str">
        <f t="shared" ca="1" si="208"/>
        <v/>
      </c>
      <c r="Q1278" s="494" t="s">
        <v>1610</v>
      </c>
      <c r="R1278" s="494" t="str">
        <f t="shared" si="212"/>
        <v>H1278</v>
      </c>
      <c r="S1278" s="494" t="s">
        <v>1611</v>
      </c>
      <c r="T1278" s="494">
        <v>6</v>
      </c>
      <c r="U1278" s="556" t="str">
        <f t="shared" ca="1" si="204"/>
        <v/>
      </c>
      <c r="V1278" s="494">
        <v>7</v>
      </c>
      <c r="W1278" s="556" t="str">
        <f t="shared" ca="1" si="205"/>
        <v/>
      </c>
      <c r="X1278" s="494" t="s">
        <v>198</v>
      </c>
      <c r="Y1278" s="547" t="str">
        <f t="shared" ca="1" si="209"/>
        <v/>
      </c>
      <c r="Z1278" s="494" t="s">
        <v>1612</v>
      </c>
      <c r="AA1278" s="547" t="str">
        <f t="shared" ca="1" si="210"/>
        <v/>
      </c>
      <c r="AB1278" s="494" t="s">
        <v>1613</v>
      </c>
      <c r="AC1278" s="547" t="str">
        <f t="shared" ca="1" si="211"/>
        <v/>
      </c>
      <c r="AD1278" s="557"/>
      <c r="AE1278" s="958"/>
    </row>
    <row r="1279" spans="1:31" ht="15" customHeight="1">
      <c r="A1279" s="957">
        <v>100</v>
      </c>
      <c r="B1279" s="566" t="s">
        <v>535</v>
      </c>
      <c r="C1279" s="567" t="s">
        <v>1595</v>
      </c>
      <c r="D1279" s="958">
        <v>1.2</v>
      </c>
      <c r="E1279" s="959" t="s">
        <v>254</v>
      </c>
      <c r="F1279" s="558" t="s">
        <v>1444</v>
      </c>
      <c r="G1279" s="558">
        <v>827</v>
      </c>
      <c r="H1279" s="558">
        <v>6</v>
      </c>
      <c r="I1279" s="559" t="s">
        <v>551</v>
      </c>
      <c r="J1279" s="567" t="s">
        <v>1606</v>
      </c>
      <c r="K1279" s="961" t="s">
        <v>1607</v>
      </c>
      <c r="L1279" s="555" t="str">
        <f t="shared" ca="1" si="206"/>
        <v/>
      </c>
      <c r="M1279" s="494" t="s">
        <v>1608</v>
      </c>
      <c r="N1279" s="555" t="str">
        <f t="shared" ca="1" si="207"/>
        <v/>
      </c>
      <c r="O1279" s="494" t="s">
        <v>1609</v>
      </c>
      <c r="P1279" s="555" t="str">
        <f t="shared" ca="1" si="208"/>
        <v/>
      </c>
      <c r="Q1279" s="494" t="s">
        <v>1610</v>
      </c>
      <c r="R1279" s="494" t="str">
        <f t="shared" si="212"/>
        <v>H1279</v>
      </c>
      <c r="S1279" s="494" t="s">
        <v>1611</v>
      </c>
      <c r="T1279" s="494">
        <v>6</v>
      </c>
      <c r="U1279" s="556" t="str">
        <f t="shared" ref="U1279:U1342" ca="1" si="213">IF(AND($B1279=INDIRECT(CONCATENATE($J1279,$K1279,5)),ISBLANK(INDEX(INDIRECT(CONCATENATE($J1279,$Q1279)),MATCH(INDIRECT($R1279),INDIRECT(CONCATENATE($J1279,$S1279)),0),T1279))=FALSE),INDEX(INDIRECT(CONCATENATE($J1279,$Q1279)),MATCH(INDIRECT($R1279),INDIRECT(CONCATENATE($J1279,$S1279)),0),T1279),"")</f>
        <v/>
      </c>
      <c r="V1279" s="494">
        <v>7</v>
      </c>
      <c r="W1279" s="556" t="str">
        <f t="shared" ref="W1279:W1342" ca="1" si="214">IF(AND($B1279=INDIRECT(CONCATENATE($J1279,$K1279,5)),ISBLANK(INDEX(INDIRECT(CONCATENATE($J1279,$Q1279)),MATCH(INDIRECT($R1279),INDIRECT(CONCATENATE($J1279,$S1279)),0),V1279))=FALSE),INDEX(INDIRECT(CONCATENATE($J1279,$Q1279)),MATCH(INDIRECT($R1279),INDIRECT(CONCATENATE($J1279,$S1279)),0),V1279),"")</f>
        <v/>
      </c>
      <c r="X1279" s="494" t="s">
        <v>198</v>
      </c>
      <c r="Y1279" s="547" t="str">
        <f t="shared" ca="1" si="209"/>
        <v/>
      </c>
      <c r="Z1279" s="494" t="s">
        <v>1612</v>
      </c>
      <c r="AA1279" s="547" t="str">
        <f t="shared" ca="1" si="210"/>
        <v/>
      </c>
      <c r="AB1279" s="494" t="s">
        <v>1613</v>
      </c>
      <c r="AC1279" s="547" t="str">
        <f t="shared" ca="1" si="211"/>
        <v/>
      </c>
      <c r="AD1279" s="557"/>
      <c r="AE1279" s="958"/>
    </row>
    <row r="1280" spans="1:31" ht="15" customHeight="1">
      <c r="A1280" s="957">
        <v>100</v>
      </c>
      <c r="B1280" s="566" t="s">
        <v>535</v>
      </c>
      <c r="C1280" s="567" t="s">
        <v>1595</v>
      </c>
      <c r="D1280" s="958">
        <v>1.2</v>
      </c>
      <c r="E1280" s="959" t="s">
        <v>254</v>
      </c>
      <c r="F1280" s="558" t="s">
        <v>1444</v>
      </c>
      <c r="G1280" s="558">
        <v>828</v>
      </c>
      <c r="H1280" s="558">
        <v>6.1</v>
      </c>
      <c r="I1280" s="559" t="s">
        <v>552</v>
      </c>
      <c r="J1280" s="567" t="s">
        <v>1606</v>
      </c>
      <c r="K1280" s="961" t="s">
        <v>1607</v>
      </c>
      <c r="L1280" s="555" t="str">
        <f t="shared" ca="1" si="206"/>
        <v/>
      </c>
      <c r="M1280" s="494" t="s">
        <v>1608</v>
      </c>
      <c r="N1280" s="555" t="str">
        <f t="shared" ca="1" si="207"/>
        <v/>
      </c>
      <c r="O1280" s="494" t="s">
        <v>1609</v>
      </c>
      <c r="P1280" s="555" t="str">
        <f t="shared" ca="1" si="208"/>
        <v/>
      </c>
      <c r="Q1280" s="494" t="s">
        <v>1610</v>
      </c>
      <c r="R1280" s="494" t="str">
        <f t="shared" si="212"/>
        <v>H1280</v>
      </c>
      <c r="S1280" s="494" t="s">
        <v>1611</v>
      </c>
      <c r="T1280" s="494">
        <v>6</v>
      </c>
      <c r="U1280" s="556" t="str">
        <f t="shared" ca="1" si="213"/>
        <v/>
      </c>
      <c r="V1280" s="494">
        <v>7</v>
      </c>
      <c r="W1280" s="556" t="str">
        <f t="shared" ca="1" si="214"/>
        <v/>
      </c>
      <c r="X1280" s="494" t="s">
        <v>198</v>
      </c>
      <c r="Y1280" s="547" t="str">
        <f t="shared" ca="1" si="209"/>
        <v/>
      </c>
      <c r="Z1280" s="494" t="s">
        <v>1612</v>
      </c>
      <c r="AA1280" s="547" t="str">
        <f t="shared" ca="1" si="210"/>
        <v/>
      </c>
      <c r="AB1280" s="494" t="s">
        <v>1613</v>
      </c>
      <c r="AC1280" s="547" t="str">
        <f t="shared" ca="1" si="211"/>
        <v/>
      </c>
      <c r="AD1280" s="557"/>
      <c r="AE1280" s="958"/>
    </row>
    <row r="1281" spans="1:31" ht="15" customHeight="1">
      <c r="A1281" s="957">
        <v>100</v>
      </c>
      <c r="B1281" s="566" t="s">
        <v>535</v>
      </c>
      <c r="C1281" s="567" t="s">
        <v>1595</v>
      </c>
      <c r="D1281" s="958">
        <v>1.2</v>
      </c>
      <c r="E1281" s="959" t="s">
        <v>254</v>
      </c>
      <c r="F1281" s="558" t="s">
        <v>1444</v>
      </c>
      <c r="G1281" s="558">
        <v>897</v>
      </c>
      <c r="H1281" s="558">
        <v>6.2</v>
      </c>
      <c r="I1281" s="559" t="s">
        <v>1622</v>
      </c>
      <c r="J1281" s="567" t="s">
        <v>1606</v>
      </c>
      <c r="K1281" s="961" t="s">
        <v>1607</v>
      </c>
      <c r="L1281" s="555" t="str">
        <f t="shared" ca="1" si="206"/>
        <v/>
      </c>
      <c r="M1281" s="494" t="s">
        <v>1608</v>
      </c>
      <c r="N1281" s="555" t="str">
        <f t="shared" ca="1" si="207"/>
        <v/>
      </c>
      <c r="O1281" s="494" t="s">
        <v>1609</v>
      </c>
      <c r="P1281" s="555" t="str">
        <f t="shared" ca="1" si="208"/>
        <v/>
      </c>
      <c r="Q1281" s="494" t="s">
        <v>1610</v>
      </c>
      <c r="R1281" s="494" t="str">
        <f t="shared" si="212"/>
        <v>H1281</v>
      </c>
      <c r="S1281" s="494" t="s">
        <v>1611</v>
      </c>
      <c r="T1281" s="494">
        <v>6</v>
      </c>
      <c r="U1281" s="556" t="str">
        <f t="shared" ca="1" si="213"/>
        <v/>
      </c>
      <c r="V1281" s="494">
        <v>7</v>
      </c>
      <c r="W1281" s="556" t="str">
        <f t="shared" ca="1" si="214"/>
        <v/>
      </c>
      <c r="X1281" s="494" t="s">
        <v>198</v>
      </c>
      <c r="Y1281" s="547" t="str">
        <f t="shared" ca="1" si="209"/>
        <v/>
      </c>
      <c r="Z1281" s="494" t="s">
        <v>1612</v>
      </c>
      <c r="AA1281" s="547" t="str">
        <f t="shared" ca="1" si="210"/>
        <v/>
      </c>
      <c r="AB1281" s="494" t="s">
        <v>1613</v>
      </c>
      <c r="AC1281" s="547" t="str">
        <f t="shared" ca="1" si="211"/>
        <v/>
      </c>
      <c r="AD1281" s="557"/>
      <c r="AE1281" s="958"/>
    </row>
    <row r="1282" spans="1:31" ht="15" customHeight="1">
      <c r="A1282" s="957">
        <v>100</v>
      </c>
      <c r="B1282" s="566" t="s">
        <v>535</v>
      </c>
      <c r="C1282" s="567" t="s">
        <v>1595</v>
      </c>
      <c r="D1282" s="958">
        <v>1.2</v>
      </c>
      <c r="E1282" s="959" t="s">
        <v>254</v>
      </c>
      <c r="F1282" s="558" t="s">
        <v>1444</v>
      </c>
      <c r="G1282" s="558">
        <v>829</v>
      </c>
      <c r="H1282" s="558" t="s">
        <v>553</v>
      </c>
      <c r="I1282" s="559" t="s">
        <v>497</v>
      </c>
      <c r="J1282" s="567" t="s">
        <v>1606</v>
      </c>
      <c r="K1282" s="961" t="s">
        <v>1607</v>
      </c>
      <c r="L1282" s="555" t="str">
        <f t="shared" ref="L1282:L1345" ca="1" si="215">IF(AND(INDIRECT(CONCATENATE($J1282,$K1282,5))=$B1282,ISNUMBER(SEARCH("Please",INDIRECT(CONCATENATE($J1282,$K1282,2)),1))=FALSE),SUMPRODUCT(MID(0&amp;INDIRECT(CONCATENATE($J1282,$K1282,2)), LARGE(INDEX(ISNUMBER(--MID(INDIRECT(CONCATENATE($J1282,$K1282,2)), ROW(INDIRECT("1:"&amp;LEN(INDIRECT(CONCATENATE($J1282,$K1282,2))))),1))*ROW(INDIRECT("1:"&amp;LEN(INDIRECT(CONCATENATE($J1282,$K1282,2))))),0), ROW(INDIRECT("1:"&amp;LEN(INDIRECT(CONCATENATE($J1282,$K1282,2))))))+1,1)*10^ROW(INDIRECT("1:"&amp;LEN(INDIRECT(CONCATENATE($J1282,$K1282,2)))))/10),"")</f>
        <v/>
      </c>
      <c r="M1282" s="494" t="s">
        <v>1608</v>
      </c>
      <c r="N1282" s="555" t="str">
        <f t="shared" ref="N1282:N1345" ca="1" si="216">IF(AND(INDIRECT(CONCATENATE($J1282,$K1282,5))=$B1282,ISNUMBER(SEARCH("Select",INDIRECT(CONCATENATE($J1282,$M1282,6)),1))=FALSE),INDIRECT(CONCATENATE($J1282,$M1282,6)),"")</f>
        <v/>
      </c>
      <c r="O1282" s="494" t="s">
        <v>1609</v>
      </c>
      <c r="P1282" s="555" t="str">
        <f t="shared" ref="P1282:P1345" ca="1" si="217">IF(AND(INDIRECT(CONCATENATE($J1282,$K1282,5))=$B1282,ISNUMBER(SEARCH("Select",INDIRECT(CONCATENATE($J1282,$O1282,6)),1))=FALSE),INDIRECT(CONCATENATE($J1282,$O1282,6)),"")</f>
        <v/>
      </c>
      <c r="Q1282" s="494" t="s">
        <v>1610</v>
      </c>
      <c r="R1282" s="494" t="str">
        <f t="shared" si="212"/>
        <v>H1282</v>
      </c>
      <c r="S1282" s="494" t="s">
        <v>1611</v>
      </c>
      <c r="T1282" s="494">
        <v>6</v>
      </c>
      <c r="U1282" s="556" t="str">
        <f t="shared" ca="1" si="213"/>
        <v/>
      </c>
      <c r="V1282" s="494">
        <v>7</v>
      </c>
      <c r="W1282" s="556" t="str">
        <f t="shared" ca="1" si="214"/>
        <v/>
      </c>
      <c r="X1282" s="494" t="s">
        <v>198</v>
      </c>
      <c r="Y1282" s="547" t="str">
        <f t="shared" ref="Y1282:Y1345" ca="1" si="218">IF(AND(INDIRECT(CONCATENATE($J1282,$K1282,5))=$B1282,ISBLANK(INDIRECT(CONCATENATE($J1282,X1282)))=FALSE),INDIRECT(CONCATENATE($J1282,X1282)),"")</f>
        <v/>
      </c>
      <c r="Z1282" s="494" t="s">
        <v>1612</v>
      </c>
      <c r="AA1282" s="547" t="str">
        <f t="shared" ref="AA1282:AA1345" ca="1" si="219">IF(AND(INDIRECT(CONCATENATE($J1282,$K1282,"5"))=$B1282,ISBLANK(INDIRECT(CONCATENATE($J1282,Z1282)))=FALSE),INDIRECT(CONCATENATE($J1282,Z1282)),"")</f>
        <v/>
      </c>
      <c r="AB1282" s="494" t="s">
        <v>1613</v>
      </c>
      <c r="AC1282" s="547" t="str">
        <f t="shared" ref="AC1282:AC1345" ca="1" si="220">IF(AND(INDIRECT(CONCATENATE($J1282,$K1282,"5"))=$B1282,ISBLANK(INDIRECT(CONCATENATE($J1282,AB1282)))=FALSE),INDIRECT(CONCATENATE($J1282,AB1282)),"")</f>
        <v/>
      </c>
      <c r="AD1282" s="557"/>
      <c r="AE1282" s="958"/>
    </row>
    <row r="1283" spans="1:31" ht="15" customHeight="1">
      <c r="A1283" s="957">
        <v>100</v>
      </c>
      <c r="B1283" s="566" t="s">
        <v>535</v>
      </c>
      <c r="C1283" s="567" t="s">
        <v>1595</v>
      </c>
      <c r="D1283" s="958">
        <v>1.2</v>
      </c>
      <c r="E1283" s="959" t="s">
        <v>254</v>
      </c>
      <c r="F1283" s="558" t="s">
        <v>1444</v>
      </c>
      <c r="G1283" s="558">
        <v>829</v>
      </c>
      <c r="H1283" s="558" t="s">
        <v>555</v>
      </c>
      <c r="I1283" s="559" t="s">
        <v>499</v>
      </c>
      <c r="J1283" s="567" t="s">
        <v>1606</v>
      </c>
      <c r="K1283" s="961" t="s">
        <v>1607</v>
      </c>
      <c r="L1283" s="555" t="str">
        <f t="shared" ca="1" si="215"/>
        <v/>
      </c>
      <c r="M1283" s="494" t="s">
        <v>1608</v>
      </c>
      <c r="N1283" s="555" t="str">
        <f t="shared" ca="1" si="216"/>
        <v/>
      </c>
      <c r="O1283" s="494" t="s">
        <v>1609</v>
      </c>
      <c r="P1283" s="555" t="str">
        <f t="shared" ca="1" si="217"/>
        <v/>
      </c>
      <c r="Q1283" s="494" t="s">
        <v>1610</v>
      </c>
      <c r="R1283" s="494" t="str">
        <f>CONCATENATE("H",ROW(J1283))</f>
        <v>H1283</v>
      </c>
      <c r="S1283" s="494" t="s">
        <v>1611</v>
      </c>
      <c r="T1283" s="494">
        <v>6</v>
      </c>
      <c r="U1283" s="556" t="str">
        <f t="shared" ca="1" si="213"/>
        <v/>
      </c>
      <c r="V1283" s="494">
        <v>7</v>
      </c>
      <c r="W1283" s="556" t="str">
        <f t="shared" ca="1" si="214"/>
        <v/>
      </c>
      <c r="X1283" s="494" t="s">
        <v>198</v>
      </c>
      <c r="Y1283" s="547" t="str">
        <f t="shared" ca="1" si="218"/>
        <v/>
      </c>
      <c r="Z1283" s="494" t="s">
        <v>1612</v>
      </c>
      <c r="AA1283" s="547" t="str">
        <f t="shared" ca="1" si="219"/>
        <v/>
      </c>
      <c r="AB1283" s="494" t="s">
        <v>1613</v>
      </c>
      <c r="AC1283" s="547" t="str">
        <f t="shared" ca="1" si="220"/>
        <v/>
      </c>
      <c r="AD1283" s="557"/>
      <c r="AE1283" s="958"/>
    </row>
    <row r="1284" spans="1:31" ht="15" customHeight="1">
      <c r="A1284" s="957">
        <v>100</v>
      </c>
      <c r="B1284" s="566" t="s">
        <v>535</v>
      </c>
      <c r="C1284" s="567" t="s">
        <v>1595</v>
      </c>
      <c r="D1284" s="958">
        <v>1.2</v>
      </c>
      <c r="E1284" s="959" t="s">
        <v>306</v>
      </c>
      <c r="F1284" s="558" t="s">
        <v>1454</v>
      </c>
      <c r="G1284" s="558">
        <v>830</v>
      </c>
      <c r="H1284" s="558">
        <v>8.1</v>
      </c>
      <c r="I1284" s="559" t="s">
        <v>309</v>
      </c>
      <c r="J1284" s="567" t="s">
        <v>1606</v>
      </c>
      <c r="K1284" s="961" t="s">
        <v>1607</v>
      </c>
      <c r="L1284" s="555" t="str">
        <f t="shared" ca="1" si="215"/>
        <v/>
      </c>
      <c r="M1284" s="494" t="s">
        <v>1608</v>
      </c>
      <c r="N1284" s="555" t="str">
        <f t="shared" ca="1" si="216"/>
        <v/>
      </c>
      <c r="O1284" s="494" t="s">
        <v>1609</v>
      </c>
      <c r="P1284" s="555" t="str">
        <f t="shared" ca="1" si="217"/>
        <v/>
      </c>
      <c r="Q1284" s="494" t="s">
        <v>1610</v>
      </c>
      <c r="R1284" s="494" t="str">
        <f t="shared" si="212"/>
        <v>H1284</v>
      </c>
      <c r="S1284" s="494" t="s">
        <v>1611</v>
      </c>
      <c r="T1284" s="494">
        <v>6</v>
      </c>
      <c r="U1284" s="556" t="str">
        <f t="shared" ca="1" si="213"/>
        <v/>
      </c>
      <c r="V1284" s="494">
        <v>7</v>
      </c>
      <c r="W1284" s="556" t="str">
        <f t="shared" ca="1" si="214"/>
        <v/>
      </c>
      <c r="X1284" s="494" t="s">
        <v>198</v>
      </c>
      <c r="Y1284" s="547" t="str">
        <f t="shared" ca="1" si="218"/>
        <v/>
      </c>
      <c r="Z1284" s="494" t="s">
        <v>1612</v>
      </c>
      <c r="AA1284" s="547" t="str">
        <f t="shared" ca="1" si="219"/>
        <v/>
      </c>
      <c r="AB1284" s="494" t="s">
        <v>1613</v>
      </c>
      <c r="AC1284" s="547" t="str">
        <f t="shared" ca="1" si="220"/>
        <v/>
      </c>
      <c r="AD1284" s="557"/>
      <c r="AE1284" s="958"/>
    </row>
    <row r="1285" spans="1:31" ht="15" customHeight="1">
      <c r="A1285" s="957">
        <v>100</v>
      </c>
      <c r="B1285" s="566" t="s">
        <v>535</v>
      </c>
      <c r="C1285" s="567" t="s">
        <v>1595</v>
      </c>
      <c r="D1285" s="958">
        <v>1.2</v>
      </c>
      <c r="E1285" s="959" t="s">
        <v>306</v>
      </c>
      <c r="F1285" s="558" t="s">
        <v>1454</v>
      </c>
      <c r="G1285" s="558">
        <v>831</v>
      </c>
      <c r="H1285" s="558">
        <v>8.1999999999999993</v>
      </c>
      <c r="I1285" s="559" t="s">
        <v>310</v>
      </c>
      <c r="J1285" s="567" t="s">
        <v>1606</v>
      </c>
      <c r="K1285" s="961" t="s">
        <v>1607</v>
      </c>
      <c r="L1285" s="555" t="str">
        <f t="shared" ca="1" si="215"/>
        <v/>
      </c>
      <c r="M1285" s="494" t="s">
        <v>1608</v>
      </c>
      <c r="N1285" s="555" t="str">
        <f t="shared" ca="1" si="216"/>
        <v/>
      </c>
      <c r="O1285" s="494" t="s">
        <v>1609</v>
      </c>
      <c r="P1285" s="555" t="str">
        <f t="shared" ca="1" si="217"/>
        <v/>
      </c>
      <c r="Q1285" s="494" t="s">
        <v>1610</v>
      </c>
      <c r="R1285" s="494" t="str">
        <f t="shared" si="212"/>
        <v>H1285</v>
      </c>
      <c r="S1285" s="494" t="s">
        <v>1611</v>
      </c>
      <c r="T1285" s="494">
        <v>6</v>
      </c>
      <c r="U1285" s="556" t="str">
        <f t="shared" ca="1" si="213"/>
        <v/>
      </c>
      <c r="V1285" s="494">
        <v>7</v>
      </c>
      <c r="W1285" s="556" t="str">
        <f t="shared" ca="1" si="214"/>
        <v/>
      </c>
      <c r="X1285" s="494" t="s">
        <v>198</v>
      </c>
      <c r="Y1285" s="547" t="str">
        <f t="shared" ca="1" si="218"/>
        <v/>
      </c>
      <c r="Z1285" s="494" t="s">
        <v>1612</v>
      </c>
      <c r="AA1285" s="547" t="str">
        <f t="shared" ca="1" si="219"/>
        <v/>
      </c>
      <c r="AB1285" s="494" t="s">
        <v>1613</v>
      </c>
      <c r="AC1285" s="547" t="str">
        <f t="shared" ca="1" si="220"/>
        <v/>
      </c>
      <c r="AD1285" s="557"/>
      <c r="AE1285" s="958"/>
    </row>
    <row r="1286" spans="1:31" ht="15" customHeight="1">
      <c r="A1286" s="957">
        <v>100</v>
      </c>
      <c r="B1286" s="566" t="s">
        <v>535</v>
      </c>
      <c r="C1286" s="567" t="s">
        <v>1595</v>
      </c>
      <c r="D1286" s="958">
        <v>1.2</v>
      </c>
      <c r="E1286" s="959" t="s">
        <v>306</v>
      </c>
      <c r="F1286" s="558" t="s">
        <v>1454</v>
      </c>
      <c r="G1286" s="558">
        <v>832</v>
      </c>
      <c r="H1286" s="558">
        <v>8.3000000000000007</v>
      </c>
      <c r="I1286" s="559" t="s">
        <v>311</v>
      </c>
      <c r="J1286" s="567" t="s">
        <v>1606</v>
      </c>
      <c r="K1286" s="961" t="s">
        <v>1607</v>
      </c>
      <c r="L1286" s="555" t="str">
        <f t="shared" ca="1" si="215"/>
        <v/>
      </c>
      <c r="M1286" s="494" t="s">
        <v>1608</v>
      </c>
      <c r="N1286" s="555" t="str">
        <f t="shared" ca="1" si="216"/>
        <v/>
      </c>
      <c r="O1286" s="494" t="s">
        <v>1609</v>
      </c>
      <c r="P1286" s="555" t="str">
        <f t="shared" ca="1" si="217"/>
        <v/>
      </c>
      <c r="Q1286" s="494" t="s">
        <v>1610</v>
      </c>
      <c r="R1286" s="494" t="str">
        <f t="shared" si="212"/>
        <v>H1286</v>
      </c>
      <c r="S1286" s="494" t="s">
        <v>1611</v>
      </c>
      <c r="T1286" s="494">
        <v>6</v>
      </c>
      <c r="U1286" s="556" t="str">
        <f t="shared" ca="1" si="213"/>
        <v/>
      </c>
      <c r="V1286" s="494">
        <v>7</v>
      </c>
      <c r="W1286" s="556" t="str">
        <f t="shared" ca="1" si="214"/>
        <v/>
      </c>
      <c r="X1286" s="494" t="s">
        <v>198</v>
      </c>
      <c r="Y1286" s="547" t="str">
        <f t="shared" ca="1" si="218"/>
        <v/>
      </c>
      <c r="Z1286" s="494" t="s">
        <v>1612</v>
      </c>
      <c r="AA1286" s="547" t="str">
        <f t="shared" ca="1" si="219"/>
        <v/>
      </c>
      <c r="AB1286" s="494" t="s">
        <v>1613</v>
      </c>
      <c r="AC1286" s="547" t="str">
        <f t="shared" ca="1" si="220"/>
        <v/>
      </c>
      <c r="AD1286" s="557"/>
      <c r="AE1286" s="958"/>
    </row>
    <row r="1287" spans="1:31" ht="15" customHeight="1">
      <c r="A1287" s="957">
        <v>100</v>
      </c>
      <c r="B1287" s="566" t="s">
        <v>535</v>
      </c>
      <c r="C1287" s="567" t="s">
        <v>1595</v>
      </c>
      <c r="D1287" s="958">
        <v>1.2</v>
      </c>
      <c r="E1287" s="959" t="s">
        <v>306</v>
      </c>
      <c r="F1287" s="558" t="s">
        <v>1454</v>
      </c>
      <c r="G1287" s="558">
        <v>833</v>
      </c>
      <c r="H1287" s="558">
        <v>9.1</v>
      </c>
      <c r="I1287" s="559" t="s">
        <v>314</v>
      </c>
      <c r="J1287" s="567" t="s">
        <v>1606</v>
      </c>
      <c r="K1287" s="961" t="s">
        <v>1607</v>
      </c>
      <c r="L1287" s="555" t="str">
        <f t="shared" ca="1" si="215"/>
        <v/>
      </c>
      <c r="M1287" s="494" t="s">
        <v>1608</v>
      </c>
      <c r="N1287" s="555" t="str">
        <f t="shared" ca="1" si="216"/>
        <v/>
      </c>
      <c r="O1287" s="494" t="s">
        <v>1609</v>
      </c>
      <c r="P1287" s="555" t="str">
        <f t="shared" ca="1" si="217"/>
        <v/>
      </c>
      <c r="Q1287" s="494" t="s">
        <v>1610</v>
      </c>
      <c r="R1287" s="494" t="str">
        <f t="shared" si="212"/>
        <v>H1287</v>
      </c>
      <c r="S1287" s="494" t="s">
        <v>1611</v>
      </c>
      <c r="T1287" s="494">
        <v>6</v>
      </c>
      <c r="U1287" s="556" t="str">
        <f t="shared" ca="1" si="213"/>
        <v/>
      </c>
      <c r="V1287" s="494">
        <v>7</v>
      </c>
      <c r="W1287" s="556" t="str">
        <f t="shared" ca="1" si="214"/>
        <v/>
      </c>
      <c r="X1287" s="494" t="s">
        <v>198</v>
      </c>
      <c r="Y1287" s="547" t="str">
        <f t="shared" ca="1" si="218"/>
        <v/>
      </c>
      <c r="Z1287" s="494" t="s">
        <v>1612</v>
      </c>
      <c r="AA1287" s="547" t="str">
        <f t="shared" ca="1" si="219"/>
        <v/>
      </c>
      <c r="AB1287" s="494" t="s">
        <v>1613</v>
      </c>
      <c r="AC1287" s="547" t="str">
        <f t="shared" ca="1" si="220"/>
        <v/>
      </c>
      <c r="AD1287" s="557"/>
      <c r="AE1287" s="958"/>
    </row>
    <row r="1288" spans="1:31" ht="15" customHeight="1">
      <c r="A1288" s="957">
        <v>100</v>
      </c>
      <c r="B1288" s="566" t="s">
        <v>535</v>
      </c>
      <c r="C1288" s="567" t="s">
        <v>1595</v>
      </c>
      <c r="D1288" s="958">
        <v>1.2</v>
      </c>
      <c r="E1288" s="959" t="s">
        <v>306</v>
      </c>
      <c r="F1288" s="558" t="s">
        <v>1454</v>
      </c>
      <c r="G1288" s="558">
        <v>834</v>
      </c>
      <c r="H1288" s="558">
        <v>9.1999999999999993</v>
      </c>
      <c r="I1288" s="559" t="s">
        <v>315</v>
      </c>
      <c r="J1288" s="567" t="s">
        <v>1606</v>
      </c>
      <c r="K1288" s="961" t="s">
        <v>1607</v>
      </c>
      <c r="L1288" s="555" t="str">
        <f t="shared" ca="1" si="215"/>
        <v/>
      </c>
      <c r="M1288" s="494" t="s">
        <v>1608</v>
      </c>
      <c r="N1288" s="555" t="str">
        <f t="shared" ca="1" si="216"/>
        <v/>
      </c>
      <c r="O1288" s="494" t="s">
        <v>1609</v>
      </c>
      <c r="P1288" s="555" t="str">
        <f t="shared" ca="1" si="217"/>
        <v/>
      </c>
      <c r="Q1288" s="494" t="s">
        <v>1610</v>
      </c>
      <c r="R1288" s="494" t="str">
        <f t="shared" si="212"/>
        <v>H1288</v>
      </c>
      <c r="S1288" s="494" t="s">
        <v>1611</v>
      </c>
      <c r="T1288" s="494">
        <v>6</v>
      </c>
      <c r="U1288" s="556" t="str">
        <f t="shared" ca="1" si="213"/>
        <v/>
      </c>
      <c r="V1288" s="494">
        <v>7</v>
      </c>
      <c r="W1288" s="556" t="str">
        <f t="shared" ca="1" si="214"/>
        <v/>
      </c>
      <c r="X1288" s="494" t="s">
        <v>198</v>
      </c>
      <c r="Y1288" s="547" t="str">
        <f t="shared" ca="1" si="218"/>
        <v/>
      </c>
      <c r="Z1288" s="494" t="s">
        <v>1612</v>
      </c>
      <c r="AA1288" s="547" t="str">
        <f t="shared" ca="1" si="219"/>
        <v/>
      </c>
      <c r="AB1288" s="494" t="s">
        <v>1613</v>
      </c>
      <c r="AC1288" s="547" t="str">
        <f t="shared" ca="1" si="220"/>
        <v/>
      </c>
      <c r="AD1288" s="557"/>
      <c r="AE1288" s="958"/>
    </row>
    <row r="1289" spans="1:31" ht="15" customHeight="1">
      <c r="A1289" s="957">
        <v>100</v>
      </c>
      <c r="B1289" s="566" t="s">
        <v>535</v>
      </c>
      <c r="C1289" s="567" t="s">
        <v>1595</v>
      </c>
      <c r="D1289" s="958">
        <v>1.2</v>
      </c>
      <c r="E1289" s="959" t="s">
        <v>306</v>
      </c>
      <c r="F1289" s="558" t="s">
        <v>1454</v>
      </c>
      <c r="G1289" s="558">
        <v>835</v>
      </c>
      <c r="H1289" s="558">
        <v>9.3000000000000007</v>
      </c>
      <c r="I1289" s="559" t="s">
        <v>316</v>
      </c>
      <c r="J1289" s="567" t="s">
        <v>1606</v>
      </c>
      <c r="K1289" s="961" t="s">
        <v>1607</v>
      </c>
      <c r="L1289" s="555" t="str">
        <f t="shared" ca="1" si="215"/>
        <v/>
      </c>
      <c r="M1289" s="494" t="s">
        <v>1608</v>
      </c>
      <c r="N1289" s="555" t="str">
        <f t="shared" ca="1" si="216"/>
        <v/>
      </c>
      <c r="O1289" s="494" t="s">
        <v>1609</v>
      </c>
      <c r="P1289" s="555" t="str">
        <f t="shared" ca="1" si="217"/>
        <v/>
      </c>
      <c r="Q1289" s="494" t="s">
        <v>1610</v>
      </c>
      <c r="R1289" s="494" t="str">
        <f t="shared" si="212"/>
        <v>H1289</v>
      </c>
      <c r="S1289" s="494" t="s">
        <v>1611</v>
      </c>
      <c r="T1289" s="494">
        <v>6</v>
      </c>
      <c r="U1289" s="556" t="str">
        <f t="shared" ca="1" si="213"/>
        <v/>
      </c>
      <c r="V1289" s="494">
        <v>7</v>
      </c>
      <c r="W1289" s="556" t="str">
        <f t="shared" ca="1" si="214"/>
        <v/>
      </c>
      <c r="X1289" s="494" t="s">
        <v>198</v>
      </c>
      <c r="Y1289" s="547" t="str">
        <f t="shared" ca="1" si="218"/>
        <v/>
      </c>
      <c r="Z1289" s="494" t="s">
        <v>1612</v>
      </c>
      <c r="AA1289" s="547" t="str">
        <f t="shared" ca="1" si="219"/>
        <v/>
      </c>
      <c r="AB1289" s="494" t="s">
        <v>1613</v>
      </c>
      <c r="AC1289" s="547" t="str">
        <f t="shared" ca="1" si="220"/>
        <v/>
      </c>
      <c r="AD1289" s="557"/>
      <c r="AE1289" s="958"/>
    </row>
    <row r="1290" spans="1:31" ht="15" customHeight="1">
      <c r="A1290" s="957">
        <v>100</v>
      </c>
      <c r="B1290" s="566" t="s">
        <v>535</v>
      </c>
      <c r="C1290" s="567" t="s">
        <v>1595</v>
      </c>
      <c r="D1290" s="958">
        <v>1.2</v>
      </c>
      <c r="E1290" s="959" t="s">
        <v>306</v>
      </c>
      <c r="F1290" s="558" t="s">
        <v>1454</v>
      </c>
      <c r="G1290" s="558">
        <v>836</v>
      </c>
      <c r="H1290" s="558">
        <v>10</v>
      </c>
      <c r="I1290" s="559" t="s">
        <v>319</v>
      </c>
      <c r="J1290" s="567" t="s">
        <v>1606</v>
      </c>
      <c r="K1290" s="961" t="s">
        <v>1607</v>
      </c>
      <c r="L1290" s="555" t="str">
        <f t="shared" ca="1" si="215"/>
        <v/>
      </c>
      <c r="M1290" s="494" t="s">
        <v>1608</v>
      </c>
      <c r="N1290" s="555" t="str">
        <f t="shared" ca="1" si="216"/>
        <v/>
      </c>
      <c r="O1290" s="494" t="s">
        <v>1609</v>
      </c>
      <c r="P1290" s="555" t="str">
        <f t="shared" ca="1" si="217"/>
        <v/>
      </c>
      <c r="Q1290" s="494" t="s">
        <v>1610</v>
      </c>
      <c r="R1290" s="494" t="str">
        <f t="shared" si="212"/>
        <v>H1290</v>
      </c>
      <c r="S1290" s="494" t="s">
        <v>1611</v>
      </c>
      <c r="T1290" s="494">
        <v>6</v>
      </c>
      <c r="U1290" s="556" t="str">
        <f t="shared" ca="1" si="213"/>
        <v/>
      </c>
      <c r="V1290" s="494">
        <v>7</v>
      </c>
      <c r="W1290" s="556" t="str">
        <f t="shared" ca="1" si="214"/>
        <v/>
      </c>
      <c r="X1290" s="494" t="s">
        <v>198</v>
      </c>
      <c r="Y1290" s="547" t="str">
        <f t="shared" ca="1" si="218"/>
        <v/>
      </c>
      <c r="Z1290" s="494" t="s">
        <v>1612</v>
      </c>
      <c r="AA1290" s="547" t="str">
        <f t="shared" ca="1" si="219"/>
        <v/>
      </c>
      <c r="AB1290" s="494" t="s">
        <v>1613</v>
      </c>
      <c r="AC1290" s="547" t="str">
        <f t="shared" ca="1" si="220"/>
        <v/>
      </c>
      <c r="AD1290" s="557"/>
      <c r="AE1290" s="958"/>
    </row>
    <row r="1291" spans="1:31" ht="15" customHeight="1">
      <c r="A1291" s="957">
        <v>100</v>
      </c>
      <c r="B1291" s="566" t="s">
        <v>535</v>
      </c>
      <c r="C1291" s="567" t="s">
        <v>1595</v>
      </c>
      <c r="D1291" s="958">
        <v>1.2</v>
      </c>
      <c r="E1291" s="959" t="s">
        <v>306</v>
      </c>
      <c r="F1291" s="558" t="s">
        <v>1454</v>
      </c>
      <c r="G1291" s="558">
        <v>837</v>
      </c>
      <c r="H1291" s="558">
        <v>10.1</v>
      </c>
      <c r="I1291" s="559" t="s">
        <v>320</v>
      </c>
      <c r="J1291" s="567" t="s">
        <v>1606</v>
      </c>
      <c r="K1291" s="961" t="s">
        <v>1607</v>
      </c>
      <c r="L1291" s="555" t="str">
        <f t="shared" ca="1" si="215"/>
        <v/>
      </c>
      <c r="M1291" s="494" t="s">
        <v>1608</v>
      </c>
      <c r="N1291" s="555" t="str">
        <f t="shared" ca="1" si="216"/>
        <v/>
      </c>
      <c r="O1291" s="494" t="s">
        <v>1609</v>
      </c>
      <c r="P1291" s="555" t="str">
        <f t="shared" ca="1" si="217"/>
        <v/>
      </c>
      <c r="Q1291" s="494" t="s">
        <v>1610</v>
      </c>
      <c r="R1291" s="494" t="str">
        <f t="shared" si="212"/>
        <v>H1291</v>
      </c>
      <c r="S1291" s="494" t="s">
        <v>1611</v>
      </c>
      <c r="T1291" s="494">
        <v>6</v>
      </c>
      <c r="U1291" s="556" t="str">
        <f t="shared" ca="1" si="213"/>
        <v/>
      </c>
      <c r="V1291" s="494">
        <v>7</v>
      </c>
      <c r="W1291" s="556" t="str">
        <f t="shared" ca="1" si="214"/>
        <v/>
      </c>
      <c r="X1291" s="494" t="s">
        <v>198</v>
      </c>
      <c r="Y1291" s="547" t="str">
        <f t="shared" ca="1" si="218"/>
        <v/>
      </c>
      <c r="Z1291" s="494" t="s">
        <v>1612</v>
      </c>
      <c r="AA1291" s="547" t="str">
        <f t="shared" ca="1" si="219"/>
        <v/>
      </c>
      <c r="AB1291" s="494" t="s">
        <v>1613</v>
      </c>
      <c r="AC1291" s="547" t="str">
        <f t="shared" ca="1" si="220"/>
        <v/>
      </c>
      <c r="AD1291" s="557"/>
      <c r="AE1291" s="958"/>
    </row>
    <row r="1292" spans="1:31" ht="15" customHeight="1">
      <c r="A1292" s="957">
        <v>100</v>
      </c>
      <c r="B1292" s="566" t="s">
        <v>535</v>
      </c>
      <c r="C1292" s="567" t="s">
        <v>1595</v>
      </c>
      <c r="D1292" s="958">
        <v>1.2</v>
      </c>
      <c r="E1292" s="959" t="s">
        <v>306</v>
      </c>
      <c r="F1292" s="558" t="s">
        <v>1454</v>
      </c>
      <c r="G1292" s="558">
        <v>838</v>
      </c>
      <c r="H1292" s="558">
        <v>10.199999999999999</v>
      </c>
      <c r="I1292" s="559" t="s">
        <v>321</v>
      </c>
      <c r="J1292" s="567" t="s">
        <v>1606</v>
      </c>
      <c r="K1292" s="961" t="s">
        <v>1607</v>
      </c>
      <c r="L1292" s="555" t="str">
        <f t="shared" ca="1" si="215"/>
        <v/>
      </c>
      <c r="M1292" s="494" t="s">
        <v>1608</v>
      </c>
      <c r="N1292" s="555" t="str">
        <f t="shared" ca="1" si="216"/>
        <v/>
      </c>
      <c r="O1292" s="494" t="s">
        <v>1609</v>
      </c>
      <c r="P1292" s="555" t="str">
        <f t="shared" ca="1" si="217"/>
        <v/>
      </c>
      <c r="Q1292" s="494" t="s">
        <v>1610</v>
      </c>
      <c r="R1292" s="494" t="str">
        <f t="shared" si="212"/>
        <v>H1292</v>
      </c>
      <c r="S1292" s="494" t="s">
        <v>1611</v>
      </c>
      <c r="T1292" s="494">
        <v>6</v>
      </c>
      <c r="U1292" s="556" t="str">
        <f t="shared" ca="1" si="213"/>
        <v/>
      </c>
      <c r="V1292" s="494">
        <v>7</v>
      </c>
      <c r="W1292" s="556" t="str">
        <f t="shared" ca="1" si="214"/>
        <v/>
      </c>
      <c r="X1292" s="494" t="s">
        <v>198</v>
      </c>
      <c r="Y1292" s="547" t="str">
        <f t="shared" ca="1" si="218"/>
        <v/>
      </c>
      <c r="Z1292" s="494" t="s">
        <v>1612</v>
      </c>
      <c r="AA1292" s="547" t="str">
        <f t="shared" ca="1" si="219"/>
        <v/>
      </c>
      <c r="AB1292" s="494" t="s">
        <v>1613</v>
      </c>
      <c r="AC1292" s="547" t="str">
        <f t="shared" ca="1" si="220"/>
        <v/>
      </c>
      <c r="AD1292" s="557"/>
      <c r="AE1292" s="958"/>
    </row>
    <row r="1293" spans="1:31" ht="15" customHeight="1">
      <c r="A1293" s="957">
        <v>100</v>
      </c>
      <c r="B1293" s="566" t="s">
        <v>535</v>
      </c>
      <c r="C1293" s="567" t="s">
        <v>1595</v>
      </c>
      <c r="D1293" s="958">
        <v>1.2</v>
      </c>
      <c r="E1293" s="959" t="s">
        <v>306</v>
      </c>
      <c r="F1293" s="558" t="s">
        <v>1454</v>
      </c>
      <c r="G1293" s="558">
        <v>839</v>
      </c>
      <c r="H1293" s="558">
        <v>10.3</v>
      </c>
      <c r="I1293" s="559" t="s">
        <v>322</v>
      </c>
      <c r="J1293" s="567" t="s">
        <v>1606</v>
      </c>
      <c r="K1293" s="961" t="s">
        <v>1607</v>
      </c>
      <c r="L1293" s="555" t="str">
        <f t="shared" ca="1" si="215"/>
        <v/>
      </c>
      <c r="M1293" s="494" t="s">
        <v>1608</v>
      </c>
      <c r="N1293" s="555" t="str">
        <f t="shared" ca="1" si="216"/>
        <v/>
      </c>
      <c r="O1293" s="494" t="s">
        <v>1609</v>
      </c>
      <c r="P1293" s="555" t="str">
        <f t="shared" ca="1" si="217"/>
        <v/>
      </c>
      <c r="Q1293" s="494" t="s">
        <v>1610</v>
      </c>
      <c r="R1293" s="494" t="str">
        <f t="shared" si="212"/>
        <v>H1293</v>
      </c>
      <c r="S1293" s="494" t="s">
        <v>1611</v>
      </c>
      <c r="T1293" s="494">
        <v>6</v>
      </c>
      <c r="U1293" s="556" t="str">
        <f t="shared" ca="1" si="213"/>
        <v/>
      </c>
      <c r="V1293" s="494">
        <v>7</v>
      </c>
      <c r="W1293" s="556" t="str">
        <f t="shared" ca="1" si="214"/>
        <v/>
      </c>
      <c r="X1293" s="494" t="s">
        <v>198</v>
      </c>
      <c r="Y1293" s="547" t="str">
        <f t="shared" ca="1" si="218"/>
        <v/>
      </c>
      <c r="Z1293" s="494" t="s">
        <v>1612</v>
      </c>
      <c r="AA1293" s="547" t="str">
        <f t="shared" ca="1" si="219"/>
        <v/>
      </c>
      <c r="AB1293" s="494" t="s">
        <v>1613</v>
      </c>
      <c r="AC1293" s="547" t="str">
        <f t="shared" ca="1" si="220"/>
        <v/>
      </c>
      <c r="AD1293" s="557"/>
      <c r="AE1293" s="958"/>
    </row>
    <row r="1294" spans="1:31" ht="15" customHeight="1">
      <c r="A1294" s="957">
        <v>100</v>
      </c>
      <c r="B1294" s="566" t="s">
        <v>535</v>
      </c>
      <c r="C1294" s="567" t="s">
        <v>1595</v>
      </c>
      <c r="D1294" s="958">
        <v>1.2</v>
      </c>
      <c r="E1294" s="959" t="s">
        <v>306</v>
      </c>
      <c r="F1294" s="558" t="s">
        <v>1454</v>
      </c>
      <c r="G1294" s="558">
        <v>840</v>
      </c>
      <c r="H1294" s="558">
        <v>11</v>
      </c>
      <c r="I1294" s="559" t="s">
        <v>325</v>
      </c>
      <c r="J1294" s="567" t="s">
        <v>1606</v>
      </c>
      <c r="K1294" s="961" t="s">
        <v>1607</v>
      </c>
      <c r="L1294" s="555" t="str">
        <f t="shared" ca="1" si="215"/>
        <v/>
      </c>
      <c r="M1294" s="494" t="s">
        <v>1608</v>
      </c>
      <c r="N1294" s="555" t="str">
        <f t="shared" ca="1" si="216"/>
        <v/>
      </c>
      <c r="O1294" s="494" t="s">
        <v>1609</v>
      </c>
      <c r="P1294" s="555" t="str">
        <f t="shared" ca="1" si="217"/>
        <v/>
      </c>
      <c r="Q1294" s="494" t="s">
        <v>1610</v>
      </c>
      <c r="R1294" s="494" t="str">
        <f t="shared" si="212"/>
        <v>H1294</v>
      </c>
      <c r="S1294" s="494" t="s">
        <v>1611</v>
      </c>
      <c r="T1294" s="494">
        <v>6</v>
      </c>
      <c r="U1294" s="556" t="str">
        <f t="shared" ca="1" si="213"/>
        <v/>
      </c>
      <c r="V1294" s="494">
        <v>7</v>
      </c>
      <c r="W1294" s="556" t="str">
        <f t="shared" ca="1" si="214"/>
        <v/>
      </c>
      <c r="X1294" s="494" t="s">
        <v>198</v>
      </c>
      <c r="Y1294" s="547" t="str">
        <f t="shared" ca="1" si="218"/>
        <v/>
      </c>
      <c r="Z1294" s="494" t="s">
        <v>1612</v>
      </c>
      <c r="AA1294" s="547" t="str">
        <f t="shared" ca="1" si="219"/>
        <v/>
      </c>
      <c r="AB1294" s="494" t="s">
        <v>1613</v>
      </c>
      <c r="AC1294" s="547" t="str">
        <f t="shared" ca="1" si="220"/>
        <v/>
      </c>
      <c r="AD1294" s="557"/>
      <c r="AE1294" s="958"/>
    </row>
    <row r="1295" spans="1:31" ht="15" customHeight="1">
      <c r="A1295" s="957">
        <v>100</v>
      </c>
      <c r="B1295" s="566" t="s">
        <v>535</v>
      </c>
      <c r="C1295" s="567" t="s">
        <v>1595</v>
      </c>
      <c r="D1295" s="958">
        <v>1.2</v>
      </c>
      <c r="E1295" s="959" t="s">
        <v>306</v>
      </c>
      <c r="F1295" s="558" t="s">
        <v>1454</v>
      </c>
      <c r="G1295" s="558">
        <v>841</v>
      </c>
      <c r="H1295" s="558">
        <v>11.1</v>
      </c>
      <c r="I1295" s="559" t="s">
        <v>326</v>
      </c>
      <c r="J1295" s="567" t="s">
        <v>1606</v>
      </c>
      <c r="K1295" s="961" t="s">
        <v>1607</v>
      </c>
      <c r="L1295" s="555" t="str">
        <f t="shared" ca="1" si="215"/>
        <v/>
      </c>
      <c r="M1295" s="494" t="s">
        <v>1608</v>
      </c>
      <c r="N1295" s="555" t="str">
        <f t="shared" ca="1" si="216"/>
        <v/>
      </c>
      <c r="O1295" s="494" t="s">
        <v>1609</v>
      </c>
      <c r="P1295" s="555" t="str">
        <f t="shared" ca="1" si="217"/>
        <v/>
      </c>
      <c r="Q1295" s="494" t="s">
        <v>1610</v>
      </c>
      <c r="R1295" s="494" t="str">
        <f t="shared" ref="R1295:R1350" si="221">CONCATENATE("H",ROW(J1295))</f>
        <v>H1295</v>
      </c>
      <c r="S1295" s="494" t="s">
        <v>1611</v>
      </c>
      <c r="T1295" s="494">
        <v>6</v>
      </c>
      <c r="U1295" s="556" t="str">
        <f t="shared" ca="1" si="213"/>
        <v/>
      </c>
      <c r="V1295" s="494">
        <v>7</v>
      </c>
      <c r="W1295" s="556" t="str">
        <f t="shared" ca="1" si="214"/>
        <v/>
      </c>
      <c r="X1295" s="494" t="s">
        <v>198</v>
      </c>
      <c r="Y1295" s="547" t="str">
        <f t="shared" ca="1" si="218"/>
        <v/>
      </c>
      <c r="Z1295" s="494" t="s">
        <v>1612</v>
      </c>
      <c r="AA1295" s="547" t="str">
        <f t="shared" ca="1" si="219"/>
        <v/>
      </c>
      <c r="AB1295" s="494" t="s">
        <v>1613</v>
      </c>
      <c r="AC1295" s="547" t="str">
        <f t="shared" ca="1" si="220"/>
        <v/>
      </c>
      <c r="AD1295" s="557"/>
      <c r="AE1295" s="958"/>
    </row>
    <row r="1296" spans="1:31" ht="15" customHeight="1">
      <c r="A1296" s="957">
        <v>100</v>
      </c>
      <c r="B1296" s="566" t="s">
        <v>535</v>
      </c>
      <c r="C1296" s="567" t="s">
        <v>1595</v>
      </c>
      <c r="D1296" s="958">
        <v>1.2</v>
      </c>
      <c r="E1296" s="959" t="s">
        <v>306</v>
      </c>
      <c r="F1296" s="558" t="s">
        <v>1454</v>
      </c>
      <c r="G1296" s="558">
        <v>842</v>
      </c>
      <c r="H1296" s="558">
        <v>11.2</v>
      </c>
      <c r="I1296" s="559" t="s">
        <v>327</v>
      </c>
      <c r="J1296" s="567" t="s">
        <v>1606</v>
      </c>
      <c r="K1296" s="961" t="s">
        <v>1607</v>
      </c>
      <c r="L1296" s="555" t="str">
        <f t="shared" ca="1" si="215"/>
        <v/>
      </c>
      <c r="M1296" s="494" t="s">
        <v>1608</v>
      </c>
      <c r="N1296" s="555" t="str">
        <f t="shared" ca="1" si="216"/>
        <v/>
      </c>
      <c r="O1296" s="494" t="s">
        <v>1609</v>
      </c>
      <c r="P1296" s="555" t="str">
        <f t="shared" ca="1" si="217"/>
        <v/>
      </c>
      <c r="Q1296" s="494" t="s">
        <v>1610</v>
      </c>
      <c r="R1296" s="494" t="str">
        <f t="shared" si="221"/>
        <v>H1296</v>
      </c>
      <c r="S1296" s="494" t="s">
        <v>1611</v>
      </c>
      <c r="T1296" s="494">
        <v>6</v>
      </c>
      <c r="U1296" s="556" t="str">
        <f t="shared" ca="1" si="213"/>
        <v/>
      </c>
      <c r="V1296" s="494">
        <v>7</v>
      </c>
      <c r="W1296" s="556" t="str">
        <f t="shared" ca="1" si="214"/>
        <v/>
      </c>
      <c r="X1296" s="494" t="s">
        <v>198</v>
      </c>
      <c r="Y1296" s="547" t="str">
        <f t="shared" ca="1" si="218"/>
        <v/>
      </c>
      <c r="Z1296" s="494" t="s">
        <v>1612</v>
      </c>
      <c r="AA1296" s="547" t="str">
        <f t="shared" ca="1" si="219"/>
        <v/>
      </c>
      <c r="AB1296" s="494" t="s">
        <v>1613</v>
      </c>
      <c r="AC1296" s="547" t="str">
        <f t="shared" ca="1" si="220"/>
        <v/>
      </c>
      <c r="AD1296" s="557"/>
      <c r="AE1296" s="958"/>
    </row>
    <row r="1297" spans="1:31" ht="15" customHeight="1">
      <c r="A1297" s="957">
        <v>100</v>
      </c>
      <c r="B1297" s="566" t="s">
        <v>535</v>
      </c>
      <c r="C1297" s="567" t="s">
        <v>1595</v>
      </c>
      <c r="D1297" s="958">
        <v>1.2</v>
      </c>
      <c r="E1297" s="959" t="s">
        <v>306</v>
      </c>
      <c r="F1297" s="558" t="s">
        <v>1454</v>
      </c>
      <c r="G1297" s="558">
        <v>843</v>
      </c>
      <c r="H1297" s="558">
        <v>12.1</v>
      </c>
      <c r="I1297" s="559" t="s">
        <v>330</v>
      </c>
      <c r="J1297" s="567" t="s">
        <v>1606</v>
      </c>
      <c r="K1297" s="961" t="s">
        <v>1607</v>
      </c>
      <c r="L1297" s="555" t="str">
        <f t="shared" ca="1" si="215"/>
        <v/>
      </c>
      <c r="M1297" s="494" t="s">
        <v>1608</v>
      </c>
      <c r="N1297" s="555" t="str">
        <f t="shared" ca="1" si="216"/>
        <v/>
      </c>
      <c r="O1297" s="494" t="s">
        <v>1609</v>
      </c>
      <c r="P1297" s="555" t="str">
        <f t="shared" ca="1" si="217"/>
        <v/>
      </c>
      <c r="Q1297" s="494" t="s">
        <v>1610</v>
      </c>
      <c r="R1297" s="494" t="str">
        <f t="shared" si="221"/>
        <v>H1297</v>
      </c>
      <c r="S1297" s="494" t="s">
        <v>1611</v>
      </c>
      <c r="T1297" s="494">
        <v>6</v>
      </c>
      <c r="U1297" s="556" t="str">
        <f t="shared" ca="1" si="213"/>
        <v/>
      </c>
      <c r="V1297" s="494">
        <v>7</v>
      </c>
      <c r="W1297" s="556" t="str">
        <f t="shared" ca="1" si="214"/>
        <v/>
      </c>
      <c r="X1297" s="494" t="s">
        <v>198</v>
      </c>
      <c r="Y1297" s="547" t="str">
        <f t="shared" ca="1" si="218"/>
        <v/>
      </c>
      <c r="Z1297" s="494" t="s">
        <v>1612</v>
      </c>
      <c r="AA1297" s="547" t="str">
        <f t="shared" ca="1" si="219"/>
        <v/>
      </c>
      <c r="AB1297" s="494" t="s">
        <v>1613</v>
      </c>
      <c r="AC1297" s="547" t="str">
        <f t="shared" ca="1" si="220"/>
        <v/>
      </c>
      <c r="AD1297" s="557"/>
      <c r="AE1297" s="958"/>
    </row>
    <row r="1298" spans="1:31" ht="15" customHeight="1">
      <c r="A1298" s="957">
        <v>100</v>
      </c>
      <c r="B1298" s="566" t="s">
        <v>535</v>
      </c>
      <c r="C1298" s="567" t="s">
        <v>1595</v>
      </c>
      <c r="D1298" s="958">
        <v>1.2</v>
      </c>
      <c r="E1298" s="959" t="s">
        <v>306</v>
      </c>
      <c r="F1298" s="558" t="s">
        <v>1454</v>
      </c>
      <c r="G1298" s="558">
        <v>844</v>
      </c>
      <c r="H1298" s="558">
        <v>12.2</v>
      </c>
      <c r="I1298" s="559" t="s">
        <v>331</v>
      </c>
      <c r="J1298" s="567" t="s">
        <v>1606</v>
      </c>
      <c r="K1298" s="961" t="s">
        <v>1607</v>
      </c>
      <c r="L1298" s="555" t="str">
        <f t="shared" ca="1" si="215"/>
        <v/>
      </c>
      <c r="M1298" s="494" t="s">
        <v>1608</v>
      </c>
      <c r="N1298" s="555" t="str">
        <f t="shared" ca="1" si="216"/>
        <v/>
      </c>
      <c r="O1298" s="494" t="s">
        <v>1609</v>
      </c>
      <c r="P1298" s="555" t="str">
        <f t="shared" ca="1" si="217"/>
        <v/>
      </c>
      <c r="Q1298" s="494" t="s">
        <v>1610</v>
      </c>
      <c r="R1298" s="494" t="str">
        <f t="shared" si="221"/>
        <v>H1298</v>
      </c>
      <c r="S1298" s="494" t="s">
        <v>1611</v>
      </c>
      <c r="T1298" s="494">
        <v>6</v>
      </c>
      <c r="U1298" s="556" t="str">
        <f t="shared" ca="1" si="213"/>
        <v/>
      </c>
      <c r="V1298" s="494">
        <v>7</v>
      </c>
      <c r="W1298" s="556" t="str">
        <f t="shared" ca="1" si="214"/>
        <v/>
      </c>
      <c r="X1298" s="494" t="s">
        <v>198</v>
      </c>
      <c r="Y1298" s="547" t="str">
        <f t="shared" ca="1" si="218"/>
        <v/>
      </c>
      <c r="Z1298" s="494" t="s">
        <v>1612</v>
      </c>
      <c r="AA1298" s="547" t="str">
        <f t="shared" ca="1" si="219"/>
        <v/>
      </c>
      <c r="AB1298" s="494" t="s">
        <v>1613</v>
      </c>
      <c r="AC1298" s="547" t="str">
        <f t="shared" ca="1" si="220"/>
        <v/>
      </c>
      <c r="AD1298" s="557"/>
      <c r="AE1298" s="958"/>
    </row>
    <row r="1299" spans="1:31" ht="15" customHeight="1">
      <c r="A1299" s="957">
        <v>100</v>
      </c>
      <c r="B1299" s="566" t="s">
        <v>535</v>
      </c>
      <c r="C1299" s="567" t="s">
        <v>1595</v>
      </c>
      <c r="D1299" s="958">
        <v>1.2</v>
      </c>
      <c r="E1299" s="959" t="s">
        <v>306</v>
      </c>
      <c r="F1299" s="558" t="s">
        <v>1454</v>
      </c>
      <c r="G1299" s="558">
        <v>845</v>
      </c>
      <c r="H1299" s="558">
        <v>12.3</v>
      </c>
      <c r="I1299" s="559" t="s">
        <v>556</v>
      </c>
      <c r="J1299" s="567" t="s">
        <v>1606</v>
      </c>
      <c r="K1299" s="961" t="s">
        <v>1607</v>
      </c>
      <c r="L1299" s="555" t="str">
        <f t="shared" ca="1" si="215"/>
        <v/>
      </c>
      <c r="M1299" s="494" t="s">
        <v>1608</v>
      </c>
      <c r="N1299" s="555" t="str">
        <f t="shared" ca="1" si="216"/>
        <v/>
      </c>
      <c r="O1299" s="494" t="s">
        <v>1609</v>
      </c>
      <c r="P1299" s="555" t="str">
        <f t="shared" ca="1" si="217"/>
        <v/>
      </c>
      <c r="Q1299" s="494" t="s">
        <v>1610</v>
      </c>
      <c r="R1299" s="494" t="str">
        <f t="shared" si="221"/>
        <v>H1299</v>
      </c>
      <c r="S1299" s="494" t="s">
        <v>1611</v>
      </c>
      <c r="T1299" s="494">
        <v>6</v>
      </c>
      <c r="U1299" s="556" t="str">
        <f t="shared" ca="1" si="213"/>
        <v/>
      </c>
      <c r="V1299" s="494">
        <v>7</v>
      </c>
      <c r="W1299" s="556" t="str">
        <f t="shared" ca="1" si="214"/>
        <v/>
      </c>
      <c r="X1299" s="494" t="s">
        <v>198</v>
      </c>
      <c r="Y1299" s="547" t="str">
        <f t="shared" ca="1" si="218"/>
        <v/>
      </c>
      <c r="Z1299" s="494" t="s">
        <v>1612</v>
      </c>
      <c r="AA1299" s="547" t="str">
        <f t="shared" ca="1" si="219"/>
        <v/>
      </c>
      <c r="AB1299" s="494" t="s">
        <v>1613</v>
      </c>
      <c r="AC1299" s="547" t="str">
        <f t="shared" ca="1" si="220"/>
        <v/>
      </c>
      <c r="AD1299" s="557"/>
      <c r="AE1299" s="958"/>
    </row>
    <row r="1300" spans="1:31" ht="15" customHeight="1">
      <c r="A1300" s="957">
        <v>100</v>
      </c>
      <c r="B1300" s="566" t="s">
        <v>535</v>
      </c>
      <c r="C1300" s="567" t="s">
        <v>1595</v>
      </c>
      <c r="D1300" s="958">
        <v>1.2</v>
      </c>
      <c r="E1300" s="959" t="s">
        <v>306</v>
      </c>
      <c r="F1300" s="558" t="s">
        <v>1454</v>
      </c>
      <c r="G1300" s="558">
        <v>846</v>
      </c>
      <c r="H1300" s="558">
        <v>13.1</v>
      </c>
      <c r="I1300" s="559" t="s">
        <v>332</v>
      </c>
      <c r="J1300" s="567" t="s">
        <v>1606</v>
      </c>
      <c r="K1300" s="961" t="s">
        <v>1607</v>
      </c>
      <c r="L1300" s="555" t="str">
        <f t="shared" ca="1" si="215"/>
        <v/>
      </c>
      <c r="M1300" s="494" t="s">
        <v>1608</v>
      </c>
      <c r="N1300" s="555" t="str">
        <f t="shared" ca="1" si="216"/>
        <v/>
      </c>
      <c r="O1300" s="494" t="s">
        <v>1609</v>
      </c>
      <c r="P1300" s="555" t="str">
        <f t="shared" ca="1" si="217"/>
        <v/>
      </c>
      <c r="Q1300" s="494" t="s">
        <v>1610</v>
      </c>
      <c r="R1300" s="494" t="str">
        <f t="shared" si="221"/>
        <v>H1300</v>
      </c>
      <c r="S1300" s="494" t="s">
        <v>1611</v>
      </c>
      <c r="T1300" s="494">
        <v>6</v>
      </c>
      <c r="U1300" s="556" t="str">
        <f t="shared" ca="1" si="213"/>
        <v/>
      </c>
      <c r="V1300" s="494">
        <v>7</v>
      </c>
      <c r="W1300" s="556" t="str">
        <f t="shared" ca="1" si="214"/>
        <v/>
      </c>
      <c r="X1300" s="494" t="s">
        <v>198</v>
      </c>
      <c r="Y1300" s="547" t="str">
        <f t="shared" ca="1" si="218"/>
        <v/>
      </c>
      <c r="Z1300" s="494" t="s">
        <v>1612</v>
      </c>
      <c r="AA1300" s="547" t="str">
        <f t="shared" ca="1" si="219"/>
        <v/>
      </c>
      <c r="AB1300" s="494" t="s">
        <v>1613</v>
      </c>
      <c r="AC1300" s="547" t="str">
        <f t="shared" ca="1" si="220"/>
        <v/>
      </c>
      <c r="AD1300" s="557"/>
      <c r="AE1300" s="958"/>
    </row>
    <row r="1301" spans="1:31" ht="15" customHeight="1">
      <c r="A1301" s="957">
        <v>100</v>
      </c>
      <c r="B1301" s="566" t="s">
        <v>535</v>
      </c>
      <c r="C1301" s="567" t="s">
        <v>1595</v>
      </c>
      <c r="D1301" s="958">
        <v>1.2</v>
      </c>
      <c r="E1301" s="959" t="s">
        <v>306</v>
      </c>
      <c r="F1301" s="558" t="s">
        <v>1454</v>
      </c>
      <c r="G1301" s="558">
        <v>847</v>
      </c>
      <c r="H1301" s="558">
        <v>13.2</v>
      </c>
      <c r="I1301" s="559" t="s">
        <v>334</v>
      </c>
      <c r="J1301" s="567" t="s">
        <v>1606</v>
      </c>
      <c r="K1301" s="961" t="s">
        <v>1607</v>
      </c>
      <c r="L1301" s="555" t="str">
        <f t="shared" ca="1" si="215"/>
        <v/>
      </c>
      <c r="M1301" s="494" t="s">
        <v>1608</v>
      </c>
      <c r="N1301" s="555" t="str">
        <f t="shared" ca="1" si="216"/>
        <v/>
      </c>
      <c r="O1301" s="494" t="s">
        <v>1609</v>
      </c>
      <c r="P1301" s="555" t="str">
        <f t="shared" ca="1" si="217"/>
        <v/>
      </c>
      <c r="Q1301" s="494" t="s">
        <v>1610</v>
      </c>
      <c r="R1301" s="494" t="str">
        <f t="shared" si="221"/>
        <v>H1301</v>
      </c>
      <c r="S1301" s="494" t="s">
        <v>1611</v>
      </c>
      <c r="T1301" s="494">
        <v>6</v>
      </c>
      <c r="U1301" s="556" t="str">
        <f t="shared" ca="1" si="213"/>
        <v/>
      </c>
      <c r="V1301" s="494">
        <v>7</v>
      </c>
      <c r="W1301" s="556" t="str">
        <f t="shared" ca="1" si="214"/>
        <v/>
      </c>
      <c r="X1301" s="494" t="s">
        <v>198</v>
      </c>
      <c r="Y1301" s="547" t="str">
        <f t="shared" ca="1" si="218"/>
        <v/>
      </c>
      <c r="Z1301" s="494" t="s">
        <v>1612</v>
      </c>
      <c r="AA1301" s="547" t="str">
        <f t="shared" ca="1" si="219"/>
        <v/>
      </c>
      <c r="AB1301" s="494" t="s">
        <v>1613</v>
      </c>
      <c r="AC1301" s="547" t="str">
        <f t="shared" ca="1" si="220"/>
        <v/>
      </c>
      <c r="AD1301" s="557"/>
      <c r="AE1301" s="958"/>
    </row>
    <row r="1302" spans="1:31" ht="15" customHeight="1">
      <c r="A1302" s="957">
        <v>100</v>
      </c>
      <c r="B1302" s="566" t="s">
        <v>535</v>
      </c>
      <c r="C1302" s="567" t="s">
        <v>1595</v>
      </c>
      <c r="D1302" s="958">
        <v>1.2</v>
      </c>
      <c r="E1302" s="959" t="s">
        <v>306</v>
      </c>
      <c r="F1302" s="558" t="s">
        <v>1454</v>
      </c>
      <c r="G1302" s="558">
        <v>848</v>
      </c>
      <c r="H1302" s="558" t="s">
        <v>559</v>
      </c>
      <c r="I1302" s="559" t="s">
        <v>560</v>
      </c>
      <c r="J1302" s="567" t="s">
        <v>1606</v>
      </c>
      <c r="K1302" s="961" t="s">
        <v>1607</v>
      </c>
      <c r="L1302" s="555" t="str">
        <f t="shared" ca="1" si="215"/>
        <v/>
      </c>
      <c r="M1302" s="494" t="s">
        <v>1608</v>
      </c>
      <c r="N1302" s="555" t="str">
        <f t="shared" ca="1" si="216"/>
        <v/>
      </c>
      <c r="O1302" s="494" t="s">
        <v>1609</v>
      </c>
      <c r="P1302" s="555" t="str">
        <f t="shared" ca="1" si="217"/>
        <v/>
      </c>
      <c r="Q1302" s="494" t="s">
        <v>1610</v>
      </c>
      <c r="R1302" s="494" t="str">
        <f t="shared" si="221"/>
        <v>H1302</v>
      </c>
      <c r="S1302" s="494" t="s">
        <v>1611</v>
      </c>
      <c r="T1302" s="494">
        <v>6</v>
      </c>
      <c r="U1302" s="556" t="str">
        <f t="shared" ca="1" si="213"/>
        <v/>
      </c>
      <c r="V1302" s="494">
        <v>7</v>
      </c>
      <c r="W1302" s="556" t="str">
        <f t="shared" ca="1" si="214"/>
        <v/>
      </c>
      <c r="X1302" s="494" t="s">
        <v>198</v>
      </c>
      <c r="Y1302" s="547" t="str">
        <f t="shared" ca="1" si="218"/>
        <v/>
      </c>
      <c r="Z1302" s="494" t="s">
        <v>1612</v>
      </c>
      <c r="AA1302" s="547" t="str">
        <f t="shared" ca="1" si="219"/>
        <v/>
      </c>
      <c r="AB1302" s="494" t="s">
        <v>1613</v>
      </c>
      <c r="AC1302" s="547" t="str">
        <f t="shared" ca="1" si="220"/>
        <v/>
      </c>
      <c r="AD1302" s="557"/>
      <c r="AE1302" s="958"/>
    </row>
    <row r="1303" spans="1:31" ht="15" customHeight="1">
      <c r="A1303" s="957">
        <v>100</v>
      </c>
      <c r="B1303" s="566" t="s">
        <v>535</v>
      </c>
      <c r="C1303" s="567" t="s">
        <v>1595</v>
      </c>
      <c r="D1303" s="958">
        <v>1.2</v>
      </c>
      <c r="E1303" s="959" t="s">
        <v>306</v>
      </c>
      <c r="F1303" s="558" t="s">
        <v>1454</v>
      </c>
      <c r="G1303" s="558">
        <v>848</v>
      </c>
      <c r="H1303" s="558" t="s">
        <v>561</v>
      </c>
      <c r="I1303" s="559" t="s">
        <v>558</v>
      </c>
      <c r="J1303" s="567" t="s">
        <v>1606</v>
      </c>
      <c r="K1303" s="961" t="s">
        <v>1607</v>
      </c>
      <c r="L1303" s="555" t="str">
        <f t="shared" ca="1" si="215"/>
        <v/>
      </c>
      <c r="M1303" s="494" t="s">
        <v>1608</v>
      </c>
      <c r="N1303" s="555" t="str">
        <f t="shared" ca="1" si="216"/>
        <v/>
      </c>
      <c r="O1303" s="494" t="s">
        <v>1609</v>
      </c>
      <c r="P1303" s="555" t="str">
        <f t="shared" ca="1" si="217"/>
        <v/>
      </c>
      <c r="Q1303" s="494" t="s">
        <v>1610</v>
      </c>
      <c r="R1303" s="494" t="str">
        <f t="shared" si="221"/>
        <v>H1303</v>
      </c>
      <c r="S1303" s="494" t="s">
        <v>1611</v>
      </c>
      <c r="T1303" s="494">
        <v>6</v>
      </c>
      <c r="U1303" s="556" t="str">
        <f t="shared" ca="1" si="213"/>
        <v/>
      </c>
      <c r="V1303" s="494">
        <v>7</v>
      </c>
      <c r="W1303" s="556" t="str">
        <f t="shared" ca="1" si="214"/>
        <v/>
      </c>
      <c r="X1303" s="494" t="s">
        <v>198</v>
      </c>
      <c r="Y1303" s="547" t="str">
        <f t="shared" ca="1" si="218"/>
        <v/>
      </c>
      <c r="Z1303" s="494" t="s">
        <v>1612</v>
      </c>
      <c r="AA1303" s="547" t="str">
        <f t="shared" ca="1" si="219"/>
        <v/>
      </c>
      <c r="AB1303" s="494" t="s">
        <v>1613</v>
      </c>
      <c r="AC1303" s="547" t="str">
        <f t="shared" ca="1" si="220"/>
        <v/>
      </c>
      <c r="AD1303" s="557"/>
      <c r="AE1303" s="958"/>
    </row>
    <row r="1304" spans="1:31" ht="15" customHeight="1">
      <c r="A1304" s="957">
        <v>100</v>
      </c>
      <c r="B1304" s="566" t="s">
        <v>535</v>
      </c>
      <c r="C1304" s="567" t="s">
        <v>1595</v>
      </c>
      <c r="D1304" s="958">
        <v>1.2</v>
      </c>
      <c r="E1304" s="959" t="s">
        <v>306</v>
      </c>
      <c r="F1304" s="558" t="s">
        <v>1454</v>
      </c>
      <c r="G1304" s="558">
        <v>849</v>
      </c>
      <c r="H1304" s="558">
        <v>15</v>
      </c>
      <c r="I1304" s="559" t="s">
        <v>564</v>
      </c>
      <c r="J1304" s="567" t="s">
        <v>1606</v>
      </c>
      <c r="K1304" s="961" t="s">
        <v>1607</v>
      </c>
      <c r="L1304" s="555" t="str">
        <f t="shared" ca="1" si="215"/>
        <v/>
      </c>
      <c r="M1304" s="494" t="s">
        <v>1608</v>
      </c>
      <c r="N1304" s="555" t="str">
        <f t="shared" ca="1" si="216"/>
        <v/>
      </c>
      <c r="O1304" s="494" t="s">
        <v>1609</v>
      </c>
      <c r="P1304" s="555" t="str">
        <f t="shared" ca="1" si="217"/>
        <v/>
      </c>
      <c r="Q1304" s="494" t="s">
        <v>1610</v>
      </c>
      <c r="R1304" s="494" t="str">
        <f t="shared" si="221"/>
        <v>H1304</v>
      </c>
      <c r="S1304" s="494" t="s">
        <v>1611</v>
      </c>
      <c r="T1304" s="494">
        <v>6</v>
      </c>
      <c r="U1304" s="556" t="str">
        <f t="shared" ca="1" si="213"/>
        <v/>
      </c>
      <c r="V1304" s="494">
        <v>7</v>
      </c>
      <c r="W1304" s="556" t="str">
        <f t="shared" ca="1" si="214"/>
        <v/>
      </c>
      <c r="X1304" s="494" t="s">
        <v>198</v>
      </c>
      <c r="Y1304" s="547" t="str">
        <f t="shared" ca="1" si="218"/>
        <v/>
      </c>
      <c r="Z1304" s="494" t="s">
        <v>1612</v>
      </c>
      <c r="AA1304" s="547" t="str">
        <f t="shared" ca="1" si="219"/>
        <v/>
      </c>
      <c r="AB1304" s="494" t="s">
        <v>1613</v>
      </c>
      <c r="AC1304" s="547" t="str">
        <f t="shared" ca="1" si="220"/>
        <v/>
      </c>
      <c r="AD1304" s="557"/>
      <c r="AE1304" s="958"/>
    </row>
    <row r="1305" spans="1:31" ht="15" customHeight="1">
      <c r="A1305" s="957">
        <v>100</v>
      </c>
      <c r="B1305" s="566" t="s">
        <v>535</v>
      </c>
      <c r="C1305" s="567" t="s">
        <v>1595</v>
      </c>
      <c r="D1305" s="958">
        <v>1.2</v>
      </c>
      <c r="E1305" s="959" t="s">
        <v>335</v>
      </c>
      <c r="F1305" s="558" t="s">
        <v>1455</v>
      </c>
      <c r="G1305" s="558">
        <v>851</v>
      </c>
      <c r="H1305" s="558" t="s">
        <v>617</v>
      </c>
      <c r="I1305" s="559" t="s">
        <v>565</v>
      </c>
      <c r="J1305" s="567" t="s">
        <v>1606</v>
      </c>
      <c r="K1305" s="961" t="s">
        <v>1607</v>
      </c>
      <c r="L1305" s="555" t="str">
        <f t="shared" ca="1" si="215"/>
        <v/>
      </c>
      <c r="M1305" s="494" t="s">
        <v>1608</v>
      </c>
      <c r="N1305" s="555" t="str">
        <f t="shared" ca="1" si="216"/>
        <v/>
      </c>
      <c r="O1305" s="494" t="s">
        <v>1609</v>
      </c>
      <c r="P1305" s="555" t="str">
        <f t="shared" ca="1" si="217"/>
        <v/>
      </c>
      <c r="Q1305" s="494" t="s">
        <v>1610</v>
      </c>
      <c r="R1305" s="494" t="str">
        <f t="shared" si="221"/>
        <v>H1305</v>
      </c>
      <c r="S1305" s="494" t="s">
        <v>1611</v>
      </c>
      <c r="T1305" s="494">
        <v>6</v>
      </c>
      <c r="U1305" s="556" t="str">
        <f t="shared" ca="1" si="213"/>
        <v/>
      </c>
      <c r="V1305" s="494">
        <v>7</v>
      </c>
      <c r="W1305" s="556" t="str">
        <f t="shared" ca="1" si="214"/>
        <v/>
      </c>
      <c r="X1305" s="494" t="s">
        <v>198</v>
      </c>
      <c r="Y1305" s="547" t="str">
        <f t="shared" ca="1" si="218"/>
        <v/>
      </c>
      <c r="Z1305" s="494" t="s">
        <v>1612</v>
      </c>
      <c r="AA1305" s="547" t="str">
        <f t="shared" ca="1" si="219"/>
        <v/>
      </c>
      <c r="AB1305" s="494" t="s">
        <v>1613</v>
      </c>
      <c r="AC1305" s="547" t="str">
        <f t="shared" ca="1" si="220"/>
        <v/>
      </c>
      <c r="AD1305" s="557"/>
      <c r="AE1305" s="958"/>
    </row>
    <row r="1306" spans="1:31" ht="15" customHeight="1">
      <c r="A1306" s="957">
        <v>100</v>
      </c>
      <c r="B1306" s="566" t="s">
        <v>535</v>
      </c>
      <c r="C1306" s="567" t="s">
        <v>1595</v>
      </c>
      <c r="D1306" s="958">
        <v>1.2</v>
      </c>
      <c r="E1306" s="959" t="s">
        <v>335</v>
      </c>
      <c r="F1306" s="558" t="s">
        <v>1455</v>
      </c>
      <c r="G1306" s="558">
        <v>851</v>
      </c>
      <c r="H1306" s="558" t="s">
        <v>618</v>
      </c>
      <c r="I1306" s="559" t="s">
        <v>619</v>
      </c>
      <c r="J1306" s="567" t="s">
        <v>1606</v>
      </c>
      <c r="K1306" s="961" t="s">
        <v>1607</v>
      </c>
      <c r="L1306" s="555" t="str">
        <f t="shared" ca="1" si="215"/>
        <v/>
      </c>
      <c r="M1306" s="494" t="s">
        <v>1608</v>
      </c>
      <c r="N1306" s="555" t="str">
        <f t="shared" ca="1" si="216"/>
        <v/>
      </c>
      <c r="O1306" s="494" t="s">
        <v>1609</v>
      </c>
      <c r="P1306" s="555" t="str">
        <f t="shared" ca="1" si="217"/>
        <v/>
      </c>
      <c r="Q1306" s="494" t="s">
        <v>1610</v>
      </c>
      <c r="R1306" s="494" t="str">
        <f t="shared" si="221"/>
        <v>H1306</v>
      </c>
      <c r="S1306" s="494" t="s">
        <v>1611</v>
      </c>
      <c r="T1306" s="494">
        <v>6</v>
      </c>
      <c r="U1306" s="556" t="str">
        <f t="shared" ca="1" si="213"/>
        <v/>
      </c>
      <c r="V1306" s="494">
        <v>7</v>
      </c>
      <c r="W1306" s="556" t="str">
        <f t="shared" ca="1" si="214"/>
        <v/>
      </c>
      <c r="X1306" s="494" t="s">
        <v>198</v>
      </c>
      <c r="Y1306" s="547" t="str">
        <f t="shared" ca="1" si="218"/>
        <v/>
      </c>
      <c r="Z1306" s="494" t="s">
        <v>1612</v>
      </c>
      <c r="AA1306" s="547" t="str">
        <f t="shared" ca="1" si="219"/>
        <v/>
      </c>
      <c r="AB1306" s="494" t="s">
        <v>1613</v>
      </c>
      <c r="AC1306" s="547" t="str">
        <f t="shared" ca="1" si="220"/>
        <v/>
      </c>
      <c r="AD1306" s="557"/>
      <c r="AE1306" s="958"/>
    </row>
    <row r="1307" spans="1:31" ht="15" customHeight="1">
      <c r="A1307" s="957">
        <v>100</v>
      </c>
      <c r="B1307" s="566" t="s">
        <v>535</v>
      </c>
      <c r="C1307" s="567" t="s">
        <v>1595</v>
      </c>
      <c r="D1307" s="958">
        <v>1.2</v>
      </c>
      <c r="E1307" s="959" t="s">
        <v>335</v>
      </c>
      <c r="F1307" s="558" t="s">
        <v>1455</v>
      </c>
      <c r="G1307" s="558">
        <v>851</v>
      </c>
      <c r="H1307" s="558" t="s">
        <v>620</v>
      </c>
      <c r="I1307" s="559" t="s">
        <v>621</v>
      </c>
      <c r="J1307" s="567" t="s">
        <v>1606</v>
      </c>
      <c r="K1307" s="961" t="s">
        <v>1607</v>
      </c>
      <c r="L1307" s="555" t="str">
        <f t="shared" ca="1" si="215"/>
        <v/>
      </c>
      <c r="M1307" s="494" t="s">
        <v>1608</v>
      </c>
      <c r="N1307" s="555" t="str">
        <f t="shared" ca="1" si="216"/>
        <v/>
      </c>
      <c r="O1307" s="494" t="s">
        <v>1609</v>
      </c>
      <c r="P1307" s="555" t="str">
        <f t="shared" ca="1" si="217"/>
        <v/>
      </c>
      <c r="Q1307" s="494" t="s">
        <v>1610</v>
      </c>
      <c r="R1307" s="494" t="str">
        <f t="shared" si="221"/>
        <v>H1307</v>
      </c>
      <c r="S1307" s="494" t="s">
        <v>1611</v>
      </c>
      <c r="T1307" s="494">
        <v>6</v>
      </c>
      <c r="U1307" s="556" t="str">
        <f t="shared" ca="1" si="213"/>
        <v/>
      </c>
      <c r="V1307" s="494">
        <v>7</v>
      </c>
      <c r="W1307" s="556" t="str">
        <f t="shared" ca="1" si="214"/>
        <v/>
      </c>
      <c r="X1307" s="494" t="s">
        <v>198</v>
      </c>
      <c r="Y1307" s="547" t="str">
        <f t="shared" ca="1" si="218"/>
        <v/>
      </c>
      <c r="Z1307" s="494" t="s">
        <v>1612</v>
      </c>
      <c r="AA1307" s="547" t="str">
        <f t="shared" ca="1" si="219"/>
        <v/>
      </c>
      <c r="AB1307" s="494" t="s">
        <v>1613</v>
      </c>
      <c r="AC1307" s="547" t="str">
        <f t="shared" ca="1" si="220"/>
        <v/>
      </c>
      <c r="AD1307" s="557"/>
      <c r="AE1307" s="958"/>
    </row>
    <row r="1308" spans="1:31" ht="15" customHeight="1">
      <c r="A1308" s="957">
        <v>100</v>
      </c>
      <c r="B1308" s="566" t="s">
        <v>535</v>
      </c>
      <c r="C1308" s="567" t="s">
        <v>1595</v>
      </c>
      <c r="D1308" s="958">
        <v>1.2</v>
      </c>
      <c r="E1308" s="959" t="s">
        <v>335</v>
      </c>
      <c r="F1308" s="558" t="s">
        <v>1455</v>
      </c>
      <c r="G1308" s="558">
        <v>851</v>
      </c>
      <c r="H1308" s="558" t="s">
        <v>623</v>
      </c>
      <c r="I1308" s="559" t="s">
        <v>1465</v>
      </c>
      <c r="J1308" s="567" t="s">
        <v>1606</v>
      </c>
      <c r="K1308" s="961" t="s">
        <v>1607</v>
      </c>
      <c r="L1308" s="555" t="str">
        <f t="shared" ca="1" si="215"/>
        <v/>
      </c>
      <c r="M1308" s="494" t="s">
        <v>1608</v>
      </c>
      <c r="N1308" s="555" t="str">
        <f t="shared" ca="1" si="216"/>
        <v/>
      </c>
      <c r="O1308" s="494" t="s">
        <v>1609</v>
      </c>
      <c r="P1308" s="555" t="str">
        <f t="shared" ca="1" si="217"/>
        <v/>
      </c>
      <c r="Q1308" s="494" t="s">
        <v>1610</v>
      </c>
      <c r="R1308" s="494" t="str">
        <f t="shared" si="221"/>
        <v>H1308</v>
      </c>
      <c r="S1308" s="494" t="s">
        <v>1611</v>
      </c>
      <c r="T1308" s="494">
        <v>6</v>
      </c>
      <c r="U1308" s="556" t="str">
        <f t="shared" ca="1" si="213"/>
        <v/>
      </c>
      <c r="V1308" s="494">
        <v>7</v>
      </c>
      <c r="W1308" s="556" t="str">
        <f t="shared" ca="1" si="214"/>
        <v/>
      </c>
      <c r="X1308" s="494" t="s">
        <v>198</v>
      </c>
      <c r="Y1308" s="547" t="str">
        <f t="shared" ca="1" si="218"/>
        <v/>
      </c>
      <c r="Z1308" s="494" t="s">
        <v>1612</v>
      </c>
      <c r="AA1308" s="547" t="str">
        <f t="shared" ca="1" si="219"/>
        <v/>
      </c>
      <c r="AB1308" s="494" t="s">
        <v>1613</v>
      </c>
      <c r="AC1308" s="547" t="str">
        <f t="shared" ca="1" si="220"/>
        <v/>
      </c>
      <c r="AD1308" s="557"/>
      <c r="AE1308" s="958"/>
    </row>
    <row r="1309" spans="1:31" ht="15" customHeight="1">
      <c r="A1309" s="957">
        <v>100</v>
      </c>
      <c r="B1309" s="566" t="s">
        <v>535</v>
      </c>
      <c r="C1309" s="567" t="s">
        <v>1595</v>
      </c>
      <c r="D1309" s="958">
        <v>1.2</v>
      </c>
      <c r="E1309" s="959" t="s">
        <v>335</v>
      </c>
      <c r="F1309" s="558" t="s">
        <v>1455</v>
      </c>
      <c r="G1309" s="558">
        <v>851</v>
      </c>
      <c r="H1309" s="558" t="s">
        <v>625</v>
      </c>
      <c r="I1309" s="559" t="s">
        <v>626</v>
      </c>
      <c r="J1309" s="567" t="s">
        <v>1606</v>
      </c>
      <c r="K1309" s="961" t="s">
        <v>1607</v>
      </c>
      <c r="L1309" s="555" t="str">
        <f t="shared" ca="1" si="215"/>
        <v/>
      </c>
      <c r="M1309" s="494" t="s">
        <v>1608</v>
      </c>
      <c r="N1309" s="555" t="str">
        <f t="shared" ca="1" si="216"/>
        <v/>
      </c>
      <c r="O1309" s="494" t="s">
        <v>1609</v>
      </c>
      <c r="P1309" s="555" t="str">
        <f t="shared" ca="1" si="217"/>
        <v/>
      </c>
      <c r="Q1309" s="494" t="s">
        <v>1610</v>
      </c>
      <c r="R1309" s="494" t="str">
        <f t="shared" si="221"/>
        <v>H1309</v>
      </c>
      <c r="S1309" s="494" t="s">
        <v>1611</v>
      </c>
      <c r="T1309" s="494">
        <v>6</v>
      </c>
      <c r="U1309" s="556" t="str">
        <f t="shared" ca="1" si="213"/>
        <v/>
      </c>
      <c r="V1309" s="494">
        <v>7</v>
      </c>
      <c r="W1309" s="556" t="str">
        <f t="shared" ca="1" si="214"/>
        <v/>
      </c>
      <c r="X1309" s="494" t="s">
        <v>198</v>
      </c>
      <c r="Y1309" s="547" t="str">
        <f t="shared" ca="1" si="218"/>
        <v/>
      </c>
      <c r="Z1309" s="494" t="s">
        <v>1612</v>
      </c>
      <c r="AA1309" s="547" t="str">
        <f t="shared" ca="1" si="219"/>
        <v/>
      </c>
      <c r="AB1309" s="494" t="s">
        <v>1613</v>
      </c>
      <c r="AC1309" s="547" t="str">
        <f t="shared" ca="1" si="220"/>
        <v/>
      </c>
      <c r="AD1309" s="557"/>
      <c r="AE1309" s="958"/>
    </row>
    <row r="1310" spans="1:31" ht="15" customHeight="1">
      <c r="A1310" s="957">
        <v>100</v>
      </c>
      <c r="B1310" s="566" t="s">
        <v>535</v>
      </c>
      <c r="C1310" s="567" t="s">
        <v>1595</v>
      </c>
      <c r="D1310" s="958">
        <v>1.2</v>
      </c>
      <c r="E1310" s="959" t="s">
        <v>335</v>
      </c>
      <c r="F1310" s="558" t="s">
        <v>1455</v>
      </c>
      <c r="G1310" s="558">
        <v>851</v>
      </c>
      <c r="H1310" s="558" t="s">
        <v>627</v>
      </c>
      <c r="I1310" s="559" t="s">
        <v>628</v>
      </c>
      <c r="J1310" s="567" t="s">
        <v>1606</v>
      </c>
      <c r="K1310" s="961" t="s">
        <v>1607</v>
      </c>
      <c r="L1310" s="555" t="str">
        <f t="shared" ca="1" si="215"/>
        <v/>
      </c>
      <c r="M1310" s="494" t="s">
        <v>1608</v>
      </c>
      <c r="N1310" s="555" t="str">
        <f t="shared" ca="1" si="216"/>
        <v/>
      </c>
      <c r="O1310" s="494" t="s">
        <v>1609</v>
      </c>
      <c r="P1310" s="555" t="str">
        <f t="shared" ca="1" si="217"/>
        <v/>
      </c>
      <c r="Q1310" s="494" t="s">
        <v>1610</v>
      </c>
      <c r="R1310" s="494" t="str">
        <f t="shared" si="221"/>
        <v>H1310</v>
      </c>
      <c r="S1310" s="494" t="s">
        <v>1611</v>
      </c>
      <c r="T1310" s="494">
        <v>6</v>
      </c>
      <c r="U1310" s="556" t="str">
        <f t="shared" ca="1" si="213"/>
        <v/>
      </c>
      <c r="V1310" s="494">
        <v>7</v>
      </c>
      <c r="W1310" s="556" t="str">
        <f t="shared" ca="1" si="214"/>
        <v/>
      </c>
      <c r="X1310" s="494" t="s">
        <v>198</v>
      </c>
      <c r="Y1310" s="547" t="str">
        <f t="shared" ca="1" si="218"/>
        <v/>
      </c>
      <c r="Z1310" s="494" t="s">
        <v>1612</v>
      </c>
      <c r="AA1310" s="547" t="str">
        <f t="shared" ca="1" si="219"/>
        <v/>
      </c>
      <c r="AB1310" s="494" t="s">
        <v>1613</v>
      </c>
      <c r="AC1310" s="547" t="str">
        <f t="shared" ca="1" si="220"/>
        <v/>
      </c>
      <c r="AD1310" s="557"/>
      <c r="AE1310" s="958"/>
    </row>
    <row r="1311" spans="1:31" ht="15" customHeight="1">
      <c r="A1311" s="957">
        <v>100</v>
      </c>
      <c r="B1311" s="566" t="s">
        <v>535</v>
      </c>
      <c r="C1311" s="567" t="s">
        <v>1595</v>
      </c>
      <c r="D1311" s="958">
        <v>1.2</v>
      </c>
      <c r="E1311" s="959" t="s">
        <v>335</v>
      </c>
      <c r="F1311" s="558" t="s">
        <v>1455</v>
      </c>
      <c r="G1311" s="558">
        <v>851</v>
      </c>
      <c r="H1311" s="558" t="s">
        <v>629</v>
      </c>
      <c r="I1311" s="559" t="s">
        <v>67</v>
      </c>
      <c r="J1311" s="567" t="s">
        <v>1606</v>
      </c>
      <c r="K1311" s="961" t="s">
        <v>1607</v>
      </c>
      <c r="L1311" s="555" t="str">
        <f t="shared" ca="1" si="215"/>
        <v/>
      </c>
      <c r="M1311" s="494" t="s">
        <v>1608</v>
      </c>
      <c r="N1311" s="555" t="str">
        <f t="shared" ca="1" si="216"/>
        <v/>
      </c>
      <c r="O1311" s="494" t="s">
        <v>1609</v>
      </c>
      <c r="P1311" s="555" t="str">
        <f t="shared" ca="1" si="217"/>
        <v/>
      </c>
      <c r="Q1311" s="494" t="s">
        <v>1610</v>
      </c>
      <c r="R1311" s="494" t="str">
        <f t="shared" si="221"/>
        <v>H1311</v>
      </c>
      <c r="S1311" s="494" t="s">
        <v>1611</v>
      </c>
      <c r="T1311" s="494">
        <v>6</v>
      </c>
      <c r="U1311" s="556" t="str">
        <f t="shared" ca="1" si="213"/>
        <v/>
      </c>
      <c r="V1311" s="494">
        <v>7</v>
      </c>
      <c r="W1311" s="556" t="str">
        <f t="shared" ca="1" si="214"/>
        <v/>
      </c>
      <c r="X1311" s="494" t="s">
        <v>198</v>
      </c>
      <c r="Y1311" s="547" t="str">
        <f t="shared" ca="1" si="218"/>
        <v/>
      </c>
      <c r="Z1311" s="494" t="s">
        <v>1612</v>
      </c>
      <c r="AA1311" s="547" t="str">
        <f t="shared" ca="1" si="219"/>
        <v/>
      </c>
      <c r="AB1311" s="494" t="s">
        <v>1613</v>
      </c>
      <c r="AC1311" s="547" t="str">
        <f t="shared" ca="1" si="220"/>
        <v/>
      </c>
      <c r="AD1311" s="557"/>
      <c r="AE1311" s="958"/>
    </row>
    <row r="1312" spans="1:31" ht="15" customHeight="1">
      <c r="A1312" s="957">
        <v>100</v>
      </c>
      <c r="B1312" s="566" t="s">
        <v>535</v>
      </c>
      <c r="C1312" s="567" t="s">
        <v>1595</v>
      </c>
      <c r="D1312" s="958">
        <v>1.2</v>
      </c>
      <c r="E1312" s="959" t="s">
        <v>335</v>
      </c>
      <c r="F1312" s="558" t="s">
        <v>1455</v>
      </c>
      <c r="G1312" s="558">
        <v>851</v>
      </c>
      <c r="H1312" s="558" t="s">
        <v>630</v>
      </c>
      <c r="I1312" s="559" t="s">
        <v>631</v>
      </c>
      <c r="J1312" s="567" t="s">
        <v>1606</v>
      </c>
      <c r="K1312" s="961" t="s">
        <v>1607</v>
      </c>
      <c r="L1312" s="555" t="str">
        <f t="shared" ca="1" si="215"/>
        <v/>
      </c>
      <c r="M1312" s="494" t="s">
        <v>1608</v>
      </c>
      <c r="N1312" s="555" t="str">
        <f t="shared" ca="1" si="216"/>
        <v/>
      </c>
      <c r="O1312" s="494" t="s">
        <v>1609</v>
      </c>
      <c r="P1312" s="555" t="str">
        <f t="shared" ca="1" si="217"/>
        <v/>
      </c>
      <c r="Q1312" s="494" t="s">
        <v>1610</v>
      </c>
      <c r="R1312" s="494" t="str">
        <f t="shared" si="221"/>
        <v>H1312</v>
      </c>
      <c r="S1312" s="494" t="s">
        <v>1611</v>
      </c>
      <c r="T1312" s="494">
        <v>6</v>
      </c>
      <c r="U1312" s="556" t="str">
        <f t="shared" ca="1" si="213"/>
        <v/>
      </c>
      <c r="V1312" s="494">
        <v>7</v>
      </c>
      <c r="W1312" s="556" t="str">
        <f t="shared" ca="1" si="214"/>
        <v/>
      </c>
      <c r="X1312" s="494" t="s">
        <v>198</v>
      </c>
      <c r="Y1312" s="547" t="str">
        <f t="shared" ca="1" si="218"/>
        <v/>
      </c>
      <c r="Z1312" s="494" t="s">
        <v>1612</v>
      </c>
      <c r="AA1312" s="547" t="str">
        <f t="shared" ca="1" si="219"/>
        <v/>
      </c>
      <c r="AB1312" s="494" t="s">
        <v>1613</v>
      </c>
      <c r="AC1312" s="547" t="str">
        <f t="shared" ca="1" si="220"/>
        <v/>
      </c>
      <c r="AD1312" s="557"/>
      <c r="AE1312" s="958"/>
    </row>
    <row r="1313" spans="1:31" ht="15" customHeight="1">
      <c r="A1313" s="957">
        <v>100</v>
      </c>
      <c r="B1313" s="566" t="s">
        <v>535</v>
      </c>
      <c r="C1313" s="567" t="s">
        <v>1595</v>
      </c>
      <c r="D1313" s="958">
        <v>1.2</v>
      </c>
      <c r="E1313" s="959" t="s">
        <v>335</v>
      </c>
      <c r="F1313" s="558" t="s">
        <v>1455</v>
      </c>
      <c r="G1313" s="558">
        <v>851</v>
      </c>
      <c r="H1313" s="558" t="s">
        <v>632</v>
      </c>
      <c r="I1313" s="559" t="s">
        <v>619</v>
      </c>
      <c r="J1313" s="567" t="s">
        <v>1606</v>
      </c>
      <c r="K1313" s="961" t="s">
        <v>1607</v>
      </c>
      <c r="L1313" s="555" t="str">
        <f t="shared" ca="1" si="215"/>
        <v/>
      </c>
      <c r="M1313" s="494" t="s">
        <v>1608</v>
      </c>
      <c r="N1313" s="555" t="str">
        <f t="shared" ca="1" si="216"/>
        <v/>
      </c>
      <c r="O1313" s="494" t="s">
        <v>1609</v>
      </c>
      <c r="P1313" s="555" t="str">
        <f t="shared" ca="1" si="217"/>
        <v/>
      </c>
      <c r="Q1313" s="494" t="s">
        <v>1610</v>
      </c>
      <c r="R1313" s="494" t="str">
        <f t="shared" si="221"/>
        <v>H1313</v>
      </c>
      <c r="S1313" s="494" t="s">
        <v>1611</v>
      </c>
      <c r="T1313" s="494">
        <v>6</v>
      </c>
      <c r="U1313" s="556" t="str">
        <f t="shared" ca="1" si="213"/>
        <v/>
      </c>
      <c r="V1313" s="494">
        <v>7</v>
      </c>
      <c r="W1313" s="556" t="str">
        <f t="shared" ca="1" si="214"/>
        <v/>
      </c>
      <c r="X1313" s="494" t="s">
        <v>198</v>
      </c>
      <c r="Y1313" s="547" t="str">
        <f t="shared" ca="1" si="218"/>
        <v/>
      </c>
      <c r="Z1313" s="494" t="s">
        <v>1612</v>
      </c>
      <c r="AA1313" s="547" t="str">
        <f t="shared" ca="1" si="219"/>
        <v/>
      </c>
      <c r="AB1313" s="494" t="s">
        <v>1613</v>
      </c>
      <c r="AC1313" s="547" t="str">
        <f t="shared" ca="1" si="220"/>
        <v/>
      </c>
      <c r="AD1313" s="557"/>
      <c r="AE1313" s="958"/>
    </row>
    <row r="1314" spans="1:31" ht="15" customHeight="1">
      <c r="A1314" s="957">
        <v>100</v>
      </c>
      <c r="B1314" s="566" t="s">
        <v>535</v>
      </c>
      <c r="C1314" s="567" t="s">
        <v>1595</v>
      </c>
      <c r="D1314" s="958">
        <v>1.2</v>
      </c>
      <c r="E1314" s="959" t="s">
        <v>335</v>
      </c>
      <c r="F1314" s="558" t="s">
        <v>1455</v>
      </c>
      <c r="G1314" s="558">
        <v>851</v>
      </c>
      <c r="H1314" s="558" t="s">
        <v>633</v>
      </c>
      <c r="I1314" s="559" t="s">
        <v>621</v>
      </c>
      <c r="J1314" s="567" t="s">
        <v>1606</v>
      </c>
      <c r="K1314" s="961" t="s">
        <v>1607</v>
      </c>
      <c r="L1314" s="555" t="str">
        <f t="shared" ca="1" si="215"/>
        <v/>
      </c>
      <c r="M1314" s="494" t="s">
        <v>1608</v>
      </c>
      <c r="N1314" s="555" t="str">
        <f t="shared" ca="1" si="216"/>
        <v/>
      </c>
      <c r="O1314" s="494" t="s">
        <v>1609</v>
      </c>
      <c r="P1314" s="555" t="str">
        <f t="shared" ca="1" si="217"/>
        <v/>
      </c>
      <c r="Q1314" s="494" t="s">
        <v>1610</v>
      </c>
      <c r="R1314" s="494" t="str">
        <f t="shared" si="221"/>
        <v>H1314</v>
      </c>
      <c r="S1314" s="494" t="s">
        <v>1611</v>
      </c>
      <c r="T1314" s="494">
        <v>6</v>
      </c>
      <c r="U1314" s="556" t="str">
        <f t="shared" ca="1" si="213"/>
        <v/>
      </c>
      <c r="V1314" s="494">
        <v>7</v>
      </c>
      <c r="W1314" s="556" t="str">
        <f t="shared" ca="1" si="214"/>
        <v/>
      </c>
      <c r="X1314" s="494" t="s">
        <v>198</v>
      </c>
      <c r="Y1314" s="547" t="str">
        <f t="shared" ca="1" si="218"/>
        <v/>
      </c>
      <c r="Z1314" s="494" t="s">
        <v>1612</v>
      </c>
      <c r="AA1314" s="547" t="str">
        <f t="shared" ca="1" si="219"/>
        <v/>
      </c>
      <c r="AB1314" s="494" t="s">
        <v>1613</v>
      </c>
      <c r="AC1314" s="547" t="str">
        <f t="shared" ca="1" si="220"/>
        <v/>
      </c>
      <c r="AD1314" s="557"/>
      <c r="AE1314" s="958"/>
    </row>
    <row r="1315" spans="1:31" ht="15" customHeight="1">
      <c r="A1315" s="957">
        <v>100</v>
      </c>
      <c r="B1315" s="566" t="s">
        <v>535</v>
      </c>
      <c r="C1315" s="567" t="s">
        <v>1595</v>
      </c>
      <c r="D1315" s="958">
        <v>1.2</v>
      </c>
      <c r="E1315" s="959" t="s">
        <v>335</v>
      </c>
      <c r="F1315" s="558" t="s">
        <v>1455</v>
      </c>
      <c r="G1315" s="558">
        <v>851</v>
      </c>
      <c r="H1315" s="558" t="s">
        <v>634</v>
      </c>
      <c r="I1315" s="559" t="s">
        <v>635</v>
      </c>
      <c r="J1315" s="567" t="s">
        <v>1606</v>
      </c>
      <c r="K1315" s="961" t="s">
        <v>1607</v>
      </c>
      <c r="L1315" s="555" t="str">
        <f t="shared" ca="1" si="215"/>
        <v/>
      </c>
      <c r="M1315" s="494" t="s">
        <v>1608</v>
      </c>
      <c r="N1315" s="555" t="str">
        <f t="shared" ca="1" si="216"/>
        <v/>
      </c>
      <c r="O1315" s="494" t="s">
        <v>1609</v>
      </c>
      <c r="P1315" s="555" t="str">
        <f t="shared" ca="1" si="217"/>
        <v/>
      </c>
      <c r="Q1315" s="494" t="s">
        <v>1610</v>
      </c>
      <c r="R1315" s="494" t="str">
        <f t="shared" si="221"/>
        <v>H1315</v>
      </c>
      <c r="S1315" s="494" t="s">
        <v>1611</v>
      </c>
      <c r="T1315" s="494">
        <v>6</v>
      </c>
      <c r="U1315" s="556" t="str">
        <f t="shared" ca="1" si="213"/>
        <v/>
      </c>
      <c r="V1315" s="494">
        <v>7</v>
      </c>
      <c r="W1315" s="556" t="str">
        <f t="shared" ca="1" si="214"/>
        <v/>
      </c>
      <c r="X1315" s="494" t="s">
        <v>198</v>
      </c>
      <c r="Y1315" s="547" t="str">
        <f t="shared" ca="1" si="218"/>
        <v/>
      </c>
      <c r="Z1315" s="494" t="s">
        <v>1612</v>
      </c>
      <c r="AA1315" s="547" t="str">
        <f t="shared" ca="1" si="219"/>
        <v/>
      </c>
      <c r="AB1315" s="494" t="s">
        <v>1613</v>
      </c>
      <c r="AC1315" s="547" t="str">
        <f t="shared" ca="1" si="220"/>
        <v/>
      </c>
      <c r="AD1315" s="557"/>
      <c r="AE1315" s="958"/>
    </row>
    <row r="1316" spans="1:31" ht="15" customHeight="1">
      <c r="A1316" s="957">
        <v>100</v>
      </c>
      <c r="B1316" s="566" t="s">
        <v>535</v>
      </c>
      <c r="C1316" s="567" t="s">
        <v>1595</v>
      </c>
      <c r="D1316" s="958">
        <v>1.2</v>
      </c>
      <c r="E1316" s="959" t="s">
        <v>335</v>
      </c>
      <c r="F1316" s="558" t="s">
        <v>1455</v>
      </c>
      <c r="G1316" s="558">
        <v>851</v>
      </c>
      <c r="H1316" s="558" t="s">
        <v>636</v>
      </c>
      <c r="I1316" s="559" t="s">
        <v>637</v>
      </c>
      <c r="J1316" s="567" t="s">
        <v>1606</v>
      </c>
      <c r="K1316" s="961" t="s">
        <v>1607</v>
      </c>
      <c r="L1316" s="555" t="str">
        <f t="shared" ca="1" si="215"/>
        <v/>
      </c>
      <c r="M1316" s="494" t="s">
        <v>1608</v>
      </c>
      <c r="N1316" s="555" t="str">
        <f t="shared" ca="1" si="216"/>
        <v/>
      </c>
      <c r="O1316" s="494" t="s">
        <v>1609</v>
      </c>
      <c r="P1316" s="555" t="str">
        <f t="shared" ca="1" si="217"/>
        <v/>
      </c>
      <c r="Q1316" s="494" t="s">
        <v>1610</v>
      </c>
      <c r="R1316" s="494" t="str">
        <f t="shared" si="221"/>
        <v>H1316</v>
      </c>
      <c r="S1316" s="494" t="s">
        <v>1611</v>
      </c>
      <c r="T1316" s="494">
        <v>6</v>
      </c>
      <c r="U1316" s="556" t="str">
        <f t="shared" ca="1" si="213"/>
        <v/>
      </c>
      <c r="V1316" s="494">
        <v>7</v>
      </c>
      <c r="W1316" s="556" t="str">
        <f t="shared" ca="1" si="214"/>
        <v/>
      </c>
      <c r="X1316" s="494" t="s">
        <v>198</v>
      </c>
      <c r="Y1316" s="547" t="str">
        <f t="shared" ca="1" si="218"/>
        <v/>
      </c>
      <c r="Z1316" s="494" t="s">
        <v>1612</v>
      </c>
      <c r="AA1316" s="547" t="str">
        <f t="shared" ca="1" si="219"/>
        <v/>
      </c>
      <c r="AB1316" s="494" t="s">
        <v>1613</v>
      </c>
      <c r="AC1316" s="547" t="str">
        <f t="shared" ca="1" si="220"/>
        <v/>
      </c>
      <c r="AD1316" s="557"/>
      <c r="AE1316" s="958"/>
    </row>
    <row r="1317" spans="1:31" ht="15" customHeight="1">
      <c r="A1317" s="957">
        <v>100</v>
      </c>
      <c r="B1317" s="566" t="s">
        <v>535</v>
      </c>
      <c r="C1317" s="567" t="s">
        <v>1595</v>
      </c>
      <c r="D1317" s="958">
        <v>1.2</v>
      </c>
      <c r="E1317" s="959" t="s">
        <v>335</v>
      </c>
      <c r="F1317" s="558" t="s">
        <v>1455</v>
      </c>
      <c r="G1317" s="558">
        <v>851</v>
      </c>
      <c r="H1317" s="558" t="s">
        <v>638</v>
      </c>
      <c r="I1317" s="559" t="s">
        <v>67</v>
      </c>
      <c r="J1317" s="567" t="s">
        <v>1606</v>
      </c>
      <c r="K1317" s="961" t="s">
        <v>1607</v>
      </c>
      <c r="L1317" s="555" t="str">
        <f t="shared" ca="1" si="215"/>
        <v/>
      </c>
      <c r="M1317" s="494" t="s">
        <v>1608</v>
      </c>
      <c r="N1317" s="555" t="str">
        <f t="shared" ca="1" si="216"/>
        <v/>
      </c>
      <c r="O1317" s="494" t="s">
        <v>1609</v>
      </c>
      <c r="P1317" s="555" t="str">
        <f t="shared" ca="1" si="217"/>
        <v/>
      </c>
      <c r="Q1317" s="494" t="s">
        <v>1610</v>
      </c>
      <c r="R1317" s="494" t="str">
        <f t="shared" si="221"/>
        <v>H1317</v>
      </c>
      <c r="S1317" s="494" t="s">
        <v>1611</v>
      </c>
      <c r="T1317" s="494">
        <v>6</v>
      </c>
      <c r="U1317" s="556" t="str">
        <f t="shared" ca="1" si="213"/>
        <v/>
      </c>
      <c r="V1317" s="494">
        <v>7</v>
      </c>
      <c r="W1317" s="556" t="str">
        <f t="shared" ca="1" si="214"/>
        <v/>
      </c>
      <c r="X1317" s="494" t="s">
        <v>198</v>
      </c>
      <c r="Y1317" s="547" t="str">
        <f t="shared" ca="1" si="218"/>
        <v/>
      </c>
      <c r="Z1317" s="494" t="s">
        <v>1612</v>
      </c>
      <c r="AA1317" s="547" t="str">
        <f t="shared" ca="1" si="219"/>
        <v/>
      </c>
      <c r="AB1317" s="494" t="s">
        <v>1613</v>
      </c>
      <c r="AC1317" s="547" t="str">
        <f t="shared" ca="1" si="220"/>
        <v/>
      </c>
      <c r="AD1317" s="557"/>
      <c r="AE1317" s="958"/>
    </row>
    <row r="1318" spans="1:31" ht="15" customHeight="1">
      <c r="A1318" s="957">
        <v>100</v>
      </c>
      <c r="B1318" s="566" t="s">
        <v>535</v>
      </c>
      <c r="C1318" s="567" t="s">
        <v>1595</v>
      </c>
      <c r="D1318" s="958">
        <v>1.2</v>
      </c>
      <c r="E1318" s="959" t="s">
        <v>335</v>
      </c>
      <c r="F1318" s="558" t="s">
        <v>1455</v>
      </c>
      <c r="G1318" s="558">
        <v>851</v>
      </c>
      <c r="H1318" s="558" t="s">
        <v>639</v>
      </c>
      <c r="I1318" s="559" t="s">
        <v>640</v>
      </c>
      <c r="J1318" s="567" t="s">
        <v>1606</v>
      </c>
      <c r="K1318" s="961" t="s">
        <v>1607</v>
      </c>
      <c r="L1318" s="555" t="str">
        <f t="shared" ca="1" si="215"/>
        <v/>
      </c>
      <c r="M1318" s="494" t="s">
        <v>1608</v>
      </c>
      <c r="N1318" s="555" t="str">
        <f t="shared" ca="1" si="216"/>
        <v/>
      </c>
      <c r="O1318" s="494" t="s">
        <v>1609</v>
      </c>
      <c r="P1318" s="555" t="str">
        <f t="shared" ca="1" si="217"/>
        <v/>
      </c>
      <c r="Q1318" s="494" t="s">
        <v>1610</v>
      </c>
      <c r="R1318" s="494" t="str">
        <f t="shared" si="221"/>
        <v>H1318</v>
      </c>
      <c r="S1318" s="494" t="s">
        <v>1611</v>
      </c>
      <c r="T1318" s="494">
        <v>6</v>
      </c>
      <c r="U1318" s="556" t="str">
        <f t="shared" ca="1" si="213"/>
        <v/>
      </c>
      <c r="V1318" s="494">
        <v>7</v>
      </c>
      <c r="W1318" s="556" t="str">
        <f t="shared" ca="1" si="214"/>
        <v/>
      </c>
      <c r="X1318" s="494" t="s">
        <v>198</v>
      </c>
      <c r="Y1318" s="547" t="str">
        <f t="shared" ca="1" si="218"/>
        <v/>
      </c>
      <c r="Z1318" s="494" t="s">
        <v>1612</v>
      </c>
      <c r="AA1318" s="547" t="str">
        <f t="shared" ca="1" si="219"/>
        <v/>
      </c>
      <c r="AB1318" s="494" t="s">
        <v>1613</v>
      </c>
      <c r="AC1318" s="547" t="str">
        <f t="shared" ca="1" si="220"/>
        <v/>
      </c>
      <c r="AD1318" s="557"/>
      <c r="AE1318" s="958"/>
    </row>
    <row r="1319" spans="1:31" ht="15" customHeight="1">
      <c r="A1319" s="957">
        <v>100</v>
      </c>
      <c r="B1319" s="566" t="s">
        <v>535</v>
      </c>
      <c r="C1319" s="567" t="s">
        <v>1595</v>
      </c>
      <c r="D1319" s="958">
        <v>1.2</v>
      </c>
      <c r="E1319" s="959" t="s">
        <v>335</v>
      </c>
      <c r="F1319" s="558" t="s">
        <v>1455</v>
      </c>
      <c r="G1319" s="558">
        <v>851</v>
      </c>
      <c r="H1319" s="558" t="s">
        <v>641</v>
      </c>
      <c r="I1319" s="559" t="s">
        <v>1479</v>
      </c>
      <c r="J1319" s="567" t="s">
        <v>1606</v>
      </c>
      <c r="K1319" s="961" t="s">
        <v>1607</v>
      </c>
      <c r="L1319" s="555" t="str">
        <f t="shared" ca="1" si="215"/>
        <v/>
      </c>
      <c r="M1319" s="494" t="s">
        <v>1608</v>
      </c>
      <c r="N1319" s="555" t="str">
        <f t="shared" ca="1" si="216"/>
        <v/>
      </c>
      <c r="O1319" s="494" t="s">
        <v>1609</v>
      </c>
      <c r="P1319" s="555" t="str">
        <f t="shared" ca="1" si="217"/>
        <v/>
      </c>
      <c r="Q1319" s="494" t="s">
        <v>1610</v>
      </c>
      <c r="R1319" s="494" t="str">
        <f t="shared" si="221"/>
        <v>H1319</v>
      </c>
      <c r="S1319" s="494" t="s">
        <v>1611</v>
      </c>
      <c r="T1319" s="494">
        <v>6</v>
      </c>
      <c r="U1319" s="556" t="str">
        <f t="shared" ca="1" si="213"/>
        <v/>
      </c>
      <c r="V1319" s="494">
        <v>7</v>
      </c>
      <c r="W1319" s="556" t="str">
        <f t="shared" ca="1" si="214"/>
        <v/>
      </c>
      <c r="X1319" s="494" t="s">
        <v>198</v>
      </c>
      <c r="Y1319" s="547" t="str">
        <f t="shared" ca="1" si="218"/>
        <v/>
      </c>
      <c r="Z1319" s="494" t="s">
        <v>1612</v>
      </c>
      <c r="AA1319" s="547" t="str">
        <f t="shared" ca="1" si="219"/>
        <v/>
      </c>
      <c r="AB1319" s="494" t="s">
        <v>1613</v>
      </c>
      <c r="AC1319" s="547" t="str">
        <f t="shared" ca="1" si="220"/>
        <v/>
      </c>
      <c r="AD1319" s="557"/>
      <c r="AE1319" s="958"/>
    </row>
    <row r="1320" spans="1:31" ht="15" customHeight="1">
      <c r="A1320" s="957">
        <v>100</v>
      </c>
      <c r="B1320" s="566" t="s">
        <v>535</v>
      </c>
      <c r="C1320" s="567" t="s">
        <v>1595</v>
      </c>
      <c r="D1320" s="958">
        <v>1.2</v>
      </c>
      <c r="E1320" s="959" t="s">
        <v>335</v>
      </c>
      <c r="F1320" s="558" t="s">
        <v>1455</v>
      </c>
      <c r="G1320" s="558">
        <v>851</v>
      </c>
      <c r="H1320" s="558" t="s">
        <v>642</v>
      </c>
      <c r="I1320" s="559" t="s">
        <v>1615</v>
      </c>
      <c r="J1320" s="567" t="s">
        <v>1606</v>
      </c>
      <c r="K1320" s="961" t="s">
        <v>1607</v>
      </c>
      <c r="L1320" s="555" t="str">
        <f t="shared" ca="1" si="215"/>
        <v/>
      </c>
      <c r="M1320" s="494" t="s">
        <v>1608</v>
      </c>
      <c r="N1320" s="555" t="str">
        <f t="shared" ca="1" si="216"/>
        <v/>
      </c>
      <c r="O1320" s="494" t="s">
        <v>1609</v>
      </c>
      <c r="P1320" s="555" t="str">
        <f t="shared" ca="1" si="217"/>
        <v/>
      </c>
      <c r="Q1320" s="494" t="s">
        <v>1610</v>
      </c>
      <c r="R1320" s="494" t="str">
        <f t="shared" si="221"/>
        <v>H1320</v>
      </c>
      <c r="S1320" s="494" t="s">
        <v>1611</v>
      </c>
      <c r="T1320" s="494">
        <v>6</v>
      </c>
      <c r="U1320" s="556" t="str">
        <f t="shared" ca="1" si="213"/>
        <v/>
      </c>
      <c r="V1320" s="494">
        <v>7</v>
      </c>
      <c r="W1320" s="556" t="str">
        <f t="shared" ca="1" si="214"/>
        <v/>
      </c>
      <c r="X1320" s="494" t="s">
        <v>198</v>
      </c>
      <c r="Y1320" s="547" t="str">
        <f t="shared" ca="1" si="218"/>
        <v/>
      </c>
      <c r="Z1320" s="494" t="s">
        <v>1612</v>
      </c>
      <c r="AA1320" s="547" t="str">
        <f t="shared" ca="1" si="219"/>
        <v/>
      </c>
      <c r="AB1320" s="494" t="s">
        <v>1613</v>
      </c>
      <c r="AC1320" s="547" t="str">
        <f t="shared" ca="1" si="220"/>
        <v/>
      </c>
      <c r="AD1320" s="557"/>
      <c r="AE1320" s="958"/>
    </row>
    <row r="1321" spans="1:31" ht="15" customHeight="1">
      <c r="A1321" s="957">
        <v>100</v>
      </c>
      <c r="B1321" s="566" t="s">
        <v>535</v>
      </c>
      <c r="C1321" s="567" t="s">
        <v>1595</v>
      </c>
      <c r="D1321" s="958">
        <v>1.2</v>
      </c>
      <c r="E1321" s="959" t="s">
        <v>335</v>
      </c>
      <c r="F1321" s="558" t="s">
        <v>1455</v>
      </c>
      <c r="G1321" s="558">
        <v>851</v>
      </c>
      <c r="H1321" s="558" t="s">
        <v>643</v>
      </c>
      <c r="I1321" s="559" t="s">
        <v>1616</v>
      </c>
      <c r="J1321" s="567" t="s">
        <v>1606</v>
      </c>
      <c r="K1321" s="961" t="s">
        <v>1607</v>
      </c>
      <c r="L1321" s="555" t="str">
        <f t="shared" ca="1" si="215"/>
        <v/>
      </c>
      <c r="M1321" s="494" t="s">
        <v>1608</v>
      </c>
      <c r="N1321" s="555" t="str">
        <f t="shared" ca="1" si="216"/>
        <v/>
      </c>
      <c r="O1321" s="494" t="s">
        <v>1609</v>
      </c>
      <c r="P1321" s="555" t="str">
        <f t="shared" ca="1" si="217"/>
        <v/>
      </c>
      <c r="Q1321" s="494" t="s">
        <v>1610</v>
      </c>
      <c r="R1321" s="494" t="str">
        <f t="shared" si="221"/>
        <v>H1321</v>
      </c>
      <c r="S1321" s="494" t="s">
        <v>1611</v>
      </c>
      <c r="T1321" s="494">
        <v>6</v>
      </c>
      <c r="U1321" s="556" t="str">
        <f t="shared" ca="1" si="213"/>
        <v/>
      </c>
      <c r="V1321" s="494">
        <v>7</v>
      </c>
      <c r="W1321" s="556" t="str">
        <f t="shared" ca="1" si="214"/>
        <v/>
      </c>
      <c r="X1321" s="494" t="s">
        <v>198</v>
      </c>
      <c r="Y1321" s="547" t="str">
        <f t="shared" ca="1" si="218"/>
        <v/>
      </c>
      <c r="Z1321" s="494" t="s">
        <v>1612</v>
      </c>
      <c r="AA1321" s="547" t="str">
        <f t="shared" ca="1" si="219"/>
        <v/>
      </c>
      <c r="AB1321" s="494" t="s">
        <v>1613</v>
      </c>
      <c r="AC1321" s="547" t="str">
        <f t="shared" ca="1" si="220"/>
        <v/>
      </c>
      <c r="AD1321" s="557"/>
      <c r="AE1321" s="958"/>
    </row>
    <row r="1322" spans="1:31" ht="15" customHeight="1">
      <c r="A1322" s="957">
        <v>100</v>
      </c>
      <c r="B1322" s="566" t="s">
        <v>535</v>
      </c>
      <c r="C1322" s="567" t="s">
        <v>1595</v>
      </c>
      <c r="D1322" s="958">
        <v>1.2</v>
      </c>
      <c r="E1322" s="959" t="s">
        <v>345</v>
      </c>
      <c r="F1322" s="558" t="s">
        <v>1484</v>
      </c>
      <c r="G1322" s="558">
        <v>852</v>
      </c>
      <c r="H1322" s="558" t="s">
        <v>1485</v>
      </c>
      <c r="I1322" s="559" t="s">
        <v>265</v>
      </c>
      <c r="J1322" s="567" t="s">
        <v>1606</v>
      </c>
      <c r="K1322" s="961" t="s">
        <v>1607</v>
      </c>
      <c r="L1322" s="555" t="str">
        <f t="shared" ca="1" si="215"/>
        <v/>
      </c>
      <c r="M1322" s="494" t="s">
        <v>1608</v>
      </c>
      <c r="N1322" s="555" t="str">
        <f t="shared" ca="1" si="216"/>
        <v/>
      </c>
      <c r="O1322" s="494" t="s">
        <v>1609</v>
      </c>
      <c r="P1322" s="555" t="str">
        <f t="shared" ca="1" si="217"/>
        <v/>
      </c>
      <c r="Q1322" s="494" t="s">
        <v>1610</v>
      </c>
      <c r="R1322" s="494" t="str">
        <f t="shared" si="221"/>
        <v>H1322</v>
      </c>
      <c r="S1322" s="494" t="s">
        <v>1611</v>
      </c>
      <c r="T1322" s="494">
        <v>6</v>
      </c>
      <c r="U1322" s="556" t="str">
        <f t="shared" ca="1" si="213"/>
        <v/>
      </c>
      <c r="V1322" s="494">
        <v>7</v>
      </c>
      <c r="W1322" s="556" t="str">
        <f t="shared" ca="1" si="214"/>
        <v/>
      </c>
      <c r="X1322" s="494" t="s">
        <v>198</v>
      </c>
      <c r="Y1322" s="547" t="str">
        <f t="shared" ca="1" si="218"/>
        <v/>
      </c>
      <c r="Z1322" s="494" t="s">
        <v>1612</v>
      </c>
      <c r="AA1322" s="547" t="str">
        <f t="shared" ca="1" si="219"/>
        <v/>
      </c>
      <c r="AB1322" s="494" t="s">
        <v>1613</v>
      </c>
      <c r="AC1322" s="547" t="str">
        <f t="shared" ca="1" si="220"/>
        <v/>
      </c>
      <c r="AD1322" s="557"/>
      <c r="AE1322" s="958"/>
    </row>
    <row r="1323" spans="1:31" ht="15" customHeight="1">
      <c r="A1323" s="957">
        <v>100</v>
      </c>
      <c r="B1323" s="566" t="s">
        <v>535</v>
      </c>
      <c r="C1323" s="567" t="s">
        <v>1595</v>
      </c>
      <c r="D1323" s="958">
        <v>1.2</v>
      </c>
      <c r="E1323" s="959" t="s">
        <v>345</v>
      </c>
      <c r="F1323" s="558" t="s">
        <v>1484</v>
      </c>
      <c r="G1323" s="558">
        <v>852</v>
      </c>
      <c r="H1323" s="558" t="s">
        <v>467</v>
      </c>
      <c r="I1323" s="559" t="s">
        <v>348</v>
      </c>
      <c r="J1323" s="567" t="s">
        <v>1606</v>
      </c>
      <c r="K1323" s="961" t="s">
        <v>1607</v>
      </c>
      <c r="L1323" s="555" t="str">
        <f t="shared" ca="1" si="215"/>
        <v/>
      </c>
      <c r="M1323" s="494" t="s">
        <v>1608</v>
      </c>
      <c r="N1323" s="555" t="str">
        <f t="shared" ca="1" si="216"/>
        <v/>
      </c>
      <c r="O1323" s="494" t="s">
        <v>1609</v>
      </c>
      <c r="P1323" s="555" t="str">
        <f t="shared" ca="1" si="217"/>
        <v/>
      </c>
      <c r="Q1323" s="494" t="s">
        <v>1610</v>
      </c>
      <c r="R1323" s="494" t="str">
        <f t="shared" si="221"/>
        <v>H1323</v>
      </c>
      <c r="S1323" s="494" t="s">
        <v>1611</v>
      </c>
      <c r="T1323" s="494">
        <v>6</v>
      </c>
      <c r="U1323" s="556" t="str">
        <f t="shared" ca="1" si="213"/>
        <v/>
      </c>
      <c r="V1323" s="494">
        <v>7</v>
      </c>
      <c r="W1323" s="556" t="str">
        <f t="shared" ca="1" si="214"/>
        <v/>
      </c>
      <c r="X1323" s="494" t="s">
        <v>198</v>
      </c>
      <c r="Y1323" s="547" t="str">
        <f t="shared" ca="1" si="218"/>
        <v/>
      </c>
      <c r="Z1323" s="494" t="s">
        <v>1612</v>
      </c>
      <c r="AA1323" s="547" t="str">
        <f t="shared" ca="1" si="219"/>
        <v/>
      </c>
      <c r="AB1323" s="494" t="s">
        <v>1613</v>
      </c>
      <c r="AC1323" s="547" t="str">
        <f t="shared" ca="1" si="220"/>
        <v/>
      </c>
      <c r="AD1323" s="557"/>
      <c r="AE1323" s="958"/>
    </row>
    <row r="1324" spans="1:31" ht="15" customHeight="1">
      <c r="A1324" s="957">
        <v>100</v>
      </c>
      <c r="B1324" s="566" t="s">
        <v>535</v>
      </c>
      <c r="C1324" s="567" t="s">
        <v>1595</v>
      </c>
      <c r="D1324" s="958">
        <v>1.2</v>
      </c>
      <c r="E1324" s="959" t="s">
        <v>345</v>
      </c>
      <c r="F1324" s="558" t="s">
        <v>1484</v>
      </c>
      <c r="G1324" s="558">
        <v>852</v>
      </c>
      <c r="H1324" s="558" t="s">
        <v>470</v>
      </c>
      <c r="I1324" s="559" t="s">
        <v>350</v>
      </c>
      <c r="J1324" s="567" t="s">
        <v>1606</v>
      </c>
      <c r="K1324" s="961" t="s">
        <v>1607</v>
      </c>
      <c r="L1324" s="555" t="str">
        <f t="shared" ca="1" si="215"/>
        <v/>
      </c>
      <c r="M1324" s="494" t="s">
        <v>1608</v>
      </c>
      <c r="N1324" s="555" t="str">
        <f t="shared" ca="1" si="216"/>
        <v/>
      </c>
      <c r="O1324" s="494" t="s">
        <v>1609</v>
      </c>
      <c r="P1324" s="555" t="str">
        <f t="shared" ca="1" si="217"/>
        <v/>
      </c>
      <c r="Q1324" s="494" t="s">
        <v>1610</v>
      </c>
      <c r="R1324" s="494" t="str">
        <f t="shared" si="221"/>
        <v>H1324</v>
      </c>
      <c r="S1324" s="494" t="s">
        <v>1611</v>
      </c>
      <c r="T1324" s="494">
        <v>6</v>
      </c>
      <c r="U1324" s="556" t="str">
        <f t="shared" ca="1" si="213"/>
        <v/>
      </c>
      <c r="V1324" s="494">
        <v>7</v>
      </c>
      <c r="W1324" s="556" t="str">
        <f t="shared" ca="1" si="214"/>
        <v/>
      </c>
      <c r="X1324" s="494" t="s">
        <v>198</v>
      </c>
      <c r="Y1324" s="547" t="str">
        <f t="shared" ca="1" si="218"/>
        <v/>
      </c>
      <c r="Z1324" s="494" t="s">
        <v>1612</v>
      </c>
      <c r="AA1324" s="547" t="str">
        <f t="shared" ca="1" si="219"/>
        <v/>
      </c>
      <c r="AB1324" s="494" t="s">
        <v>1613</v>
      </c>
      <c r="AC1324" s="547" t="str">
        <f t="shared" ca="1" si="220"/>
        <v/>
      </c>
      <c r="AD1324" s="557"/>
      <c r="AE1324" s="958"/>
    </row>
    <row r="1325" spans="1:31" ht="15" customHeight="1">
      <c r="A1325" s="957">
        <v>100</v>
      </c>
      <c r="B1325" s="566" t="s">
        <v>535</v>
      </c>
      <c r="C1325" s="567" t="s">
        <v>1595</v>
      </c>
      <c r="D1325" s="958">
        <v>1.2</v>
      </c>
      <c r="E1325" s="959" t="s">
        <v>345</v>
      </c>
      <c r="F1325" s="558" t="s">
        <v>1484</v>
      </c>
      <c r="G1325" s="558">
        <v>852</v>
      </c>
      <c r="H1325" s="558" t="s">
        <v>472</v>
      </c>
      <c r="I1325" s="559" t="s">
        <v>351</v>
      </c>
      <c r="J1325" s="567" t="s">
        <v>1606</v>
      </c>
      <c r="K1325" s="961" t="s">
        <v>1607</v>
      </c>
      <c r="L1325" s="555" t="str">
        <f t="shared" ca="1" si="215"/>
        <v/>
      </c>
      <c r="M1325" s="494" t="s">
        <v>1608</v>
      </c>
      <c r="N1325" s="555" t="str">
        <f t="shared" ca="1" si="216"/>
        <v/>
      </c>
      <c r="O1325" s="494" t="s">
        <v>1609</v>
      </c>
      <c r="P1325" s="555" t="str">
        <f t="shared" ca="1" si="217"/>
        <v/>
      </c>
      <c r="Q1325" s="494" t="s">
        <v>1610</v>
      </c>
      <c r="R1325" s="494" t="str">
        <f t="shared" si="221"/>
        <v>H1325</v>
      </c>
      <c r="S1325" s="494" t="s">
        <v>1611</v>
      </c>
      <c r="T1325" s="494">
        <v>6</v>
      </c>
      <c r="U1325" s="556" t="str">
        <f t="shared" ca="1" si="213"/>
        <v/>
      </c>
      <c r="V1325" s="494">
        <v>7</v>
      </c>
      <c r="W1325" s="556" t="str">
        <f t="shared" ca="1" si="214"/>
        <v/>
      </c>
      <c r="X1325" s="494" t="s">
        <v>198</v>
      </c>
      <c r="Y1325" s="547" t="str">
        <f t="shared" ca="1" si="218"/>
        <v/>
      </c>
      <c r="Z1325" s="494" t="s">
        <v>1612</v>
      </c>
      <c r="AA1325" s="547" t="str">
        <f t="shared" ca="1" si="219"/>
        <v/>
      </c>
      <c r="AB1325" s="494" t="s">
        <v>1613</v>
      </c>
      <c r="AC1325" s="547" t="str">
        <f t="shared" ca="1" si="220"/>
        <v/>
      </c>
      <c r="AD1325" s="557"/>
      <c r="AE1325" s="958"/>
    </row>
    <row r="1326" spans="1:31" ht="15" customHeight="1">
      <c r="A1326" s="957">
        <v>100</v>
      </c>
      <c r="B1326" s="566" t="s">
        <v>535</v>
      </c>
      <c r="C1326" s="567" t="s">
        <v>1595</v>
      </c>
      <c r="D1326" s="958">
        <v>1.2</v>
      </c>
      <c r="E1326" s="959" t="s">
        <v>345</v>
      </c>
      <c r="F1326" s="558" t="s">
        <v>1484</v>
      </c>
      <c r="G1326" s="558">
        <v>852</v>
      </c>
      <c r="H1326" s="558" t="s">
        <v>474</v>
      </c>
      <c r="I1326" s="559" t="s">
        <v>352</v>
      </c>
      <c r="J1326" s="567" t="s">
        <v>1606</v>
      </c>
      <c r="K1326" s="961" t="s">
        <v>1607</v>
      </c>
      <c r="L1326" s="555" t="str">
        <f t="shared" ca="1" si="215"/>
        <v/>
      </c>
      <c r="M1326" s="494" t="s">
        <v>1608</v>
      </c>
      <c r="N1326" s="555" t="str">
        <f t="shared" ca="1" si="216"/>
        <v/>
      </c>
      <c r="O1326" s="494" t="s">
        <v>1609</v>
      </c>
      <c r="P1326" s="555" t="str">
        <f t="shared" ca="1" si="217"/>
        <v/>
      </c>
      <c r="Q1326" s="494" t="s">
        <v>1610</v>
      </c>
      <c r="R1326" s="494" t="str">
        <f t="shared" si="221"/>
        <v>H1326</v>
      </c>
      <c r="S1326" s="494" t="s">
        <v>1611</v>
      </c>
      <c r="T1326" s="494">
        <v>6</v>
      </c>
      <c r="U1326" s="556" t="str">
        <f t="shared" ca="1" si="213"/>
        <v/>
      </c>
      <c r="V1326" s="494">
        <v>7</v>
      </c>
      <c r="W1326" s="556" t="str">
        <f t="shared" ca="1" si="214"/>
        <v/>
      </c>
      <c r="X1326" s="494" t="s">
        <v>198</v>
      </c>
      <c r="Y1326" s="547" t="str">
        <f t="shared" ca="1" si="218"/>
        <v/>
      </c>
      <c r="Z1326" s="494" t="s">
        <v>1612</v>
      </c>
      <c r="AA1326" s="547" t="str">
        <f t="shared" ca="1" si="219"/>
        <v/>
      </c>
      <c r="AB1326" s="494" t="s">
        <v>1613</v>
      </c>
      <c r="AC1326" s="547" t="str">
        <f t="shared" ca="1" si="220"/>
        <v/>
      </c>
      <c r="AD1326" s="557"/>
      <c r="AE1326" s="958"/>
    </row>
    <row r="1327" spans="1:31" ht="15" customHeight="1">
      <c r="A1327" s="957">
        <v>100</v>
      </c>
      <c r="B1327" s="566" t="s">
        <v>535</v>
      </c>
      <c r="C1327" s="567" t="s">
        <v>1595</v>
      </c>
      <c r="D1327" s="958">
        <v>1.2</v>
      </c>
      <c r="E1327" s="959" t="s">
        <v>353</v>
      </c>
      <c r="F1327" s="558" t="s">
        <v>1486</v>
      </c>
      <c r="G1327" s="558">
        <v>853</v>
      </c>
      <c r="H1327" s="558" t="s">
        <v>1487</v>
      </c>
      <c r="I1327" s="559" t="s">
        <v>265</v>
      </c>
      <c r="J1327" s="567" t="s">
        <v>1606</v>
      </c>
      <c r="K1327" s="961" t="s">
        <v>1607</v>
      </c>
      <c r="L1327" s="555" t="str">
        <f t="shared" ca="1" si="215"/>
        <v/>
      </c>
      <c r="M1327" s="494" t="s">
        <v>1608</v>
      </c>
      <c r="N1327" s="555" t="str">
        <f t="shared" ca="1" si="216"/>
        <v/>
      </c>
      <c r="O1327" s="494" t="s">
        <v>1609</v>
      </c>
      <c r="P1327" s="555" t="str">
        <f t="shared" ca="1" si="217"/>
        <v/>
      </c>
      <c r="Q1327" s="494" t="s">
        <v>1610</v>
      </c>
      <c r="R1327" s="494" t="str">
        <f t="shared" si="221"/>
        <v>H1327</v>
      </c>
      <c r="S1327" s="494" t="s">
        <v>1611</v>
      </c>
      <c r="T1327" s="494">
        <v>6</v>
      </c>
      <c r="U1327" s="556" t="str">
        <f t="shared" ca="1" si="213"/>
        <v/>
      </c>
      <c r="V1327" s="494">
        <v>7</v>
      </c>
      <c r="W1327" s="556" t="str">
        <f t="shared" ca="1" si="214"/>
        <v/>
      </c>
      <c r="X1327" s="494" t="s">
        <v>198</v>
      </c>
      <c r="Y1327" s="547" t="str">
        <f t="shared" ca="1" si="218"/>
        <v/>
      </c>
      <c r="Z1327" s="494" t="s">
        <v>1612</v>
      </c>
      <c r="AA1327" s="547" t="str">
        <f t="shared" ca="1" si="219"/>
        <v/>
      </c>
      <c r="AB1327" s="494" t="s">
        <v>1613</v>
      </c>
      <c r="AC1327" s="547" t="str">
        <f t="shared" ca="1" si="220"/>
        <v/>
      </c>
      <c r="AD1327" s="557"/>
      <c r="AE1327" s="958"/>
    </row>
    <row r="1328" spans="1:31" ht="15" customHeight="1">
      <c r="A1328" s="957">
        <v>100</v>
      </c>
      <c r="B1328" s="566" t="s">
        <v>535</v>
      </c>
      <c r="C1328" s="567" t="s">
        <v>1595</v>
      </c>
      <c r="D1328" s="958">
        <v>1.2</v>
      </c>
      <c r="E1328" s="959" t="s">
        <v>353</v>
      </c>
      <c r="F1328" s="558" t="s">
        <v>1486</v>
      </c>
      <c r="G1328" s="558">
        <v>853</v>
      </c>
      <c r="H1328" s="558" t="s">
        <v>357</v>
      </c>
      <c r="I1328" s="559" t="s">
        <v>358</v>
      </c>
      <c r="J1328" s="567" t="s">
        <v>1606</v>
      </c>
      <c r="K1328" s="961" t="s">
        <v>1607</v>
      </c>
      <c r="L1328" s="555" t="str">
        <f t="shared" ca="1" si="215"/>
        <v/>
      </c>
      <c r="M1328" s="494" t="s">
        <v>1608</v>
      </c>
      <c r="N1328" s="555" t="str">
        <f t="shared" ca="1" si="216"/>
        <v/>
      </c>
      <c r="O1328" s="494" t="s">
        <v>1609</v>
      </c>
      <c r="P1328" s="555" t="str">
        <f t="shared" ca="1" si="217"/>
        <v/>
      </c>
      <c r="Q1328" s="494" t="s">
        <v>1610</v>
      </c>
      <c r="R1328" s="494" t="str">
        <f t="shared" si="221"/>
        <v>H1328</v>
      </c>
      <c r="S1328" s="494" t="s">
        <v>1611</v>
      </c>
      <c r="T1328" s="494">
        <v>6</v>
      </c>
      <c r="U1328" s="556" t="str">
        <f t="shared" ca="1" si="213"/>
        <v/>
      </c>
      <c r="V1328" s="494">
        <v>7</v>
      </c>
      <c r="W1328" s="556" t="str">
        <f t="shared" ca="1" si="214"/>
        <v/>
      </c>
      <c r="X1328" s="494" t="s">
        <v>198</v>
      </c>
      <c r="Y1328" s="547" t="str">
        <f t="shared" ca="1" si="218"/>
        <v/>
      </c>
      <c r="Z1328" s="494" t="s">
        <v>1612</v>
      </c>
      <c r="AA1328" s="547" t="str">
        <f t="shared" ca="1" si="219"/>
        <v/>
      </c>
      <c r="AB1328" s="494" t="s">
        <v>1613</v>
      </c>
      <c r="AC1328" s="547" t="str">
        <f t="shared" ca="1" si="220"/>
        <v/>
      </c>
      <c r="AD1328" s="557"/>
      <c r="AE1328" s="958"/>
    </row>
    <row r="1329" spans="1:31" ht="15" customHeight="1">
      <c r="A1329" s="957">
        <v>100</v>
      </c>
      <c r="B1329" s="566" t="s">
        <v>535</v>
      </c>
      <c r="C1329" s="567" t="s">
        <v>1595</v>
      </c>
      <c r="D1329" s="958">
        <v>1.2</v>
      </c>
      <c r="E1329" s="959" t="s">
        <v>353</v>
      </c>
      <c r="F1329" s="558" t="s">
        <v>1486</v>
      </c>
      <c r="G1329" s="558">
        <v>853</v>
      </c>
      <c r="H1329" s="558" t="s">
        <v>359</v>
      </c>
      <c r="I1329" s="559" t="s">
        <v>582</v>
      </c>
      <c r="J1329" s="567" t="s">
        <v>1606</v>
      </c>
      <c r="K1329" s="961" t="s">
        <v>1607</v>
      </c>
      <c r="L1329" s="555" t="str">
        <f t="shared" ca="1" si="215"/>
        <v/>
      </c>
      <c r="M1329" s="494" t="s">
        <v>1608</v>
      </c>
      <c r="N1329" s="555" t="str">
        <f t="shared" ca="1" si="216"/>
        <v/>
      </c>
      <c r="O1329" s="494" t="s">
        <v>1609</v>
      </c>
      <c r="P1329" s="555" t="str">
        <f t="shared" ca="1" si="217"/>
        <v/>
      </c>
      <c r="Q1329" s="494" t="s">
        <v>1610</v>
      </c>
      <c r="R1329" s="494" t="str">
        <f t="shared" si="221"/>
        <v>H1329</v>
      </c>
      <c r="S1329" s="494" t="s">
        <v>1611</v>
      </c>
      <c r="T1329" s="494">
        <v>6</v>
      </c>
      <c r="U1329" s="556" t="str">
        <f t="shared" ca="1" si="213"/>
        <v/>
      </c>
      <c r="V1329" s="494">
        <v>7</v>
      </c>
      <c r="W1329" s="556" t="str">
        <f t="shared" ca="1" si="214"/>
        <v/>
      </c>
      <c r="X1329" s="494" t="s">
        <v>198</v>
      </c>
      <c r="Y1329" s="547" t="str">
        <f t="shared" ca="1" si="218"/>
        <v/>
      </c>
      <c r="Z1329" s="494" t="s">
        <v>1612</v>
      </c>
      <c r="AA1329" s="547" t="str">
        <f t="shared" ca="1" si="219"/>
        <v/>
      </c>
      <c r="AB1329" s="494" t="s">
        <v>1613</v>
      </c>
      <c r="AC1329" s="547" t="str">
        <f t="shared" ca="1" si="220"/>
        <v/>
      </c>
      <c r="AD1329" s="557"/>
      <c r="AE1329" s="958"/>
    </row>
    <row r="1330" spans="1:31" ht="15" customHeight="1">
      <c r="A1330" s="957">
        <v>100</v>
      </c>
      <c r="B1330" s="566" t="s">
        <v>535</v>
      </c>
      <c r="C1330" s="567" t="s">
        <v>1595</v>
      </c>
      <c r="D1330" s="958">
        <v>1.2</v>
      </c>
      <c r="E1330" s="959" t="s">
        <v>353</v>
      </c>
      <c r="F1330" s="558" t="s">
        <v>1486</v>
      </c>
      <c r="G1330" s="558">
        <v>853</v>
      </c>
      <c r="H1330" s="558" t="s">
        <v>361</v>
      </c>
      <c r="I1330" s="559" t="s">
        <v>583</v>
      </c>
      <c r="J1330" s="567" t="s">
        <v>1606</v>
      </c>
      <c r="K1330" s="961" t="s">
        <v>1607</v>
      </c>
      <c r="L1330" s="555" t="str">
        <f t="shared" ca="1" si="215"/>
        <v/>
      </c>
      <c r="M1330" s="494" t="s">
        <v>1608</v>
      </c>
      <c r="N1330" s="555" t="str">
        <f t="shared" ca="1" si="216"/>
        <v/>
      </c>
      <c r="O1330" s="494" t="s">
        <v>1609</v>
      </c>
      <c r="P1330" s="555" t="str">
        <f t="shared" ca="1" si="217"/>
        <v/>
      </c>
      <c r="Q1330" s="494" t="s">
        <v>1610</v>
      </c>
      <c r="R1330" s="494" t="str">
        <f t="shared" si="221"/>
        <v>H1330</v>
      </c>
      <c r="S1330" s="494" t="s">
        <v>1611</v>
      </c>
      <c r="T1330" s="494">
        <v>6</v>
      </c>
      <c r="U1330" s="556" t="str">
        <f t="shared" ca="1" si="213"/>
        <v/>
      </c>
      <c r="V1330" s="494">
        <v>7</v>
      </c>
      <c r="W1330" s="556" t="str">
        <f t="shared" ca="1" si="214"/>
        <v/>
      </c>
      <c r="X1330" s="494" t="s">
        <v>198</v>
      </c>
      <c r="Y1330" s="547" t="str">
        <f t="shared" ca="1" si="218"/>
        <v/>
      </c>
      <c r="Z1330" s="494" t="s">
        <v>1612</v>
      </c>
      <c r="AA1330" s="547" t="str">
        <f t="shared" ca="1" si="219"/>
        <v/>
      </c>
      <c r="AB1330" s="494" t="s">
        <v>1613</v>
      </c>
      <c r="AC1330" s="547" t="str">
        <f t="shared" ca="1" si="220"/>
        <v/>
      </c>
      <c r="AD1330" s="557"/>
      <c r="AE1330" s="958"/>
    </row>
    <row r="1331" spans="1:31" ht="15" customHeight="1">
      <c r="A1331" s="957">
        <v>100</v>
      </c>
      <c r="B1331" s="566" t="s">
        <v>535</v>
      </c>
      <c r="C1331" s="567" t="s">
        <v>1595</v>
      </c>
      <c r="D1331" s="958">
        <v>1.2</v>
      </c>
      <c r="E1331" s="959" t="s">
        <v>353</v>
      </c>
      <c r="F1331" s="558" t="s">
        <v>1486</v>
      </c>
      <c r="G1331" s="558">
        <v>853</v>
      </c>
      <c r="H1331" s="558" t="s">
        <v>363</v>
      </c>
      <c r="I1331" s="559" t="s">
        <v>584</v>
      </c>
      <c r="J1331" s="567" t="s">
        <v>1606</v>
      </c>
      <c r="K1331" s="961" t="s">
        <v>1607</v>
      </c>
      <c r="L1331" s="555" t="str">
        <f t="shared" ca="1" si="215"/>
        <v/>
      </c>
      <c r="M1331" s="494" t="s">
        <v>1608</v>
      </c>
      <c r="N1331" s="555" t="str">
        <f t="shared" ca="1" si="216"/>
        <v/>
      </c>
      <c r="O1331" s="494" t="s">
        <v>1609</v>
      </c>
      <c r="P1331" s="555" t="str">
        <f t="shared" ca="1" si="217"/>
        <v/>
      </c>
      <c r="Q1331" s="494" t="s">
        <v>1610</v>
      </c>
      <c r="R1331" s="494" t="str">
        <f t="shared" si="221"/>
        <v>H1331</v>
      </c>
      <c r="S1331" s="494" t="s">
        <v>1611</v>
      </c>
      <c r="T1331" s="494">
        <v>6</v>
      </c>
      <c r="U1331" s="556" t="str">
        <f t="shared" ca="1" si="213"/>
        <v/>
      </c>
      <c r="V1331" s="494">
        <v>7</v>
      </c>
      <c r="W1331" s="556" t="str">
        <f t="shared" ca="1" si="214"/>
        <v/>
      </c>
      <c r="X1331" s="494" t="s">
        <v>198</v>
      </c>
      <c r="Y1331" s="547" t="str">
        <f t="shared" ca="1" si="218"/>
        <v/>
      </c>
      <c r="Z1331" s="494" t="s">
        <v>1612</v>
      </c>
      <c r="AA1331" s="547" t="str">
        <f t="shared" ca="1" si="219"/>
        <v/>
      </c>
      <c r="AB1331" s="494" t="s">
        <v>1613</v>
      </c>
      <c r="AC1331" s="547" t="str">
        <f t="shared" ca="1" si="220"/>
        <v/>
      </c>
      <c r="AD1331" s="557"/>
      <c r="AE1331" s="958"/>
    </row>
    <row r="1332" spans="1:31" ht="15" customHeight="1">
      <c r="A1332" s="957">
        <v>100</v>
      </c>
      <c r="B1332" s="566" t="s">
        <v>535</v>
      </c>
      <c r="C1332" s="567" t="s">
        <v>1595</v>
      </c>
      <c r="D1332" s="958">
        <v>1.2</v>
      </c>
      <c r="E1332" s="959" t="s">
        <v>367</v>
      </c>
      <c r="F1332" s="558" t="s">
        <v>1488</v>
      </c>
      <c r="G1332" s="558">
        <v>907</v>
      </c>
      <c r="H1332" s="558">
        <v>19.100000000000001</v>
      </c>
      <c r="I1332" s="559" t="s">
        <v>371</v>
      </c>
      <c r="J1332" s="567" t="s">
        <v>1606</v>
      </c>
      <c r="K1332" s="961" t="s">
        <v>1607</v>
      </c>
      <c r="L1332" s="555" t="str">
        <f t="shared" ca="1" si="215"/>
        <v/>
      </c>
      <c r="M1332" s="494" t="s">
        <v>1608</v>
      </c>
      <c r="N1332" s="555" t="str">
        <f t="shared" ca="1" si="216"/>
        <v/>
      </c>
      <c r="O1332" s="494" t="s">
        <v>1609</v>
      </c>
      <c r="P1332" s="555" t="str">
        <f t="shared" ca="1" si="217"/>
        <v/>
      </c>
      <c r="Q1332" s="494" t="s">
        <v>1610</v>
      </c>
      <c r="R1332" s="494" t="str">
        <f t="shared" si="221"/>
        <v>H1332</v>
      </c>
      <c r="S1332" s="494" t="s">
        <v>1611</v>
      </c>
      <c r="T1332" s="494">
        <v>6</v>
      </c>
      <c r="U1332" s="556" t="str">
        <f t="shared" ca="1" si="213"/>
        <v/>
      </c>
      <c r="V1332" s="494">
        <v>7</v>
      </c>
      <c r="W1332" s="556" t="str">
        <f t="shared" ca="1" si="214"/>
        <v/>
      </c>
      <c r="X1332" s="494" t="s">
        <v>198</v>
      </c>
      <c r="Y1332" s="547" t="str">
        <f t="shared" ca="1" si="218"/>
        <v/>
      </c>
      <c r="Z1332" s="494" t="s">
        <v>1612</v>
      </c>
      <c r="AA1332" s="547" t="str">
        <f t="shared" ca="1" si="219"/>
        <v/>
      </c>
      <c r="AB1332" s="494" t="s">
        <v>1613</v>
      </c>
      <c r="AC1332" s="547" t="str">
        <f t="shared" ca="1" si="220"/>
        <v/>
      </c>
      <c r="AD1332" s="557"/>
      <c r="AE1332" s="958"/>
    </row>
    <row r="1333" spans="1:31" ht="15" customHeight="1">
      <c r="A1333" s="957">
        <v>100</v>
      </c>
      <c r="B1333" s="566" t="s">
        <v>535</v>
      </c>
      <c r="C1333" s="567" t="s">
        <v>1595</v>
      </c>
      <c r="D1333" s="958">
        <v>1.2</v>
      </c>
      <c r="E1333" s="959" t="s">
        <v>367</v>
      </c>
      <c r="F1333" s="558" t="s">
        <v>1488</v>
      </c>
      <c r="G1333" s="558">
        <v>908</v>
      </c>
      <c r="H1333" s="558">
        <v>19.2</v>
      </c>
      <c r="I1333" s="559" t="s">
        <v>587</v>
      </c>
      <c r="J1333" s="567" t="s">
        <v>1606</v>
      </c>
      <c r="K1333" s="961" t="s">
        <v>1607</v>
      </c>
      <c r="L1333" s="555" t="str">
        <f t="shared" ca="1" si="215"/>
        <v/>
      </c>
      <c r="M1333" s="494" t="s">
        <v>1608</v>
      </c>
      <c r="N1333" s="555" t="str">
        <f t="shared" ca="1" si="216"/>
        <v/>
      </c>
      <c r="O1333" s="494" t="s">
        <v>1609</v>
      </c>
      <c r="P1333" s="555" t="str">
        <f t="shared" ca="1" si="217"/>
        <v/>
      </c>
      <c r="Q1333" s="494" t="s">
        <v>1610</v>
      </c>
      <c r="R1333" s="494" t="str">
        <f t="shared" si="221"/>
        <v>H1333</v>
      </c>
      <c r="S1333" s="494" t="s">
        <v>1611</v>
      </c>
      <c r="T1333" s="494">
        <v>6</v>
      </c>
      <c r="U1333" s="556" t="str">
        <f t="shared" ca="1" si="213"/>
        <v/>
      </c>
      <c r="V1333" s="494">
        <v>7</v>
      </c>
      <c r="W1333" s="556" t="str">
        <f t="shared" ca="1" si="214"/>
        <v/>
      </c>
      <c r="X1333" s="494" t="s">
        <v>198</v>
      </c>
      <c r="Y1333" s="547" t="str">
        <f t="shared" ca="1" si="218"/>
        <v/>
      </c>
      <c r="Z1333" s="494" t="s">
        <v>1612</v>
      </c>
      <c r="AA1333" s="547" t="str">
        <f t="shared" ca="1" si="219"/>
        <v/>
      </c>
      <c r="AB1333" s="494" t="s">
        <v>1613</v>
      </c>
      <c r="AC1333" s="547" t="str">
        <f t="shared" ca="1" si="220"/>
        <v/>
      </c>
      <c r="AD1333" s="557"/>
      <c r="AE1333" s="958"/>
    </row>
    <row r="1334" spans="1:31" ht="15" customHeight="1">
      <c r="A1334" s="957">
        <v>100</v>
      </c>
      <c r="B1334" s="566" t="s">
        <v>535</v>
      </c>
      <c r="C1334" s="567" t="s">
        <v>1595</v>
      </c>
      <c r="D1334" s="958">
        <v>1.2</v>
      </c>
      <c r="E1334" s="959" t="s">
        <v>367</v>
      </c>
      <c r="F1334" s="558" t="s">
        <v>1488</v>
      </c>
      <c r="G1334" s="558">
        <v>857</v>
      </c>
      <c r="H1334" s="558">
        <v>20.100000000000001</v>
      </c>
      <c r="I1334" s="559" t="s">
        <v>589</v>
      </c>
      <c r="J1334" s="567" t="s">
        <v>1606</v>
      </c>
      <c r="K1334" s="961" t="s">
        <v>1607</v>
      </c>
      <c r="L1334" s="555" t="str">
        <f t="shared" ca="1" si="215"/>
        <v/>
      </c>
      <c r="M1334" s="494" t="s">
        <v>1608</v>
      </c>
      <c r="N1334" s="555" t="str">
        <f t="shared" ca="1" si="216"/>
        <v/>
      </c>
      <c r="O1334" s="494" t="s">
        <v>1609</v>
      </c>
      <c r="P1334" s="555" t="str">
        <f t="shared" ca="1" si="217"/>
        <v/>
      </c>
      <c r="Q1334" s="494" t="s">
        <v>1610</v>
      </c>
      <c r="R1334" s="494" t="str">
        <f t="shared" si="221"/>
        <v>H1334</v>
      </c>
      <c r="S1334" s="494" t="s">
        <v>1611</v>
      </c>
      <c r="T1334" s="494">
        <v>6</v>
      </c>
      <c r="U1334" s="556" t="str">
        <f t="shared" ca="1" si="213"/>
        <v/>
      </c>
      <c r="V1334" s="494">
        <v>7</v>
      </c>
      <c r="W1334" s="556" t="str">
        <f t="shared" ca="1" si="214"/>
        <v/>
      </c>
      <c r="X1334" s="494" t="s">
        <v>198</v>
      </c>
      <c r="Y1334" s="547" t="str">
        <f t="shared" ca="1" si="218"/>
        <v/>
      </c>
      <c r="Z1334" s="494" t="s">
        <v>1612</v>
      </c>
      <c r="AA1334" s="547" t="str">
        <f t="shared" ca="1" si="219"/>
        <v/>
      </c>
      <c r="AB1334" s="494" t="s">
        <v>1613</v>
      </c>
      <c r="AC1334" s="547" t="str">
        <f t="shared" ca="1" si="220"/>
        <v/>
      </c>
      <c r="AD1334" s="557"/>
      <c r="AE1334" s="958"/>
    </row>
    <row r="1335" spans="1:31" ht="15" customHeight="1">
      <c r="A1335" s="957">
        <v>100</v>
      </c>
      <c r="B1335" s="566" t="s">
        <v>535</v>
      </c>
      <c r="C1335" s="567" t="s">
        <v>1595</v>
      </c>
      <c r="D1335" s="958">
        <v>1.2</v>
      </c>
      <c r="E1335" s="959" t="s">
        <v>367</v>
      </c>
      <c r="F1335" s="558" t="s">
        <v>1488</v>
      </c>
      <c r="G1335" s="558">
        <v>858</v>
      </c>
      <c r="H1335" s="558">
        <v>20.2</v>
      </c>
      <c r="I1335" s="559" t="s">
        <v>591</v>
      </c>
      <c r="J1335" s="567" t="s">
        <v>1606</v>
      </c>
      <c r="K1335" s="961" t="s">
        <v>1607</v>
      </c>
      <c r="L1335" s="555" t="str">
        <f t="shared" ca="1" si="215"/>
        <v/>
      </c>
      <c r="M1335" s="494" t="s">
        <v>1608</v>
      </c>
      <c r="N1335" s="555" t="str">
        <f t="shared" ca="1" si="216"/>
        <v/>
      </c>
      <c r="O1335" s="494" t="s">
        <v>1609</v>
      </c>
      <c r="P1335" s="555" t="str">
        <f t="shared" ca="1" si="217"/>
        <v/>
      </c>
      <c r="Q1335" s="494" t="s">
        <v>1610</v>
      </c>
      <c r="R1335" s="494" t="str">
        <f t="shared" si="221"/>
        <v>H1335</v>
      </c>
      <c r="S1335" s="494" t="s">
        <v>1611</v>
      </c>
      <c r="T1335" s="494">
        <v>6</v>
      </c>
      <c r="U1335" s="556" t="str">
        <f t="shared" ca="1" si="213"/>
        <v/>
      </c>
      <c r="V1335" s="494">
        <v>7</v>
      </c>
      <c r="W1335" s="556" t="str">
        <f t="shared" ca="1" si="214"/>
        <v/>
      </c>
      <c r="X1335" s="494" t="s">
        <v>198</v>
      </c>
      <c r="Y1335" s="547" t="str">
        <f t="shared" ca="1" si="218"/>
        <v/>
      </c>
      <c r="Z1335" s="494" t="s">
        <v>1612</v>
      </c>
      <c r="AA1335" s="547" t="str">
        <f t="shared" ca="1" si="219"/>
        <v/>
      </c>
      <c r="AB1335" s="494" t="s">
        <v>1613</v>
      </c>
      <c r="AC1335" s="547" t="str">
        <f t="shared" ca="1" si="220"/>
        <v/>
      </c>
      <c r="AD1335" s="557"/>
      <c r="AE1335" s="958"/>
    </row>
    <row r="1336" spans="1:31" ht="15" customHeight="1">
      <c r="A1336" s="957">
        <v>100</v>
      </c>
      <c r="B1336" s="566" t="s">
        <v>535</v>
      </c>
      <c r="C1336" s="567" t="s">
        <v>1595</v>
      </c>
      <c r="D1336" s="958">
        <v>1.2</v>
      </c>
      <c r="E1336" s="959" t="s">
        <v>367</v>
      </c>
      <c r="F1336" s="558" t="s">
        <v>1488</v>
      </c>
      <c r="G1336" s="558">
        <v>734</v>
      </c>
      <c r="H1336" s="558">
        <v>21</v>
      </c>
      <c r="I1336" s="559" t="s">
        <v>390</v>
      </c>
      <c r="J1336" s="567" t="s">
        <v>1606</v>
      </c>
      <c r="K1336" s="961" t="s">
        <v>1607</v>
      </c>
      <c r="L1336" s="555" t="str">
        <f t="shared" ca="1" si="215"/>
        <v/>
      </c>
      <c r="M1336" s="494" t="s">
        <v>1608</v>
      </c>
      <c r="N1336" s="555" t="str">
        <f t="shared" ca="1" si="216"/>
        <v/>
      </c>
      <c r="O1336" s="494" t="s">
        <v>1609</v>
      </c>
      <c r="P1336" s="555" t="str">
        <f t="shared" ca="1" si="217"/>
        <v/>
      </c>
      <c r="Q1336" s="494" t="s">
        <v>1610</v>
      </c>
      <c r="R1336" s="494" t="str">
        <f t="shared" si="221"/>
        <v>H1336</v>
      </c>
      <c r="S1336" s="494" t="s">
        <v>1611</v>
      </c>
      <c r="T1336" s="494">
        <v>6</v>
      </c>
      <c r="U1336" s="556" t="str">
        <f t="shared" ca="1" si="213"/>
        <v/>
      </c>
      <c r="V1336" s="494">
        <v>7</v>
      </c>
      <c r="W1336" s="556" t="str">
        <f t="shared" ca="1" si="214"/>
        <v/>
      </c>
      <c r="X1336" s="494" t="s">
        <v>198</v>
      </c>
      <c r="Y1336" s="547" t="str">
        <f t="shared" ca="1" si="218"/>
        <v/>
      </c>
      <c r="Z1336" s="494" t="s">
        <v>1612</v>
      </c>
      <c r="AA1336" s="547" t="str">
        <f t="shared" ca="1" si="219"/>
        <v/>
      </c>
      <c r="AB1336" s="494" t="s">
        <v>1613</v>
      </c>
      <c r="AC1336" s="547" t="str">
        <f t="shared" ca="1" si="220"/>
        <v/>
      </c>
      <c r="AD1336" s="557"/>
      <c r="AE1336" s="958"/>
    </row>
    <row r="1337" spans="1:31" ht="15" customHeight="1">
      <c r="A1337" s="957">
        <v>100</v>
      </c>
      <c r="B1337" s="566" t="s">
        <v>535</v>
      </c>
      <c r="C1337" s="567" t="s">
        <v>1595</v>
      </c>
      <c r="D1337" s="958">
        <v>1.2</v>
      </c>
      <c r="E1337" s="959" t="s">
        <v>367</v>
      </c>
      <c r="F1337" s="558" t="s">
        <v>1488</v>
      </c>
      <c r="G1337" s="558">
        <v>859</v>
      </c>
      <c r="H1337" s="558" t="s">
        <v>393</v>
      </c>
      <c r="I1337" s="559" t="s">
        <v>1618</v>
      </c>
      <c r="J1337" s="567" t="s">
        <v>1606</v>
      </c>
      <c r="K1337" s="961" t="s">
        <v>1607</v>
      </c>
      <c r="L1337" s="555" t="str">
        <f t="shared" ca="1" si="215"/>
        <v/>
      </c>
      <c r="M1337" s="494" t="s">
        <v>1608</v>
      </c>
      <c r="N1337" s="555" t="str">
        <f t="shared" ca="1" si="216"/>
        <v/>
      </c>
      <c r="O1337" s="494" t="s">
        <v>1609</v>
      </c>
      <c r="P1337" s="555" t="str">
        <f t="shared" ca="1" si="217"/>
        <v/>
      </c>
      <c r="Q1337" s="494" t="s">
        <v>1610</v>
      </c>
      <c r="R1337" s="494" t="str">
        <f t="shared" si="221"/>
        <v>H1337</v>
      </c>
      <c r="S1337" s="494" t="s">
        <v>1611</v>
      </c>
      <c r="T1337" s="494">
        <v>6</v>
      </c>
      <c r="U1337" s="556" t="str">
        <f t="shared" ca="1" si="213"/>
        <v/>
      </c>
      <c r="V1337" s="494">
        <v>7</v>
      </c>
      <c r="W1337" s="556" t="str">
        <f t="shared" ca="1" si="214"/>
        <v/>
      </c>
      <c r="X1337" s="494" t="s">
        <v>198</v>
      </c>
      <c r="Y1337" s="547" t="str">
        <f t="shared" ca="1" si="218"/>
        <v/>
      </c>
      <c r="Z1337" s="494" t="s">
        <v>1612</v>
      </c>
      <c r="AA1337" s="547" t="str">
        <f t="shared" ca="1" si="219"/>
        <v/>
      </c>
      <c r="AB1337" s="494" t="s">
        <v>1613</v>
      </c>
      <c r="AC1337" s="547" t="str">
        <f t="shared" ca="1" si="220"/>
        <v/>
      </c>
      <c r="AD1337" s="557"/>
      <c r="AE1337" s="958"/>
    </row>
    <row r="1338" spans="1:31" ht="15" customHeight="1">
      <c r="A1338" s="957">
        <v>100</v>
      </c>
      <c r="B1338" s="566" t="s">
        <v>535</v>
      </c>
      <c r="C1338" s="567" t="s">
        <v>1595</v>
      </c>
      <c r="D1338" s="958">
        <v>1.2</v>
      </c>
      <c r="E1338" s="959" t="s">
        <v>367</v>
      </c>
      <c r="F1338" s="558" t="s">
        <v>1488</v>
      </c>
      <c r="G1338" s="558">
        <v>859</v>
      </c>
      <c r="H1338" s="558" t="s">
        <v>395</v>
      </c>
      <c r="I1338" s="559" t="s">
        <v>593</v>
      </c>
      <c r="J1338" s="567" t="s">
        <v>1606</v>
      </c>
      <c r="K1338" s="961" t="s">
        <v>1607</v>
      </c>
      <c r="L1338" s="555" t="str">
        <f t="shared" ca="1" si="215"/>
        <v/>
      </c>
      <c r="M1338" s="494" t="s">
        <v>1608</v>
      </c>
      <c r="N1338" s="555" t="str">
        <f t="shared" ca="1" si="216"/>
        <v/>
      </c>
      <c r="O1338" s="494" t="s">
        <v>1609</v>
      </c>
      <c r="P1338" s="555" t="str">
        <f t="shared" ca="1" si="217"/>
        <v/>
      </c>
      <c r="Q1338" s="494" t="s">
        <v>1610</v>
      </c>
      <c r="R1338" s="494" t="str">
        <f t="shared" si="221"/>
        <v>H1338</v>
      </c>
      <c r="S1338" s="494" t="s">
        <v>1611</v>
      </c>
      <c r="T1338" s="494">
        <v>6</v>
      </c>
      <c r="U1338" s="556" t="str">
        <f t="shared" ca="1" si="213"/>
        <v/>
      </c>
      <c r="V1338" s="494">
        <v>7</v>
      </c>
      <c r="W1338" s="556" t="str">
        <f t="shared" ca="1" si="214"/>
        <v/>
      </c>
      <c r="X1338" s="494" t="s">
        <v>198</v>
      </c>
      <c r="Y1338" s="547" t="str">
        <f t="shared" ca="1" si="218"/>
        <v/>
      </c>
      <c r="Z1338" s="494" t="s">
        <v>1612</v>
      </c>
      <c r="AA1338" s="547" t="str">
        <f t="shared" ca="1" si="219"/>
        <v/>
      </c>
      <c r="AB1338" s="494" t="s">
        <v>1613</v>
      </c>
      <c r="AC1338" s="547" t="str">
        <f t="shared" ca="1" si="220"/>
        <v/>
      </c>
      <c r="AD1338" s="557"/>
      <c r="AE1338" s="958"/>
    </row>
    <row r="1339" spans="1:31" ht="15" customHeight="1">
      <c r="A1339" s="957">
        <v>100</v>
      </c>
      <c r="B1339" s="566" t="s">
        <v>535</v>
      </c>
      <c r="C1339" s="567" t="s">
        <v>1595</v>
      </c>
      <c r="D1339" s="958">
        <v>1.2</v>
      </c>
      <c r="E1339" s="959" t="s">
        <v>396</v>
      </c>
      <c r="F1339" s="558" t="s">
        <v>1498</v>
      </c>
      <c r="G1339" s="558">
        <v>872</v>
      </c>
      <c r="H1339" s="558">
        <v>23.1</v>
      </c>
      <c r="I1339" s="559" t="s">
        <v>595</v>
      </c>
      <c r="J1339" s="567" t="s">
        <v>1606</v>
      </c>
      <c r="K1339" s="961" t="s">
        <v>1607</v>
      </c>
      <c r="L1339" s="555" t="str">
        <f t="shared" ca="1" si="215"/>
        <v/>
      </c>
      <c r="M1339" s="494" t="s">
        <v>1608</v>
      </c>
      <c r="N1339" s="555" t="str">
        <f t="shared" ca="1" si="216"/>
        <v/>
      </c>
      <c r="O1339" s="494" t="s">
        <v>1609</v>
      </c>
      <c r="P1339" s="555" t="str">
        <f t="shared" ca="1" si="217"/>
        <v/>
      </c>
      <c r="Q1339" s="494" t="s">
        <v>1610</v>
      </c>
      <c r="R1339" s="494" t="str">
        <f t="shared" si="221"/>
        <v>H1339</v>
      </c>
      <c r="S1339" s="494" t="s">
        <v>1611</v>
      </c>
      <c r="T1339" s="494">
        <v>6</v>
      </c>
      <c r="U1339" s="556" t="str">
        <f t="shared" ca="1" si="213"/>
        <v/>
      </c>
      <c r="V1339" s="494">
        <v>7</v>
      </c>
      <c r="W1339" s="556" t="str">
        <f t="shared" ca="1" si="214"/>
        <v/>
      </c>
      <c r="X1339" s="494" t="s">
        <v>198</v>
      </c>
      <c r="Y1339" s="547" t="str">
        <f t="shared" ca="1" si="218"/>
        <v/>
      </c>
      <c r="Z1339" s="494" t="s">
        <v>1612</v>
      </c>
      <c r="AA1339" s="547" t="str">
        <f t="shared" ca="1" si="219"/>
        <v/>
      </c>
      <c r="AB1339" s="494" t="s">
        <v>1613</v>
      </c>
      <c r="AC1339" s="547" t="str">
        <f t="shared" ca="1" si="220"/>
        <v/>
      </c>
      <c r="AD1339" s="557"/>
      <c r="AE1339" s="958"/>
    </row>
    <row r="1340" spans="1:31" ht="15" customHeight="1">
      <c r="A1340" s="957">
        <v>100</v>
      </c>
      <c r="B1340" s="566" t="s">
        <v>535</v>
      </c>
      <c r="C1340" s="567" t="s">
        <v>1595</v>
      </c>
      <c r="D1340" s="958">
        <v>1.2</v>
      </c>
      <c r="E1340" s="959" t="s">
        <v>396</v>
      </c>
      <c r="F1340" s="558" t="s">
        <v>1498</v>
      </c>
      <c r="G1340" s="558">
        <v>872</v>
      </c>
      <c r="H1340" s="558">
        <v>23.2</v>
      </c>
      <c r="I1340" s="559" t="s">
        <v>596</v>
      </c>
      <c r="J1340" s="567" t="s">
        <v>1606</v>
      </c>
      <c r="K1340" s="961" t="s">
        <v>1607</v>
      </c>
      <c r="L1340" s="555" t="str">
        <f t="shared" ca="1" si="215"/>
        <v/>
      </c>
      <c r="M1340" s="494" t="s">
        <v>1608</v>
      </c>
      <c r="N1340" s="555" t="str">
        <f t="shared" ca="1" si="216"/>
        <v/>
      </c>
      <c r="O1340" s="494" t="s">
        <v>1609</v>
      </c>
      <c r="P1340" s="555" t="str">
        <f t="shared" ca="1" si="217"/>
        <v/>
      </c>
      <c r="Q1340" s="494" t="s">
        <v>1610</v>
      </c>
      <c r="R1340" s="494" t="str">
        <f t="shared" si="221"/>
        <v>H1340</v>
      </c>
      <c r="S1340" s="494" t="s">
        <v>1611</v>
      </c>
      <c r="T1340" s="494">
        <v>6</v>
      </c>
      <c r="U1340" s="556" t="str">
        <f t="shared" ca="1" si="213"/>
        <v/>
      </c>
      <c r="V1340" s="494">
        <v>7</v>
      </c>
      <c r="W1340" s="556" t="str">
        <f t="shared" ca="1" si="214"/>
        <v/>
      </c>
      <c r="X1340" s="494" t="s">
        <v>198</v>
      </c>
      <c r="Y1340" s="547" t="str">
        <f t="shared" ca="1" si="218"/>
        <v/>
      </c>
      <c r="Z1340" s="494" t="s">
        <v>1612</v>
      </c>
      <c r="AA1340" s="547" t="str">
        <f t="shared" ca="1" si="219"/>
        <v/>
      </c>
      <c r="AB1340" s="494" t="s">
        <v>1613</v>
      </c>
      <c r="AC1340" s="547" t="str">
        <f t="shared" ca="1" si="220"/>
        <v/>
      </c>
      <c r="AD1340" s="557"/>
      <c r="AE1340" s="958"/>
    </row>
    <row r="1341" spans="1:31" ht="15" customHeight="1">
      <c r="A1341" s="957">
        <v>100</v>
      </c>
      <c r="B1341" s="566" t="s">
        <v>535</v>
      </c>
      <c r="C1341" s="567" t="s">
        <v>1595</v>
      </c>
      <c r="D1341" s="958">
        <v>1.2</v>
      </c>
      <c r="E1341" s="959" t="s">
        <v>396</v>
      </c>
      <c r="F1341" s="558" t="s">
        <v>1498</v>
      </c>
      <c r="G1341" s="558">
        <v>872</v>
      </c>
      <c r="H1341" s="558">
        <v>23.3</v>
      </c>
      <c r="I1341" s="559" t="s">
        <v>597</v>
      </c>
      <c r="J1341" s="567" t="s">
        <v>1606</v>
      </c>
      <c r="K1341" s="961" t="s">
        <v>1607</v>
      </c>
      <c r="L1341" s="555" t="str">
        <f t="shared" ca="1" si="215"/>
        <v/>
      </c>
      <c r="M1341" s="494" t="s">
        <v>1608</v>
      </c>
      <c r="N1341" s="555" t="str">
        <f t="shared" ca="1" si="216"/>
        <v/>
      </c>
      <c r="O1341" s="494" t="s">
        <v>1609</v>
      </c>
      <c r="P1341" s="555" t="str">
        <f t="shared" ca="1" si="217"/>
        <v/>
      </c>
      <c r="Q1341" s="494" t="s">
        <v>1610</v>
      </c>
      <c r="R1341" s="494" t="str">
        <f t="shared" si="221"/>
        <v>H1341</v>
      </c>
      <c r="S1341" s="494" t="s">
        <v>1611</v>
      </c>
      <c r="T1341" s="494">
        <v>6</v>
      </c>
      <c r="U1341" s="556" t="str">
        <f t="shared" ca="1" si="213"/>
        <v/>
      </c>
      <c r="V1341" s="494">
        <v>7</v>
      </c>
      <c r="W1341" s="556" t="str">
        <f t="shared" ca="1" si="214"/>
        <v/>
      </c>
      <c r="X1341" s="494" t="s">
        <v>198</v>
      </c>
      <c r="Y1341" s="547" t="str">
        <f t="shared" ca="1" si="218"/>
        <v/>
      </c>
      <c r="Z1341" s="494" t="s">
        <v>1612</v>
      </c>
      <c r="AA1341" s="547" t="str">
        <f t="shared" ca="1" si="219"/>
        <v/>
      </c>
      <c r="AB1341" s="494" t="s">
        <v>1613</v>
      </c>
      <c r="AC1341" s="547" t="str">
        <f t="shared" ca="1" si="220"/>
        <v/>
      </c>
      <c r="AD1341" s="557"/>
      <c r="AE1341" s="958"/>
    </row>
    <row r="1342" spans="1:31" ht="15" customHeight="1">
      <c r="A1342" s="957">
        <v>100</v>
      </c>
      <c r="B1342" s="566" t="s">
        <v>535</v>
      </c>
      <c r="C1342" s="567" t="s">
        <v>1595</v>
      </c>
      <c r="D1342" s="958">
        <v>1.2</v>
      </c>
      <c r="E1342" s="959" t="s">
        <v>404</v>
      </c>
      <c r="F1342" s="558" t="s">
        <v>1499</v>
      </c>
      <c r="G1342" s="558">
        <v>863</v>
      </c>
      <c r="H1342" s="558">
        <v>24</v>
      </c>
      <c r="I1342" s="559" t="s">
        <v>646</v>
      </c>
      <c r="J1342" s="567" t="s">
        <v>1606</v>
      </c>
      <c r="K1342" s="961" t="s">
        <v>1607</v>
      </c>
      <c r="L1342" s="555" t="str">
        <f t="shared" ca="1" si="215"/>
        <v/>
      </c>
      <c r="M1342" s="494" t="s">
        <v>1608</v>
      </c>
      <c r="N1342" s="555" t="str">
        <f t="shared" ca="1" si="216"/>
        <v/>
      </c>
      <c r="O1342" s="494" t="s">
        <v>1609</v>
      </c>
      <c r="P1342" s="555" t="str">
        <f t="shared" ca="1" si="217"/>
        <v/>
      </c>
      <c r="Q1342" s="494" t="s">
        <v>1610</v>
      </c>
      <c r="R1342" s="494" t="str">
        <f t="shared" si="221"/>
        <v>H1342</v>
      </c>
      <c r="S1342" s="494" t="s">
        <v>1611</v>
      </c>
      <c r="T1342" s="494">
        <v>6</v>
      </c>
      <c r="U1342" s="556" t="str">
        <f t="shared" ca="1" si="213"/>
        <v/>
      </c>
      <c r="V1342" s="494">
        <v>7</v>
      </c>
      <c r="W1342" s="556" t="str">
        <f t="shared" ca="1" si="214"/>
        <v/>
      </c>
      <c r="X1342" s="494" t="s">
        <v>198</v>
      </c>
      <c r="Y1342" s="547" t="str">
        <f t="shared" ca="1" si="218"/>
        <v/>
      </c>
      <c r="Z1342" s="494" t="s">
        <v>1612</v>
      </c>
      <c r="AA1342" s="547" t="str">
        <f t="shared" ca="1" si="219"/>
        <v/>
      </c>
      <c r="AB1342" s="494" t="s">
        <v>1613</v>
      </c>
      <c r="AC1342" s="547" t="str">
        <f t="shared" ca="1" si="220"/>
        <v/>
      </c>
      <c r="AD1342" s="557"/>
      <c r="AE1342" s="958"/>
    </row>
    <row r="1343" spans="1:31" ht="15" customHeight="1">
      <c r="A1343" s="957">
        <v>100</v>
      </c>
      <c r="B1343" s="566" t="s">
        <v>535</v>
      </c>
      <c r="C1343" s="567" t="s">
        <v>1595</v>
      </c>
      <c r="D1343" s="958">
        <v>1.2</v>
      </c>
      <c r="E1343" s="959" t="s">
        <v>404</v>
      </c>
      <c r="F1343" s="558" t="s">
        <v>1499</v>
      </c>
      <c r="G1343" s="558">
        <v>864</v>
      </c>
      <c r="H1343" s="558">
        <v>24.1</v>
      </c>
      <c r="I1343" s="559" t="s">
        <v>412</v>
      </c>
      <c r="J1343" s="567" t="s">
        <v>1606</v>
      </c>
      <c r="K1343" s="961" t="s">
        <v>1607</v>
      </c>
      <c r="L1343" s="555" t="str">
        <f t="shared" ca="1" si="215"/>
        <v/>
      </c>
      <c r="M1343" s="494" t="s">
        <v>1608</v>
      </c>
      <c r="N1343" s="555" t="str">
        <f t="shared" ca="1" si="216"/>
        <v/>
      </c>
      <c r="O1343" s="494" t="s">
        <v>1609</v>
      </c>
      <c r="P1343" s="555" t="str">
        <f t="shared" ca="1" si="217"/>
        <v/>
      </c>
      <c r="Q1343" s="494" t="s">
        <v>1610</v>
      </c>
      <c r="R1343" s="494" t="str">
        <f t="shared" si="221"/>
        <v>H1343</v>
      </c>
      <c r="S1343" s="494" t="s">
        <v>1611</v>
      </c>
      <c r="T1343" s="494">
        <v>6</v>
      </c>
      <c r="U1343" s="556" t="str">
        <f t="shared" ref="U1343:U1406" ca="1" si="222">IF(AND($B1343=INDIRECT(CONCATENATE($J1343,$K1343,5)),ISBLANK(INDEX(INDIRECT(CONCATENATE($J1343,$Q1343)),MATCH(INDIRECT($R1343),INDIRECT(CONCATENATE($J1343,$S1343)),0),T1343))=FALSE),INDEX(INDIRECT(CONCATENATE($J1343,$Q1343)),MATCH(INDIRECT($R1343),INDIRECT(CONCATENATE($J1343,$S1343)),0),T1343),"")</f>
        <v/>
      </c>
      <c r="V1343" s="494">
        <v>7</v>
      </c>
      <c r="W1343" s="556" t="str">
        <f t="shared" ref="W1343:W1406" ca="1" si="223">IF(AND($B1343=INDIRECT(CONCATENATE($J1343,$K1343,5)),ISBLANK(INDEX(INDIRECT(CONCATENATE($J1343,$Q1343)),MATCH(INDIRECT($R1343),INDIRECT(CONCATENATE($J1343,$S1343)),0),V1343))=FALSE),INDEX(INDIRECT(CONCATENATE($J1343,$Q1343)),MATCH(INDIRECT($R1343),INDIRECT(CONCATENATE($J1343,$S1343)),0),V1343),"")</f>
        <v/>
      </c>
      <c r="X1343" s="494" t="s">
        <v>198</v>
      </c>
      <c r="Y1343" s="547" t="str">
        <f t="shared" ca="1" si="218"/>
        <v/>
      </c>
      <c r="Z1343" s="494" t="s">
        <v>1612</v>
      </c>
      <c r="AA1343" s="547" t="str">
        <f t="shared" ca="1" si="219"/>
        <v/>
      </c>
      <c r="AB1343" s="494" t="s">
        <v>1613</v>
      </c>
      <c r="AC1343" s="547" t="str">
        <f t="shared" ca="1" si="220"/>
        <v/>
      </c>
      <c r="AD1343" s="557"/>
      <c r="AE1343" s="958"/>
    </row>
    <row r="1344" spans="1:31" ht="15" customHeight="1">
      <c r="A1344" s="957">
        <v>100</v>
      </c>
      <c r="B1344" s="566" t="s">
        <v>535</v>
      </c>
      <c r="C1344" s="567" t="s">
        <v>1595</v>
      </c>
      <c r="D1344" s="958">
        <v>1.2</v>
      </c>
      <c r="E1344" s="959" t="s">
        <v>404</v>
      </c>
      <c r="F1344" s="558" t="s">
        <v>1499</v>
      </c>
      <c r="G1344" s="558">
        <v>865</v>
      </c>
      <c r="H1344" s="558">
        <v>25</v>
      </c>
      <c r="I1344" s="559" t="s">
        <v>415</v>
      </c>
      <c r="J1344" s="567" t="s">
        <v>1606</v>
      </c>
      <c r="K1344" s="961" t="s">
        <v>1607</v>
      </c>
      <c r="L1344" s="555" t="str">
        <f t="shared" ca="1" si="215"/>
        <v/>
      </c>
      <c r="M1344" s="494" t="s">
        <v>1608</v>
      </c>
      <c r="N1344" s="555" t="str">
        <f t="shared" ca="1" si="216"/>
        <v/>
      </c>
      <c r="O1344" s="494" t="s">
        <v>1609</v>
      </c>
      <c r="P1344" s="555" t="str">
        <f t="shared" ca="1" si="217"/>
        <v/>
      </c>
      <c r="Q1344" s="494" t="s">
        <v>1610</v>
      </c>
      <c r="R1344" s="494" t="str">
        <f t="shared" si="221"/>
        <v>H1344</v>
      </c>
      <c r="S1344" s="494" t="s">
        <v>1611</v>
      </c>
      <c r="T1344" s="494">
        <v>6</v>
      </c>
      <c r="U1344" s="556" t="str">
        <f t="shared" ca="1" si="222"/>
        <v/>
      </c>
      <c r="V1344" s="494">
        <v>7</v>
      </c>
      <c r="W1344" s="556" t="str">
        <f t="shared" ca="1" si="223"/>
        <v/>
      </c>
      <c r="X1344" s="494" t="s">
        <v>198</v>
      </c>
      <c r="Y1344" s="547" t="str">
        <f t="shared" ca="1" si="218"/>
        <v/>
      </c>
      <c r="Z1344" s="494" t="s">
        <v>1612</v>
      </c>
      <c r="AA1344" s="547" t="str">
        <f t="shared" ca="1" si="219"/>
        <v/>
      </c>
      <c r="AB1344" s="494" t="s">
        <v>1613</v>
      </c>
      <c r="AC1344" s="547" t="str">
        <f t="shared" ca="1" si="220"/>
        <v/>
      </c>
      <c r="AD1344" s="557"/>
      <c r="AE1344" s="958"/>
    </row>
    <row r="1345" spans="1:31" ht="15" customHeight="1">
      <c r="A1345" s="957">
        <v>100</v>
      </c>
      <c r="B1345" s="566" t="s">
        <v>535</v>
      </c>
      <c r="C1345" s="567" t="s">
        <v>1595</v>
      </c>
      <c r="D1345" s="958">
        <v>1.2</v>
      </c>
      <c r="E1345" s="959" t="s">
        <v>404</v>
      </c>
      <c r="F1345" s="558" t="s">
        <v>1499</v>
      </c>
      <c r="G1345" s="558">
        <v>866</v>
      </c>
      <c r="H1345" s="558">
        <v>26</v>
      </c>
      <c r="I1345" s="559" t="s">
        <v>416</v>
      </c>
      <c r="J1345" s="567" t="s">
        <v>1606</v>
      </c>
      <c r="K1345" s="961" t="s">
        <v>1607</v>
      </c>
      <c r="L1345" s="555" t="str">
        <f t="shared" ca="1" si="215"/>
        <v/>
      </c>
      <c r="M1345" s="494" t="s">
        <v>1608</v>
      </c>
      <c r="N1345" s="555" t="str">
        <f t="shared" ca="1" si="216"/>
        <v/>
      </c>
      <c r="O1345" s="494" t="s">
        <v>1609</v>
      </c>
      <c r="P1345" s="555" t="str">
        <f t="shared" ca="1" si="217"/>
        <v/>
      </c>
      <c r="Q1345" s="494" t="s">
        <v>1610</v>
      </c>
      <c r="R1345" s="494" t="str">
        <f t="shared" si="221"/>
        <v>H1345</v>
      </c>
      <c r="S1345" s="494" t="s">
        <v>1611</v>
      </c>
      <c r="T1345" s="494">
        <v>6</v>
      </c>
      <c r="U1345" s="556" t="str">
        <f t="shared" ca="1" si="222"/>
        <v/>
      </c>
      <c r="V1345" s="494">
        <v>7</v>
      </c>
      <c r="W1345" s="556" t="str">
        <f t="shared" ca="1" si="223"/>
        <v/>
      </c>
      <c r="X1345" s="494" t="s">
        <v>198</v>
      </c>
      <c r="Y1345" s="547" t="str">
        <f t="shared" ca="1" si="218"/>
        <v/>
      </c>
      <c r="Z1345" s="494" t="s">
        <v>1612</v>
      </c>
      <c r="AA1345" s="547" t="str">
        <f t="shared" ca="1" si="219"/>
        <v/>
      </c>
      <c r="AB1345" s="494" t="s">
        <v>1613</v>
      </c>
      <c r="AC1345" s="547" t="str">
        <f t="shared" ca="1" si="220"/>
        <v/>
      </c>
      <c r="AD1345" s="557"/>
      <c r="AE1345" s="958"/>
    </row>
    <row r="1346" spans="1:31" ht="15" customHeight="1">
      <c r="A1346" s="957">
        <v>100</v>
      </c>
      <c r="B1346" s="566" t="s">
        <v>535</v>
      </c>
      <c r="C1346" s="567" t="s">
        <v>1595</v>
      </c>
      <c r="D1346" s="958">
        <v>1.2</v>
      </c>
      <c r="E1346" s="959" t="s">
        <v>419</v>
      </c>
      <c r="F1346" s="558" t="s">
        <v>1501</v>
      </c>
      <c r="G1346" s="558">
        <v>867</v>
      </c>
      <c r="H1346" s="558" t="s">
        <v>647</v>
      </c>
      <c r="I1346" s="559" t="s">
        <v>1619</v>
      </c>
      <c r="J1346" s="567" t="s">
        <v>1606</v>
      </c>
      <c r="K1346" s="961" t="s">
        <v>1607</v>
      </c>
      <c r="L1346" s="555" t="str">
        <f t="shared" ref="L1346:L1409" ca="1" si="224">IF(AND(INDIRECT(CONCATENATE($J1346,$K1346,5))=$B1346,ISNUMBER(SEARCH("Please",INDIRECT(CONCATENATE($J1346,$K1346,2)),1))=FALSE),SUMPRODUCT(MID(0&amp;INDIRECT(CONCATENATE($J1346,$K1346,2)), LARGE(INDEX(ISNUMBER(--MID(INDIRECT(CONCATENATE($J1346,$K1346,2)), ROW(INDIRECT("1:"&amp;LEN(INDIRECT(CONCATENATE($J1346,$K1346,2))))),1))*ROW(INDIRECT("1:"&amp;LEN(INDIRECT(CONCATENATE($J1346,$K1346,2))))),0), ROW(INDIRECT("1:"&amp;LEN(INDIRECT(CONCATENATE($J1346,$K1346,2))))))+1,1)*10^ROW(INDIRECT("1:"&amp;LEN(INDIRECT(CONCATENATE($J1346,$K1346,2)))))/10),"")</f>
        <v/>
      </c>
      <c r="M1346" s="494" t="s">
        <v>1608</v>
      </c>
      <c r="N1346" s="555" t="str">
        <f t="shared" ref="N1346:N1409" ca="1" si="225">IF(AND(INDIRECT(CONCATENATE($J1346,$K1346,5))=$B1346,ISNUMBER(SEARCH("Select",INDIRECT(CONCATENATE($J1346,$M1346,6)),1))=FALSE),INDIRECT(CONCATENATE($J1346,$M1346,6)),"")</f>
        <v/>
      </c>
      <c r="O1346" s="494" t="s">
        <v>1609</v>
      </c>
      <c r="P1346" s="555" t="str">
        <f t="shared" ref="P1346:P1409" ca="1" si="226">IF(AND(INDIRECT(CONCATENATE($J1346,$K1346,5))=$B1346,ISNUMBER(SEARCH("Select",INDIRECT(CONCATENATE($J1346,$O1346,6)),1))=FALSE),INDIRECT(CONCATENATE($J1346,$O1346,6)),"")</f>
        <v/>
      </c>
      <c r="Q1346" s="494" t="s">
        <v>1610</v>
      </c>
      <c r="R1346" s="494" t="str">
        <f t="shared" si="221"/>
        <v>H1346</v>
      </c>
      <c r="S1346" s="494" t="s">
        <v>1611</v>
      </c>
      <c r="T1346" s="494">
        <v>6</v>
      </c>
      <c r="U1346" s="556" t="str">
        <f t="shared" ca="1" si="222"/>
        <v/>
      </c>
      <c r="V1346" s="494">
        <v>7</v>
      </c>
      <c r="W1346" s="556" t="str">
        <f t="shared" ca="1" si="223"/>
        <v/>
      </c>
      <c r="X1346" s="494" t="s">
        <v>198</v>
      </c>
      <c r="Y1346" s="547" t="str">
        <f t="shared" ref="Y1346:Y1409" ca="1" si="227">IF(AND(INDIRECT(CONCATENATE($J1346,$K1346,5))=$B1346,ISBLANK(INDIRECT(CONCATENATE($J1346,X1346)))=FALSE),INDIRECT(CONCATENATE($J1346,X1346)),"")</f>
        <v/>
      </c>
      <c r="Z1346" s="494" t="s">
        <v>1612</v>
      </c>
      <c r="AA1346" s="547" t="str">
        <f t="shared" ref="AA1346:AA1409" ca="1" si="228">IF(AND(INDIRECT(CONCATENATE($J1346,$K1346,"5"))=$B1346,ISBLANK(INDIRECT(CONCATENATE($J1346,Z1346)))=FALSE),INDIRECT(CONCATENATE($J1346,Z1346)),"")</f>
        <v/>
      </c>
      <c r="AB1346" s="494" t="s">
        <v>1613</v>
      </c>
      <c r="AC1346" s="547" t="str">
        <f t="shared" ref="AC1346:AC1409" ca="1" si="229">IF(AND(INDIRECT(CONCATENATE($J1346,$K1346,"5"))=$B1346,ISBLANK(INDIRECT(CONCATENATE($J1346,AB1346)))=FALSE),INDIRECT(CONCATENATE($J1346,AB1346)),"")</f>
        <v/>
      </c>
      <c r="AD1346" s="557"/>
      <c r="AE1346" s="958"/>
    </row>
    <row r="1347" spans="1:31" ht="15" customHeight="1">
      <c r="A1347" s="957">
        <v>100</v>
      </c>
      <c r="B1347" s="566" t="s">
        <v>535</v>
      </c>
      <c r="C1347" s="567" t="s">
        <v>1595</v>
      </c>
      <c r="D1347" s="958">
        <v>1.2</v>
      </c>
      <c r="E1347" s="959" t="s">
        <v>419</v>
      </c>
      <c r="F1347" s="558" t="s">
        <v>1501</v>
      </c>
      <c r="G1347" s="558">
        <v>868</v>
      </c>
      <c r="H1347" s="558" t="s">
        <v>648</v>
      </c>
      <c r="I1347" s="559" t="s">
        <v>1620</v>
      </c>
      <c r="J1347" s="567" t="s">
        <v>1606</v>
      </c>
      <c r="K1347" s="961" t="s">
        <v>1607</v>
      </c>
      <c r="L1347" s="555" t="str">
        <f t="shared" ca="1" si="224"/>
        <v/>
      </c>
      <c r="M1347" s="494" t="s">
        <v>1608</v>
      </c>
      <c r="N1347" s="555" t="str">
        <f t="shared" ca="1" si="225"/>
        <v/>
      </c>
      <c r="O1347" s="494" t="s">
        <v>1609</v>
      </c>
      <c r="P1347" s="555" t="str">
        <f t="shared" ca="1" si="226"/>
        <v/>
      </c>
      <c r="Q1347" s="494" t="s">
        <v>1610</v>
      </c>
      <c r="R1347" s="494" t="str">
        <f t="shared" si="221"/>
        <v>H1347</v>
      </c>
      <c r="S1347" s="494" t="s">
        <v>1611</v>
      </c>
      <c r="T1347" s="494">
        <v>6</v>
      </c>
      <c r="U1347" s="556" t="str">
        <f t="shared" ca="1" si="222"/>
        <v/>
      </c>
      <c r="V1347" s="494">
        <v>7</v>
      </c>
      <c r="W1347" s="556" t="str">
        <f t="shared" ca="1" si="223"/>
        <v/>
      </c>
      <c r="X1347" s="494" t="s">
        <v>198</v>
      </c>
      <c r="Y1347" s="547" t="str">
        <f t="shared" ca="1" si="227"/>
        <v/>
      </c>
      <c r="Z1347" s="494" t="s">
        <v>1612</v>
      </c>
      <c r="AA1347" s="547" t="str">
        <f t="shared" ca="1" si="228"/>
        <v/>
      </c>
      <c r="AB1347" s="494" t="s">
        <v>1613</v>
      </c>
      <c r="AC1347" s="547" t="str">
        <f t="shared" ca="1" si="229"/>
        <v/>
      </c>
      <c r="AD1347" s="557"/>
      <c r="AE1347" s="958"/>
    </row>
    <row r="1348" spans="1:31" ht="15" customHeight="1">
      <c r="A1348" s="957">
        <v>100</v>
      </c>
      <c r="B1348" s="566" t="s">
        <v>535</v>
      </c>
      <c r="C1348" s="567" t="s">
        <v>1595</v>
      </c>
      <c r="D1348" s="958">
        <v>1.2</v>
      </c>
      <c r="E1348" s="959" t="s">
        <v>419</v>
      </c>
      <c r="F1348" s="558" t="s">
        <v>1501</v>
      </c>
      <c r="G1348" s="558">
        <v>869</v>
      </c>
      <c r="H1348" s="558" t="s">
        <v>649</v>
      </c>
      <c r="I1348" s="559" t="s">
        <v>1621</v>
      </c>
      <c r="J1348" s="567" t="s">
        <v>1606</v>
      </c>
      <c r="K1348" s="961" t="s">
        <v>1607</v>
      </c>
      <c r="L1348" s="555" t="str">
        <f t="shared" ca="1" si="224"/>
        <v/>
      </c>
      <c r="M1348" s="494" t="s">
        <v>1608</v>
      </c>
      <c r="N1348" s="555" t="str">
        <f t="shared" ca="1" si="225"/>
        <v/>
      </c>
      <c r="O1348" s="494" t="s">
        <v>1609</v>
      </c>
      <c r="P1348" s="555" t="str">
        <f t="shared" ca="1" si="226"/>
        <v/>
      </c>
      <c r="Q1348" s="494" t="s">
        <v>1610</v>
      </c>
      <c r="R1348" s="494" t="str">
        <f t="shared" si="221"/>
        <v>H1348</v>
      </c>
      <c r="S1348" s="494" t="s">
        <v>1611</v>
      </c>
      <c r="T1348" s="494">
        <v>6</v>
      </c>
      <c r="U1348" s="556" t="str">
        <f t="shared" ca="1" si="222"/>
        <v/>
      </c>
      <c r="V1348" s="494">
        <v>7</v>
      </c>
      <c r="W1348" s="556" t="str">
        <f t="shared" ca="1" si="223"/>
        <v/>
      </c>
      <c r="X1348" s="494" t="s">
        <v>198</v>
      </c>
      <c r="Y1348" s="547" t="str">
        <f t="shared" ca="1" si="227"/>
        <v/>
      </c>
      <c r="Z1348" s="494" t="s">
        <v>1612</v>
      </c>
      <c r="AA1348" s="547" t="str">
        <f t="shared" ca="1" si="228"/>
        <v/>
      </c>
      <c r="AB1348" s="494" t="s">
        <v>1613</v>
      </c>
      <c r="AC1348" s="547" t="str">
        <f t="shared" ca="1" si="229"/>
        <v/>
      </c>
      <c r="AD1348" s="557"/>
      <c r="AE1348" s="958"/>
    </row>
    <row r="1349" spans="1:31" ht="15" customHeight="1">
      <c r="A1349" s="957">
        <v>100</v>
      </c>
      <c r="B1349" s="566" t="s">
        <v>535</v>
      </c>
      <c r="C1349" s="567" t="s">
        <v>1595</v>
      </c>
      <c r="D1349" s="958">
        <v>1.2</v>
      </c>
      <c r="E1349" s="959" t="s">
        <v>419</v>
      </c>
      <c r="F1349" s="558" t="s">
        <v>1501</v>
      </c>
      <c r="G1349" s="558">
        <v>870</v>
      </c>
      <c r="H1349" s="558" t="s">
        <v>650</v>
      </c>
      <c r="I1349" s="559" t="s">
        <v>426</v>
      </c>
      <c r="J1349" s="567" t="s">
        <v>1606</v>
      </c>
      <c r="K1349" s="961" t="s">
        <v>1607</v>
      </c>
      <c r="L1349" s="555" t="str">
        <f t="shared" ca="1" si="224"/>
        <v/>
      </c>
      <c r="M1349" s="494" t="s">
        <v>1608</v>
      </c>
      <c r="N1349" s="555" t="str">
        <f t="shared" ca="1" si="225"/>
        <v/>
      </c>
      <c r="O1349" s="494" t="s">
        <v>1609</v>
      </c>
      <c r="P1349" s="555" t="str">
        <f t="shared" ca="1" si="226"/>
        <v/>
      </c>
      <c r="Q1349" s="494" t="s">
        <v>1610</v>
      </c>
      <c r="R1349" s="494" t="str">
        <f t="shared" si="221"/>
        <v>H1349</v>
      </c>
      <c r="S1349" s="494" t="s">
        <v>1611</v>
      </c>
      <c r="T1349" s="494">
        <v>6</v>
      </c>
      <c r="U1349" s="556" t="str">
        <f t="shared" ca="1" si="222"/>
        <v/>
      </c>
      <c r="V1349" s="494">
        <v>7</v>
      </c>
      <c r="W1349" s="556" t="str">
        <f t="shared" ca="1" si="223"/>
        <v/>
      </c>
      <c r="X1349" s="494" t="s">
        <v>198</v>
      </c>
      <c r="Y1349" s="547" t="str">
        <f t="shared" ca="1" si="227"/>
        <v/>
      </c>
      <c r="Z1349" s="494" t="s">
        <v>1612</v>
      </c>
      <c r="AA1349" s="547" t="str">
        <f t="shared" ca="1" si="228"/>
        <v/>
      </c>
      <c r="AB1349" s="494" t="s">
        <v>1613</v>
      </c>
      <c r="AC1349" s="547" t="str">
        <f t="shared" ca="1" si="229"/>
        <v/>
      </c>
      <c r="AD1349" s="557"/>
      <c r="AE1349" s="958"/>
    </row>
    <row r="1350" spans="1:31" ht="15" customHeight="1">
      <c r="A1350" s="957">
        <v>100</v>
      </c>
      <c r="B1350" s="566" t="s">
        <v>535</v>
      </c>
      <c r="C1350" s="567" t="s">
        <v>1595</v>
      </c>
      <c r="D1350" s="958">
        <v>1.2</v>
      </c>
      <c r="E1350" s="959" t="s">
        <v>419</v>
      </c>
      <c r="F1350" s="558" t="s">
        <v>1501</v>
      </c>
      <c r="G1350" s="558">
        <v>870</v>
      </c>
      <c r="H1350" s="558" t="s">
        <v>651</v>
      </c>
      <c r="I1350" s="559" t="s">
        <v>428</v>
      </c>
      <c r="J1350" s="567" t="s">
        <v>1606</v>
      </c>
      <c r="K1350" s="961" t="s">
        <v>1607</v>
      </c>
      <c r="L1350" s="555" t="str">
        <f t="shared" ca="1" si="224"/>
        <v/>
      </c>
      <c r="M1350" s="494" t="s">
        <v>1608</v>
      </c>
      <c r="N1350" s="555" t="str">
        <f t="shared" ca="1" si="225"/>
        <v/>
      </c>
      <c r="O1350" s="494" t="s">
        <v>1609</v>
      </c>
      <c r="P1350" s="555" t="str">
        <f t="shared" ca="1" si="226"/>
        <v/>
      </c>
      <c r="Q1350" s="494" t="s">
        <v>1610</v>
      </c>
      <c r="R1350" s="494" t="str">
        <f t="shared" si="221"/>
        <v>H1350</v>
      </c>
      <c r="S1350" s="494" t="s">
        <v>1611</v>
      </c>
      <c r="T1350" s="494">
        <v>6</v>
      </c>
      <c r="U1350" s="556" t="str">
        <f t="shared" ca="1" si="222"/>
        <v/>
      </c>
      <c r="V1350" s="494">
        <v>7</v>
      </c>
      <c r="W1350" s="556" t="str">
        <f t="shared" ca="1" si="223"/>
        <v/>
      </c>
      <c r="X1350" s="494" t="s">
        <v>198</v>
      </c>
      <c r="Y1350" s="547" t="str">
        <f t="shared" ca="1" si="227"/>
        <v/>
      </c>
      <c r="Z1350" s="494" t="s">
        <v>1612</v>
      </c>
      <c r="AA1350" s="547" t="str">
        <f t="shared" ca="1" si="228"/>
        <v/>
      </c>
      <c r="AB1350" s="494" t="s">
        <v>1613</v>
      </c>
      <c r="AC1350" s="547" t="str">
        <f t="shared" ca="1" si="229"/>
        <v/>
      </c>
      <c r="AD1350" s="557"/>
      <c r="AE1350" s="958"/>
    </row>
    <row r="1351" spans="1:31" ht="15" customHeight="1">
      <c r="A1351" s="962">
        <v>105</v>
      </c>
      <c r="B1351" s="560" t="s">
        <v>536</v>
      </c>
      <c r="C1351" s="561" t="s">
        <v>1595</v>
      </c>
      <c r="D1351" s="963">
        <v>1.3</v>
      </c>
      <c r="E1351" s="562" t="s">
        <v>254</v>
      </c>
      <c r="F1351" s="537" t="s">
        <v>1444</v>
      </c>
      <c r="G1351" s="537">
        <v>1355</v>
      </c>
      <c r="H1351" s="537">
        <v>1.1000000000000001</v>
      </c>
      <c r="I1351" s="568" t="s">
        <v>492</v>
      </c>
      <c r="J1351" s="561" t="s">
        <v>1606</v>
      </c>
      <c r="K1351" s="964" t="s">
        <v>1607</v>
      </c>
      <c r="L1351" s="563" t="str">
        <f t="shared" ca="1" si="224"/>
        <v/>
      </c>
      <c r="M1351" s="535" t="s">
        <v>1608</v>
      </c>
      <c r="N1351" s="563" t="str">
        <f t="shared" ca="1" si="225"/>
        <v/>
      </c>
      <c r="O1351" s="535" t="s">
        <v>1609</v>
      </c>
      <c r="P1351" s="563" t="str">
        <f t="shared" ca="1" si="226"/>
        <v/>
      </c>
      <c r="Q1351" s="535" t="s">
        <v>1610</v>
      </c>
      <c r="R1351" s="535" t="str">
        <f>CONCATENATE("H",ROW(J1351))</f>
        <v>H1351</v>
      </c>
      <c r="S1351" s="535" t="s">
        <v>1611</v>
      </c>
      <c r="T1351" s="535">
        <v>6</v>
      </c>
      <c r="U1351" s="564" t="str">
        <f t="shared" ca="1" si="222"/>
        <v/>
      </c>
      <c r="V1351" s="535">
        <v>7</v>
      </c>
      <c r="W1351" s="564" t="str">
        <f t="shared" ca="1" si="223"/>
        <v/>
      </c>
      <c r="X1351" s="535" t="s">
        <v>198</v>
      </c>
      <c r="Y1351" s="565" t="str">
        <f t="shared" ca="1" si="227"/>
        <v/>
      </c>
      <c r="Z1351" s="535" t="s">
        <v>1612</v>
      </c>
      <c r="AA1351" s="565" t="str">
        <f t="shared" ca="1" si="228"/>
        <v/>
      </c>
      <c r="AB1351" s="535" t="s">
        <v>1613</v>
      </c>
      <c r="AC1351" s="565" t="str">
        <f t="shared" ca="1" si="229"/>
        <v/>
      </c>
      <c r="AD1351" s="557"/>
      <c r="AE1351" s="567"/>
    </row>
    <row r="1352" spans="1:31" ht="15" customHeight="1">
      <c r="A1352" s="957">
        <v>105</v>
      </c>
      <c r="B1352" s="566" t="s">
        <v>536</v>
      </c>
      <c r="C1352" s="567" t="s">
        <v>1595</v>
      </c>
      <c r="D1352" s="958">
        <v>1.3</v>
      </c>
      <c r="E1352" s="562" t="s">
        <v>254</v>
      </c>
      <c r="F1352" s="537" t="s">
        <v>1444</v>
      </c>
      <c r="G1352" s="537">
        <v>1362</v>
      </c>
      <c r="H1352" s="537">
        <v>2</v>
      </c>
      <c r="I1352" s="568" t="s">
        <v>263</v>
      </c>
      <c r="J1352" s="567" t="s">
        <v>1606</v>
      </c>
      <c r="K1352" s="964" t="s">
        <v>1607</v>
      </c>
      <c r="L1352" s="563" t="str">
        <f t="shared" ca="1" si="224"/>
        <v/>
      </c>
      <c r="M1352" s="535" t="s">
        <v>1608</v>
      </c>
      <c r="N1352" s="563" t="str">
        <f t="shared" ca="1" si="225"/>
        <v/>
      </c>
      <c r="O1352" s="535" t="s">
        <v>1609</v>
      </c>
      <c r="P1352" s="563" t="str">
        <f t="shared" ca="1" si="226"/>
        <v/>
      </c>
      <c r="Q1352" s="535" t="s">
        <v>1610</v>
      </c>
      <c r="R1352" s="535" t="str">
        <f t="shared" ref="R1352:R1369" si="230">CONCATENATE("H",ROW(J1352))</f>
        <v>H1352</v>
      </c>
      <c r="S1352" s="535" t="s">
        <v>1611</v>
      </c>
      <c r="T1352" s="535">
        <v>6</v>
      </c>
      <c r="U1352" s="564" t="str">
        <f t="shared" ca="1" si="222"/>
        <v/>
      </c>
      <c r="V1352" s="535">
        <v>7</v>
      </c>
      <c r="W1352" s="564" t="str">
        <f t="shared" ca="1" si="223"/>
        <v/>
      </c>
      <c r="X1352" s="535" t="s">
        <v>198</v>
      </c>
      <c r="Y1352" s="565" t="str">
        <f t="shared" ca="1" si="227"/>
        <v/>
      </c>
      <c r="Z1352" s="535" t="s">
        <v>1612</v>
      </c>
      <c r="AA1352" s="565" t="str">
        <f t="shared" ca="1" si="228"/>
        <v/>
      </c>
      <c r="AB1352" s="535" t="s">
        <v>1613</v>
      </c>
      <c r="AC1352" s="565" t="str">
        <f t="shared" ca="1" si="229"/>
        <v/>
      </c>
      <c r="AD1352" s="557"/>
      <c r="AE1352" s="567"/>
    </row>
    <row r="1353" spans="1:31" ht="15" customHeight="1">
      <c r="A1353" s="957">
        <v>105</v>
      </c>
      <c r="B1353" s="566" t="s">
        <v>536</v>
      </c>
      <c r="C1353" s="567" t="s">
        <v>1595</v>
      </c>
      <c r="D1353" s="958">
        <v>1.3</v>
      </c>
      <c r="E1353" s="562" t="s">
        <v>254</v>
      </c>
      <c r="F1353" s="537" t="s">
        <v>1444</v>
      </c>
      <c r="G1353" s="537">
        <v>1363</v>
      </c>
      <c r="H1353" s="537">
        <v>2.1</v>
      </c>
      <c r="I1353" s="568" t="s">
        <v>270</v>
      </c>
      <c r="J1353" s="567" t="s">
        <v>1606</v>
      </c>
      <c r="K1353" s="964" t="s">
        <v>1607</v>
      </c>
      <c r="L1353" s="563" t="str">
        <f t="shared" ca="1" si="224"/>
        <v/>
      </c>
      <c r="M1353" s="535" t="s">
        <v>1608</v>
      </c>
      <c r="N1353" s="563" t="str">
        <f t="shared" ca="1" si="225"/>
        <v/>
      </c>
      <c r="O1353" s="535" t="s">
        <v>1609</v>
      </c>
      <c r="P1353" s="563" t="str">
        <f t="shared" ca="1" si="226"/>
        <v/>
      </c>
      <c r="Q1353" s="535" t="s">
        <v>1610</v>
      </c>
      <c r="R1353" s="535" t="str">
        <f t="shared" si="230"/>
        <v>H1353</v>
      </c>
      <c r="S1353" s="535" t="s">
        <v>1611</v>
      </c>
      <c r="T1353" s="535">
        <v>6</v>
      </c>
      <c r="U1353" s="564" t="str">
        <f t="shared" ca="1" si="222"/>
        <v/>
      </c>
      <c r="V1353" s="535">
        <v>7</v>
      </c>
      <c r="W1353" s="564" t="str">
        <f t="shared" ca="1" si="223"/>
        <v/>
      </c>
      <c r="X1353" s="535" t="s">
        <v>198</v>
      </c>
      <c r="Y1353" s="565" t="str">
        <f t="shared" ca="1" si="227"/>
        <v/>
      </c>
      <c r="Z1353" s="535" t="s">
        <v>1612</v>
      </c>
      <c r="AA1353" s="565" t="str">
        <f t="shared" ca="1" si="228"/>
        <v/>
      </c>
      <c r="AB1353" s="535" t="s">
        <v>1613</v>
      </c>
      <c r="AC1353" s="565" t="str">
        <f t="shared" ca="1" si="229"/>
        <v/>
      </c>
      <c r="AD1353" s="557"/>
      <c r="AE1353" s="567"/>
    </row>
    <row r="1354" spans="1:31" ht="15" customHeight="1">
      <c r="A1354" s="957">
        <v>105</v>
      </c>
      <c r="B1354" s="566" t="s">
        <v>536</v>
      </c>
      <c r="C1354" s="567" t="s">
        <v>1595</v>
      </c>
      <c r="D1354" s="958">
        <v>1.3</v>
      </c>
      <c r="E1354" s="562" t="s">
        <v>254</v>
      </c>
      <c r="F1354" s="537" t="s">
        <v>1444</v>
      </c>
      <c r="G1354" s="537">
        <v>1364</v>
      </c>
      <c r="H1354" s="537">
        <v>2.2000000000000002</v>
      </c>
      <c r="I1354" s="568" t="s">
        <v>542</v>
      </c>
      <c r="J1354" s="567" t="s">
        <v>1606</v>
      </c>
      <c r="K1354" s="964" t="s">
        <v>1607</v>
      </c>
      <c r="L1354" s="563" t="str">
        <f t="shared" ca="1" si="224"/>
        <v/>
      </c>
      <c r="M1354" s="535" t="s">
        <v>1608</v>
      </c>
      <c r="N1354" s="563" t="str">
        <f t="shared" ca="1" si="225"/>
        <v/>
      </c>
      <c r="O1354" s="535" t="s">
        <v>1609</v>
      </c>
      <c r="P1354" s="563" t="str">
        <f t="shared" ca="1" si="226"/>
        <v/>
      </c>
      <c r="Q1354" s="535" t="s">
        <v>1610</v>
      </c>
      <c r="R1354" s="535" t="str">
        <f t="shared" si="230"/>
        <v>H1354</v>
      </c>
      <c r="S1354" s="535" t="s">
        <v>1611</v>
      </c>
      <c r="T1354" s="535">
        <v>6</v>
      </c>
      <c r="U1354" s="564" t="str">
        <f t="shared" ca="1" si="222"/>
        <v/>
      </c>
      <c r="V1354" s="535">
        <v>7</v>
      </c>
      <c r="W1354" s="564" t="str">
        <f t="shared" ca="1" si="223"/>
        <v/>
      </c>
      <c r="X1354" s="535" t="s">
        <v>198</v>
      </c>
      <c r="Y1354" s="565" t="str">
        <f t="shared" ca="1" si="227"/>
        <v/>
      </c>
      <c r="Z1354" s="535" t="s">
        <v>1612</v>
      </c>
      <c r="AA1354" s="565" t="str">
        <f t="shared" ca="1" si="228"/>
        <v/>
      </c>
      <c r="AB1354" s="535" t="s">
        <v>1613</v>
      </c>
      <c r="AC1354" s="565" t="str">
        <f t="shared" ca="1" si="229"/>
        <v/>
      </c>
      <c r="AD1354" s="557"/>
      <c r="AE1354" s="567"/>
    </row>
    <row r="1355" spans="1:31" ht="15" customHeight="1">
      <c r="A1355" s="957">
        <v>105</v>
      </c>
      <c r="B1355" s="566" t="s">
        <v>536</v>
      </c>
      <c r="C1355" s="567" t="s">
        <v>1595</v>
      </c>
      <c r="D1355" s="958">
        <v>1.3</v>
      </c>
      <c r="E1355" s="562" t="s">
        <v>254</v>
      </c>
      <c r="F1355" s="537" t="s">
        <v>1444</v>
      </c>
      <c r="G1355" s="537">
        <v>1367</v>
      </c>
      <c r="H1355" s="537">
        <v>2.2999999999999998</v>
      </c>
      <c r="I1355" s="568" t="s">
        <v>543</v>
      </c>
      <c r="J1355" s="567" t="s">
        <v>1606</v>
      </c>
      <c r="K1355" s="964" t="s">
        <v>1607</v>
      </c>
      <c r="L1355" s="563" t="str">
        <f t="shared" ca="1" si="224"/>
        <v/>
      </c>
      <c r="M1355" s="535" t="s">
        <v>1608</v>
      </c>
      <c r="N1355" s="563" t="str">
        <f t="shared" ca="1" si="225"/>
        <v/>
      </c>
      <c r="O1355" s="535" t="s">
        <v>1609</v>
      </c>
      <c r="P1355" s="563" t="str">
        <f t="shared" ca="1" si="226"/>
        <v/>
      </c>
      <c r="Q1355" s="535" t="s">
        <v>1610</v>
      </c>
      <c r="R1355" s="535" t="str">
        <f t="shared" si="230"/>
        <v>H1355</v>
      </c>
      <c r="S1355" s="535" t="s">
        <v>1611</v>
      </c>
      <c r="T1355" s="535">
        <v>6</v>
      </c>
      <c r="U1355" s="564" t="str">
        <f t="shared" ca="1" si="222"/>
        <v/>
      </c>
      <c r="V1355" s="535">
        <v>7</v>
      </c>
      <c r="W1355" s="564" t="str">
        <f t="shared" ca="1" si="223"/>
        <v/>
      </c>
      <c r="X1355" s="535" t="s">
        <v>198</v>
      </c>
      <c r="Y1355" s="565" t="str">
        <f t="shared" ca="1" si="227"/>
        <v/>
      </c>
      <c r="Z1355" s="535" t="s">
        <v>1612</v>
      </c>
      <c r="AA1355" s="565" t="str">
        <f t="shared" ca="1" si="228"/>
        <v/>
      </c>
      <c r="AB1355" s="535" t="s">
        <v>1613</v>
      </c>
      <c r="AC1355" s="565" t="str">
        <f t="shared" ca="1" si="229"/>
        <v/>
      </c>
      <c r="AD1355" s="557"/>
      <c r="AE1355" s="567"/>
    </row>
    <row r="1356" spans="1:31" ht="15" customHeight="1">
      <c r="A1356" s="957">
        <v>105</v>
      </c>
      <c r="B1356" s="566" t="s">
        <v>536</v>
      </c>
      <c r="C1356" s="567" t="s">
        <v>1595</v>
      </c>
      <c r="D1356" s="958">
        <v>1.3</v>
      </c>
      <c r="E1356" s="562" t="s">
        <v>254</v>
      </c>
      <c r="F1356" s="537" t="s">
        <v>1444</v>
      </c>
      <c r="G1356" s="537">
        <v>1368</v>
      </c>
      <c r="H1356" s="537">
        <v>2.4</v>
      </c>
      <c r="I1356" s="568" t="s">
        <v>281</v>
      </c>
      <c r="J1356" s="567" t="s">
        <v>1606</v>
      </c>
      <c r="K1356" s="964" t="s">
        <v>1607</v>
      </c>
      <c r="L1356" s="563" t="str">
        <f t="shared" ca="1" si="224"/>
        <v/>
      </c>
      <c r="M1356" s="535" t="s">
        <v>1608</v>
      </c>
      <c r="N1356" s="563" t="str">
        <f t="shared" ca="1" si="225"/>
        <v/>
      </c>
      <c r="O1356" s="535" t="s">
        <v>1609</v>
      </c>
      <c r="P1356" s="563" t="str">
        <f t="shared" ca="1" si="226"/>
        <v/>
      </c>
      <c r="Q1356" s="535" t="s">
        <v>1610</v>
      </c>
      <c r="R1356" s="535" t="str">
        <f t="shared" si="230"/>
        <v>H1356</v>
      </c>
      <c r="S1356" s="535" t="s">
        <v>1611</v>
      </c>
      <c r="T1356" s="535">
        <v>6</v>
      </c>
      <c r="U1356" s="564" t="str">
        <f t="shared" ca="1" si="222"/>
        <v/>
      </c>
      <c r="V1356" s="535">
        <v>7</v>
      </c>
      <c r="W1356" s="564" t="str">
        <f t="shared" ca="1" si="223"/>
        <v/>
      </c>
      <c r="X1356" s="535" t="s">
        <v>198</v>
      </c>
      <c r="Y1356" s="565" t="str">
        <f t="shared" ca="1" si="227"/>
        <v/>
      </c>
      <c r="Z1356" s="535" t="s">
        <v>1612</v>
      </c>
      <c r="AA1356" s="565" t="str">
        <f t="shared" ca="1" si="228"/>
        <v/>
      </c>
      <c r="AB1356" s="535" t="s">
        <v>1613</v>
      </c>
      <c r="AC1356" s="565" t="str">
        <f t="shared" ca="1" si="229"/>
        <v/>
      </c>
      <c r="AD1356" s="557"/>
      <c r="AE1356" s="567"/>
    </row>
    <row r="1357" spans="1:31" ht="15" customHeight="1">
      <c r="A1357" s="957">
        <v>105</v>
      </c>
      <c r="B1357" s="566" t="s">
        <v>536</v>
      </c>
      <c r="C1357" s="567" t="s">
        <v>1595</v>
      </c>
      <c r="D1357" s="958">
        <v>1.3</v>
      </c>
      <c r="E1357" s="562" t="s">
        <v>254</v>
      </c>
      <c r="F1357" s="537" t="s">
        <v>1444</v>
      </c>
      <c r="G1357" s="537">
        <v>1370</v>
      </c>
      <c r="H1357" s="537">
        <v>3.1</v>
      </c>
      <c r="I1357" s="568" t="s">
        <v>544</v>
      </c>
      <c r="J1357" s="567" t="s">
        <v>1606</v>
      </c>
      <c r="K1357" s="964" t="s">
        <v>1607</v>
      </c>
      <c r="L1357" s="563" t="str">
        <f t="shared" ca="1" si="224"/>
        <v/>
      </c>
      <c r="M1357" s="535" t="s">
        <v>1608</v>
      </c>
      <c r="N1357" s="563" t="str">
        <f t="shared" ca="1" si="225"/>
        <v/>
      </c>
      <c r="O1357" s="535" t="s">
        <v>1609</v>
      </c>
      <c r="P1357" s="563" t="str">
        <f t="shared" ca="1" si="226"/>
        <v/>
      </c>
      <c r="Q1357" s="535" t="s">
        <v>1610</v>
      </c>
      <c r="R1357" s="535" t="str">
        <f t="shared" si="230"/>
        <v>H1357</v>
      </c>
      <c r="S1357" s="535" t="s">
        <v>1611</v>
      </c>
      <c r="T1357" s="535">
        <v>6</v>
      </c>
      <c r="U1357" s="564" t="str">
        <f t="shared" ca="1" si="222"/>
        <v/>
      </c>
      <c r="V1357" s="535">
        <v>7</v>
      </c>
      <c r="W1357" s="564" t="str">
        <f t="shared" ca="1" si="223"/>
        <v/>
      </c>
      <c r="X1357" s="535" t="s">
        <v>198</v>
      </c>
      <c r="Y1357" s="565" t="str">
        <f t="shared" ca="1" si="227"/>
        <v/>
      </c>
      <c r="Z1357" s="535" t="s">
        <v>1612</v>
      </c>
      <c r="AA1357" s="565" t="str">
        <f t="shared" ca="1" si="228"/>
        <v/>
      </c>
      <c r="AB1357" s="535" t="s">
        <v>1613</v>
      </c>
      <c r="AC1357" s="565" t="str">
        <f t="shared" ca="1" si="229"/>
        <v/>
      </c>
      <c r="AD1357" s="557"/>
      <c r="AE1357" s="567"/>
    </row>
    <row r="1358" spans="1:31" ht="15" customHeight="1">
      <c r="A1358" s="957">
        <v>105</v>
      </c>
      <c r="B1358" s="566" t="s">
        <v>536</v>
      </c>
      <c r="C1358" s="567" t="s">
        <v>1595</v>
      </c>
      <c r="D1358" s="958">
        <v>1.3</v>
      </c>
      <c r="E1358" s="562" t="s">
        <v>254</v>
      </c>
      <c r="F1358" s="537" t="s">
        <v>1444</v>
      </c>
      <c r="G1358" s="537">
        <v>1376</v>
      </c>
      <c r="H1358" s="537">
        <v>4.0999999999999996</v>
      </c>
      <c r="I1358" s="568" t="s">
        <v>546</v>
      </c>
      <c r="J1358" s="567" t="s">
        <v>1606</v>
      </c>
      <c r="K1358" s="964" t="s">
        <v>1607</v>
      </c>
      <c r="L1358" s="563" t="str">
        <f t="shared" ca="1" si="224"/>
        <v/>
      </c>
      <c r="M1358" s="535" t="s">
        <v>1608</v>
      </c>
      <c r="N1358" s="563" t="str">
        <f t="shared" ca="1" si="225"/>
        <v/>
      </c>
      <c r="O1358" s="535" t="s">
        <v>1609</v>
      </c>
      <c r="P1358" s="563" t="str">
        <f t="shared" ca="1" si="226"/>
        <v/>
      </c>
      <c r="Q1358" s="535" t="s">
        <v>1610</v>
      </c>
      <c r="R1358" s="535" t="str">
        <f t="shared" si="230"/>
        <v>H1358</v>
      </c>
      <c r="S1358" s="535" t="s">
        <v>1611</v>
      </c>
      <c r="T1358" s="535">
        <v>6</v>
      </c>
      <c r="U1358" s="564" t="str">
        <f t="shared" ca="1" si="222"/>
        <v/>
      </c>
      <c r="V1358" s="535">
        <v>7</v>
      </c>
      <c r="W1358" s="564" t="str">
        <f t="shared" ca="1" si="223"/>
        <v/>
      </c>
      <c r="X1358" s="535" t="s">
        <v>198</v>
      </c>
      <c r="Y1358" s="565" t="str">
        <f t="shared" ca="1" si="227"/>
        <v/>
      </c>
      <c r="Z1358" s="535" t="s">
        <v>1612</v>
      </c>
      <c r="AA1358" s="565" t="str">
        <f t="shared" ca="1" si="228"/>
        <v/>
      </c>
      <c r="AB1358" s="535" t="s">
        <v>1613</v>
      </c>
      <c r="AC1358" s="565" t="str">
        <f t="shared" ca="1" si="229"/>
        <v/>
      </c>
      <c r="AD1358" s="557"/>
      <c r="AE1358" s="567"/>
    </row>
    <row r="1359" spans="1:31" ht="15" customHeight="1">
      <c r="A1359" s="957">
        <v>105</v>
      </c>
      <c r="B1359" s="566" t="s">
        <v>536</v>
      </c>
      <c r="C1359" s="567" t="s">
        <v>1595</v>
      </c>
      <c r="D1359" s="958">
        <v>1.3</v>
      </c>
      <c r="E1359" s="562" t="s">
        <v>254</v>
      </c>
      <c r="F1359" s="537" t="s">
        <v>1444</v>
      </c>
      <c r="G1359" s="537">
        <v>1382</v>
      </c>
      <c r="H1359" s="537">
        <v>4.2</v>
      </c>
      <c r="I1359" s="568" t="s">
        <v>291</v>
      </c>
      <c r="J1359" s="567" t="s">
        <v>1606</v>
      </c>
      <c r="K1359" s="964" t="s">
        <v>1607</v>
      </c>
      <c r="L1359" s="563" t="str">
        <f t="shared" ca="1" si="224"/>
        <v/>
      </c>
      <c r="M1359" s="535" t="s">
        <v>1608</v>
      </c>
      <c r="N1359" s="563" t="str">
        <f t="shared" ca="1" si="225"/>
        <v/>
      </c>
      <c r="O1359" s="535" t="s">
        <v>1609</v>
      </c>
      <c r="P1359" s="563" t="str">
        <f t="shared" ca="1" si="226"/>
        <v/>
      </c>
      <c r="Q1359" s="535" t="s">
        <v>1610</v>
      </c>
      <c r="R1359" s="535" t="str">
        <f t="shared" si="230"/>
        <v>H1359</v>
      </c>
      <c r="S1359" s="535" t="s">
        <v>1611</v>
      </c>
      <c r="T1359" s="535">
        <v>6</v>
      </c>
      <c r="U1359" s="564" t="str">
        <f t="shared" ca="1" si="222"/>
        <v/>
      </c>
      <c r="V1359" s="535">
        <v>7</v>
      </c>
      <c r="W1359" s="564" t="str">
        <f t="shared" ca="1" si="223"/>
        <v/>
      </c>
      <c r="X1359" s="535" t="s">
        <v>198</v>
      </c>
      <c r="Y1359" s="565" t="str">
        <f t="shared" ca="1" si="227"/>
        <v/>
      </c>
      <c r="Z1359" s="535" t="s">
        <v>1612</v>
      </c>
      <c r="AA1359" s="565" t="str">
        <f t="shared" ca="1" si="228"/>
        <v/>
      </c>
      <c r="AB1359" s="535" t="s">
        <v>1613</v>
      </c>
      <c r="AC1359" s="565" t="str">
        <f t="shared" ca="1" si="229"/>
        <v/>
      </c>
      <c r="AD1359" s="557"/>
      <c r="AE1359" s="567"/>
    </row>
    <row r="1360" spans="1:31" ht="15" customHeight="1">
      <c r="A1360" s="957">
        <v>105</v>
      </c>
      <c r="B1360" s="566" t="s">
        <v>536</v>
      </c>
      <c r="C1360" s="567" t="s">
        <v>1595</v>
      </c>
      <c r="D1360" s="958">
        <v>1.3</v>
      </c>
      <c r="E1360" s="562" t="s">
        <v>254</v>
      </c>
      <c r="F1360" s="537" t="s">
        <v>1444</v>
      </c>
      <c r="G1360" s="537">
        <v>1385</v>
      </c>
      <c r="H1360" s="537">
        <v>4.3</v>
      </c>
      <c r="I1360" s="568" t="s">
        <v>547</v>
      </c>
      <c r="J1360" s="567" t="s">
        <v>1606</v>
      </c>
      <c r="K1360" s="964" t="s">
        <v>1607</v>
      </c>
      <c r="L1360" s="563" t="str">
        <f t="shared" ca="1" si="224"/>
        <v/>
      </c>
      <c r="M1360" s="535" t="s">
        <v>1608</v>
      </c>
      <c r="N1360" s="563" t="str">
        <f t="shared" ca="1" si="225"/>
        <v/>
      </c>
      <c r="O1360" s="535" t="s">
        <v>1609</v>
      </c>
      <c r="P1360" s="563" t="str">
        <f t="shared" ca="1" si="226"/>
        <v/>
      </c>
      <c r="Q1360" s="535" t="s">
        <v>1610</v>
      </c>
      <c r="R1360" s="535" t="str">
        <f t="shared" si="230"/>
        <v>H1360</v>
      </c>
      <c r="S1360" s="535" t="s">
        <v>1611</v>
      </c>
      <c r="T1360" s="535">
        <v>6</v>
      </c>
      <c r="U1360" s="564" t="str">
        <f t="shared" ca="1" si="222"/>
        <v/>
      </c>
      <c r="V1360" s="535">
        <v>7</v>
      </c>
      <c r="W1360" s="564" t="str">
        <f t="shared" ca="1" si="223"/>
        <v/>
      </c>
      <c r="X1360" s="535" t="s">
        <v>198</v>
      </c>
      <c r="Y1360" s="565" t="str">
        <f t="shared" ca="1" si="227"/>
        <v/>
      </c>
      <c r="Z1360" s="535" t="s">
        <v>1612</v>
      </c>
      <c r="AA1360" s="565" t="str">
        <f t="shared" ca="1" si="228"/>
        <v/>
      </c>
      <c r="AB1360" s="535" t="s">
        <v>1613</v>
      </c>
      <c r="AC1360" s="565" t="str">
        <f t="shared" ca="1" si="229"/>
        <v/>
      </c>
      <c r="AD1360" s="557"/>
      <c r="AE1360" s="567"/>
    </row>
    <row r="1361" spans="1:31" ht="15" customHeight="1">
      <c r="A1361" s="957">
        <v>105</v>
      </c>
      <c r="B1361" s="566" t="s">
        <v>536</v>
      </c>
      <c r="C1361" s="567" t="s">
        <v>1595</v>
      </c>
      <c r="D1361" s="958">
        <v>1.3</v>
      </c>
      <c r="E1361" s="562" t="s">
        <v>254</v>
      </c>
      <c r="F1361" s="537" t="s">
        <v>1444</v>
      </c>
      <c r="G1361" s="537">
        <v>1389</v>
      </c>
      <c r="H1361" s="537">
        <v>5</v>
      </c>
      <c r="I1361" s="568" t="s">
        <v>294</v>
      </c>
      <c r="J1361" s="567" t="s">
        <v>1606</v>
      </c>
      <c r="K1361" s="964" t="s">
        <v>1607</v>
      </c>
      <c r="L1361" s="563" t="str">
        <f t="shared" ca="1" si="224"/>
        <v/>
      </c>
      <c r="M1361" s="535" t="s">
        <v>1608</v>
      </c>
      <c r="N1361" s="563" t="str">
        <f t="shared" ca="1" si="225"/>
        <v/>
      </c>
      <c r="O1361" s="535" t="s">
        <v>1609</v>
      </c>
      <c r="P1361" s="563" t="str">
        <f t="shared" ca="1" si="226"/>
        <v/>
      </c>
      <c r="Q1361" s="535" t="s">
        <v>1610</v>
      </c>
      <c r="R1361" s="535" t="str">
        <f t="shared" si="230"/>
        <v>H1361</v>
      </c>
      <c r="S1361" s="535" t="s">
        <v>1611</v>
      </c>
      <c r="T1361" s="535">
        <v>6</v>
      </c>
      <c r="U1361" s="564" t="str">
        <f t="shared" ca="1" si="222"/>
        <v/>
      </c>
      <c r="V1361" s="535">
        <v>7</v>
      </c>
      <c r="W1361" s="564" t="str">
        <f t="shared" ca="1" si="223"/>
        <v/>
      </c>
      <c r="X1361" s="535" t="s">
        <v>198</v>
      </c>
      <c r="Y1361" s="565" t="str">
        <f t="shared" ca="1" si="227"/>
        <v/>
      </c>
      <c r="Z1361" s="535" t="s">
        <v>1612</v>
      </c>
      <c r="AA1361" s="565" t="str">
        <f t="shared" ca="1" si="228"/>
        <v/>
      </c>
      <c r="AB1361" s="535" t="s">
        <v>1613</v>
      </c>
      <c r="AC1361" s="565" t="str">
        <f t="shared" ca="1" si="229"/>
        <v/>
      </c>
      <c r="AD1361" s="557"/>
      <c r="AE1361" s="567"/>
    </row>
    <row r="1362" spans="1:31" ht="15" customHeight="1">
      <c r="A1362" s="957">
        <v>105</v>
      </c>
      <c r="B1362" s="566" t="s">
        <v>536</v>
      </c>
      <c r="C1362" s="567" t="s">
        <v>1595</v>
      </c>
      <c r="D1362" s="958">
        <v>1.3</v>
      </c>
      <c r="E1362" s="562" t="s">
        <v>254</v>
      </c>
      <c r="F1362" s="537" t="s">
        <v>1444</v>
      </c>
      <c r="G1362" s="537">
        <v>1394</v>
      </c>
      <c r="H1362" s="537">
        <v>5.0999999999999996</v>
      </c>
      <c r="I1362" s="568" t="s">
        <v>549</v>
      </c>
      <c r="J1362" s="567" t="s">
        <v>1606</v>
      </c>
      <c r="K1362" s="964" t="s">
        <v>1607</v>
      </c>
      <c r="L1362" s="563" t="str">
        <f t="shared" ca="1" si="224"/>
        <v/>
      </c>
      <c r="M1362" s="535" t="s">
        <v>1608</v>
      </c>
      <c r="N1362" s="563" t="str">
        <f t="shared" ca="1" si="225"/>
        <v/>
      </c>
      <c r="O1362" s="535" t="s">
        <v>1609</v>
      </c>
      <c r="P1362" s="563" t="str">
        <f t="shared" ca="1" si="226"/>
        <v/>
      </c>
      <c r="Q1362" s="535" t="s">
        <v>1610</v>
      </c>
      <c r="R1362" s="535" t="str">
        <f t="shared" si="230"/>
        <v>H1362</v>
      </c>
      <c r="S1362" s="535" t="s">
        <v>1611</v>
      </c>
      <c r="T1362" s="535">
        <v>6</v>
      </c>
      <c r="U1362" s="564" t="str">
        <f t="shared" ca="1" si="222"/>
        <v/>
      </c>
      <c r="V1362" s="535">
        <v>7</v>
      </c>
      <c r="W1362" s="564" t="str">
        <f t="shared" ca="1" si="223"/>
        <v/>
      </c>
      <c r="X1362" s="535" t="s">
        <v>198</v>
      </c>
      <c r="Y1362" s="565" t="str">
        <f t="shared" ca="1" si="227"/>
        <v/>
      </c>
      <c r="Z1362" s="535" t="s">
        <v>1612</v>
      </c>
      <c r="AA1362" s="565" t="str">
        <f t="shared" ca="1" si="228"/>
        <v/>
      </c>
      <c r="AB1362" s="535" t="s">
        <v>1613</v>
      </c>
      <c r="AC1362" s="565" t="str">
        <f t="shared" ca="1" si="229"/>
        <v/>
      </c>
      <c r="AD1362" s="557"/>
      <c r="AE1362" s="567"/>
    </row>
    <row r="1363" spans="1:31" ht="15" customHeight="1">
      <c r="A1363" s="957">
        <v>105</v>
      </c>
      <c r="B1363" s="566" t="s">
        <v>536</v>
      </c>
      <c r="C1363" s="567" t="s">
        <v>1595</v>
      </c>
      <c r="D1363" s="958">
        <v>1.3</v>
      </c>
      <c r="E1363" s="562" t="s">
        <v>254</v>
      </c>
      <c r="F1363" s="537" t="s">
        <v>1444</v>
      </c>
      <c r="G1363" s="537">
        <v>1398</v>
      </c>
      <c r="H1363" s="537">
        <v>6</v>
      </c>
      <c r="I1363" s="568" t="s">
        <v>298</v>
      </c>
      <c r="J1363" s="567" t="s">
        <v>1606</v>
      </c>
      <c r="K1363" s="964" t="s">
        <v>1607</v>
      </c>
      <c r="L1363" s="563" t="str">
        <f t="shared" ca="1" si="224"/>
        <v/>
      </c>
      <c r="M1363" s="535" t="s">
        <v>1608</v>
      </c>
      <c r="N1363" s="563" t="str">
        <f t="shared" ca="1" si="225"/>
        <v/>
      </c>
      <c r="O1363" s="535" t="s">
        <v>1609</v>
      </c>
      <c r="P1363" s="563" t="str">
        <f t="shared" ca="1" si="226"/>
        <v/>
      </c>
      <c r="Q1363" s="535" t="s">
        <v>1610</v>
      </c>
      <c r="R1363" s="535" t="str">
        <f t="shared" si="230"/>
        <v>H1363</v>
      </c>
      <c r="S1363" s="535" t="s">
        <v>1611</v>
      </c>
      <c r="T1363" s="535">
        <v>6</v>
      </c>
      <c r="U1363" s="564" t="str">
        <f t="shared" ca="1" si="222"/>
        <v/>
      </c>
      <c r="V1363" s="535">
        <v>7</v>
      </c>
      <c r="W1363" s="564" t="str">
        <f t="shared" ca="1" si="223"/>
        <v/>
      </c>
      <c r="X1363" s="535" t="s">
        <v>198</v>
      </c>
      <c r="Y1363" s="565" t="str">
        <f t="shared" ca="1" si="227"/>
        <v/>
      </c>
      <c r="Z1363" s="535" t="s">
        <v>1612</v>
      </c>
      <c r="AA1363" s="565" t="str">
        <f t="shared" ca="1" si="228"/>
        <v/>
      </c>
      <c r="AB1363" s="535" t="s">
        <v>1613</v>
      </c>
      <c r="AC1363" s="565" t="str">
        <f t="shared" ca="1" si="229"/>
        <v/>
      </c>
      <c r="AD1363" s="557"/>
      <c r="AE1363" s="567"/>
    </row>
    <row r="1364" spans="1:31" ht="15" customHeight="1">
      <c r="A1364" s="957">
        <v>105</v>
      </c>
      <c r="B1364" s="566" t="s">
        <v>536</v>
      </c>
      <c r="C1364" s="567" t="s">
        <v>1595</v>
      </c>
      <c r="D1364" s="958">
        <v>1.3</v>
      </c>
      <c r="E1364" s="562" t="s">
        <v>254</v>
      </c>
      <c r="F1364" s="537" t="s">
        <v>1444</v>
      </c>
      <c r="G1364" s="537">
        <v>1399</v>
      </c>
      <c r="H1364" s="537">
        <v>6.1</v>
      </c>
      <c r="I1364" s="568" t="s">
        <v>682</v>
      </c>
      <c r="J1364" s="567" t="s">
        <v>1606</v>
      </c>
      <c r="K1364" s="964" t="s">
        <v>1607</v>
      </c>
      <c r="L1364" s="563" t="str">
        <f t="shared" ca="1" si="224"/>
        <v/>
      </c>
      <c r="M1364" s="535" t="s">
        <v>1608</v>
      </c>
      <c r="N1364" s="563" t="str">
        <f t="shared" ca="1" si="225"/>
        <v/>
      </c>
      <c r="O1364" s="535" t="s">
        <v>1609</v>
      </c>
      <c r="P1364" s="563" t="str">
        <f t="shared" ca="1" si="226"/>
        <v/>
      </c>
      <c r="Q1364" s="535" t="s">
        <v>1610</v>
      </c>
      <c r="R1364" s="535" t="str">
        <f t="shared" si="230"/>
        <v>H1364</v>
      </c>
      <c r="S1364" s="535" t="s">
        <v>1611</v>
      </c>
      <c r="T1364" s="535">
        <v>6</v>
      </c>
      <c r="U1364" s="564" t="str">
        <f t="shared" ca="1" si="222"/>
        <v/>
      </c>
      <c r="V1364" s="535">
        <v>7</v>
      </c>
      <c r="W1364" s="564" t="str">
        <f t="shared" ca="1" si="223"/>
        <v/>
      </c>
      <c r="X1364" s="535" t="s">
        <v>198</v>
      </c>
      <c r="Y1364" s="565" t="str">
        <f t="shared" ca="1" si="227"/>
        <v/>
      </c>
      <c r="Z1364" s="535" t="s">
        <v>1612</v>
      </c>
      <c r="AA1364" s="565" t="str">
        <f t="shared" ca="1" si="228"/>
        <v/>
      </c>
      <c r="AB1364" s="535" t="s">
        <v>1613</v>
      </c>
      <c r="AC1364" s="565" t="str">
        <f t="shared" ca="1" si="229"/>
        <v/>
      </c>
      <c r="AD1364" s="557"/>
      <c r="AE1364" s="567"/>
    </row>
    <row r="1365" spans="1:31" ht="15" customHeight="1">
      <c r="A1365" s="957">
        <v>105</v>
      </c>
      <c r="B1365" s="566" t="s">
        <v>536</v>
      </c>
      <c r="C1365" s="567" t="s">
        <v>1595</v>
      </c>
      <c r="D1365" s="958">
        <v>1.3</v>
      </c>
      <c r="E1365" s="562" t="s">
        <v>254</v>
      </c>
      <c r="F1365" s="537" t="s">
        <v>1444</v>
      </c>
      <c r="G1365" s="537">
        <v>1402</v>
      </c>
      <c r="H1365" s="537">
        <v>6.2</v>
      </c>
      <c r="I1365" s="568" t="s">
        <v>46</v>
      </c>
      <c r="J1365" s="567" t="s">
        <v>1606</v>
      </c>
      <c r="K1365" s="964" t="s">
        <v>1607</v>
      </c>
      <c r="L1365" s="563" t="str">
        <f t="shared" ca="1" si="224"/>
        <v/>
      </c>
      <c r="M1365" s="535" t="s">
        <v>1608</v>
      </c>
      <c r="N1365" s="563" t="str">
        <f t="shared" ca="1" si="225"/>
        <v/>
      </c>
      <c r="O1365" s="535" t="s">
        <v>1609</v>
      </c>
      <c r="P1365" s="563" t="str">
        <f t="shared" ca="1" si="226"/>
        <v/>
      </c>
      <c r="Q1365" s="535" t="s">
        <v>1610</v>
      </c>
      <c r="R1365" s="535" t="str">
        <f t="shared" si="230"/>
        <v>H1365</v>
      </c>
      <c r="S1365" s="535" t="s">
        <v>1611</v>
      </c>
      <c r="T1365" s="535">
        <v>6</v>
      </c>
      <c r="U1365" s="564" t="str">
        <f t="shared" ca="1" si="222"/>
        <v/>
      </c>
      <c r="V1365" s="535">
        <v>7</v>
      </c>
      <c r="W1365" s="564" t="str">
        <f t="shared" ca="1" si="223"/>
        <v/>
      </c>
      <c r="X1365" s="535" t="s">
        <v>198</v>
      </c>
      <c r="Y1365" s="565" t="str">
        <f t="shared" ca="1" si="227"/>
        <v/>
      </c>
      <c r="Z1365" s="535" t="s">
        <v>1612</v>
      </c>
      <c r="AA1365" s="565" t="str">
        <f t="shared" ca="1" si="228"/>
        <v/>
      </c>
      <c r="AB1365" s="535" t="s">
        <v>1613</v>
      </c>
      <c r="AC1365" s="565" t="str">
        <f t="shared" ca="1" si="229"/>
        <v/>
      </c>
      <c r="AD1365" s="557"/>
      <c r="AE1365" s="567"/>
    </row>
    <row r="1366" spans="1:31" ht="15" customHeight="1">
      <c r="A1366" s="957">
        <v>105</v>
      </c>
      <c r="B1366" s="566" t="s">
        <v>536</v>
      </c>
      <c r="C1366" s="567" t="s">
        <v>1595</v>
      </c>
      <c r="D1366" s="958">
        <v>1.3</v>
      </c>
      <c r="E1366" s="562" t="s">
        <v>254</v>
      </c>
      <c r="F1366" s="537" t="s">
        <v>1444</v>
      </c>
      <c r="G1366" s="537">
        <v>1406</v>
      </c>
      <c r="H1366" s="537" t="s">
        <v>553</v>
      </c>
      <c r="I1366" s="568" t="s">
        <v>614</v>
      </c>
      <c r="J1366" s="567" t="s">
        <v>1606</v>
      </c>
      <c r="K1366" s="964" t="s">
        <v>1607</v>
      </c>
      <c r="L1366" s="563" t="str">
        <f t="shared" ca="1" si="224"/>
        <v/>
      </c>
      <c r="M1366" s="535" t="s">
        <v>1608</v>
      </c>
      <c r="N1366" s="563" t="str">
        <f t="shared" ca="1" si="225"/>
        <v/>
      </c>
      <c r="O1366" s="535" t="s">
        <v>1609</v>
      </c>
      <c r="P1366" s="563" t="str">
        <f t="shared" ca="1" si="226"/>
        <v/>
      </c>
      <c r="Q1366" s="535" t="s">
        <v>1610</v>
      </c>
      <c r="R1366" s="535" t="str">
        <f>CONCATENATE("H",ROW(J1366))</f>
        <v>H1366</v>
      </c>
      <c r="S1366" s="535" t="s">
        <v>1611</v>
      </c>
      <c r="T1366" s="535">
        <v>6</v>
      </c>
      <c r="U1366" s="564" t="str">
        <f t="shared" ca="1" si="222"/>
        <v/>
      </c>
      <c r="V1366" s="535">
        <v>7</v>
      </c>
      <c r="W1366" s="564" t="str">
        <f t="shared" ca="1" si="223"/>
        <v/>
      </c>
      <c r="X1366" s="535" t="s">
        <v>198</v>
      </c>
      <c r="Y1366" s="565" t="str">
        <f t="shared" ca="1" si="227"/>
        <v/>
      </c>
      <c r="Z1366" s="535" t="s">
        <v>1612</v>
      </c>
      <c r="AA1366" s="565" t="str">
        <f t="shared" ca="1" si="228"/>
        <v/>
      </c>
      <c r="AB1366" s="535" t="s">
        <v>1613</v>
      </c>
      <c r="AC1366" s="565" t="str">
        <f t="shared" ca="1" si="229"/>
        <v/>
      </c>
      <c r="AD1366" s="557"/>
      <c r="AE1366" s="567"/>
    </row>
    <row r="1367" spans="1:31" ht="15" customHeight="1">
      <c r="A1367" s="957">
        <v>105</v>
      </c>
      <c r="B1367" s="566" t="s">
        <v>536</v>
      </c>
      <c r="C1367" s="567" t="s">
        <v>1595</v>
      </c>
      <c r="D1367" s="958">
        <v>1.3</v>
      </c>
      <c r="E1367" s="562" t="s">
        <v>254</v>
      </c>
      <c r="F1367" s="537" t="s">
        <v>1444</v>
      </c>
      <c r="G1367" s="537">
        <v>1407</v>
      </c>
      <c r="H1367" s="537" t="s">
        <v>555</v>
      </c>
      <c r="I1367" s="568" t="s">
        <v>1623</v>
      </c>
      <c r="J1367" s="567" t="s">
        <v>1606</v>
      </c>
      <c r="K1367" s="964" t="s">
        <v>1607</v>
      </c>
      <c r="L1367" s="563" t="str">
        <f t="shared" ca="1" si="224"/>
        <v/>
      </c>
      <c r="M1367" s="535" t="s">
        <v>1608</v>
      </c>
      <c r="N1367" s="563" t="str">
        <f t="shared" ca="1" si="225"/>
        <v/>
      </c>
      <c r="O1367" s="535" t="s">
        <v>1609</v>
      </c>
      <c r="P1367" s="563" t="str">
        <f t="shared" ca="1" si="226"/>
        <v/>
      </c>
      <c r="Q1367" s="535" t="s">
        <v>1610</v>
      </c>
      <c r="R1367" s="535" t="str">
        <f>CONCATENATE("H",ROW(J1367))</f>
        <v>H1367</v>
      </c>
      <c r="S1367" s="535" t="s">
        <v>1611</v>
      </c>
      <c r="T1367" s="535">
        <v>6</v>
      </c>
      <c r="U1367" s="564" t="str">
        <f t="shared" ca="1" si="222"/>
        <v/>
      </c>
      <c r="V1367" s="535">
        <v>7</v>
      </c>
      <c r="W1367" s="564" t="str">
        <f t="shared" ca="1" si="223"/>
        <v/>
      </c>
      <c r="X1367" s="535" t="s">
        <v>198</v>
      </c>
      <c r="Y1367" s="565" t="str">
        <f t="shared" ca="1" si="227"/>
        <v/>
      </c>
      <c r="Z1367" s="535" t="s">
        <v>1612</v>
      </c>
      <c r="AA1367" s="565" t="str">
        <f t="shared" ca="1" si="228"/>
        <v/>
      </c>
      <c r="AB1367" s="535" t="s">
        <v>1613</v>
      </c>
      <c r="AC1367" s="565" t="str">
        <f t="shared" ca="1" si="229"/>
        <v/>
      </c>
      <c r="AD1367" s="557"/>
      <c r="AE1367" s="567"/>
    </row>
    <row r="1368" spans="1:31" ht="15" customHeight="1">
      <c r="A1368" s="957">
        <v>105</v>
      </c>
      <c r="B1368" s="566" t="s">
        <v>536</v>
      </c>
      <c r="C1368" s="567" t="s">
        <v>1595</v>
      </c>
      <c r="D1368" s="958">
        <v>1.3</v>
      </c>
      <c r="E1368" s="562" t="s">
        <v>306</v>
      </c>
      <c r="F1368" s="537" t="s">
        <v>1454</v>
      </c>
      <c r="G1368" s="537">
        <v>1412</v>
      </c>
      <c r="H1368" s="537">
        <v>8.1</v>
      </c>
      <c r="I1368" s="568" t="s">
        <v>309</v>
      </c>
      <c r="J1368" s="567" t="s">
        <v>1606</v>
      </c>
      <c r="K1368" s="964" t="s">
        <v>1607</v>
      </c>
      <c r="L1368" s="563" t="str">
        <f t="shared" ca="1" si="224"/>
        <v/>
      </c>
      <c r="M1368" s="535" t="s">
        <v>1608</v>
      </c>
      <c r="N1368" s="563" t="str">
        <f t="shared" ca="1" si="225"/>
        <v/>
      </c>
      <c r="O1368" s="535" t="s">
        <v>1609</v>
      </c>
      <c r="P1368" s="563" t="str">
        <f t="shared" ca="1" si="226"/>
        <v/>
      </c>
      <c r="Q1368" s="535" t="s">
        <v>1610</v>
      </c>
      <c r="R1368" s="535" t="str">
        <f t="shared" si="230"/>
        <v>H1368</v>
      </c>
      <c r="S1368" s="535" t="s">
        <v>1611</v>
      </c>
      <c r="T1368" s="535">
        <v>6</v>
      </c>
      <c r="U1368" s="564" t="str">
        <f t="shared" ca="1" si="222"/>
        <v/>
      </c>
      <c r="V1368" s="535">
        <v>7</v>
      </c>
      <c r="W1368" s="564" t="str">
        <f t="shared" ca="1" si="223"/>
        <v/>
      </c>
      <c r="X1368" s="535" t="s">
        <v>198</v>
      </c>
      <c r="Y1368" s="565" t="str">
        <f t="shared" ca="1" si="227"/>
        <v/>
      </c>
      <c r="Z1368" s="535" t="s">
        <v>1612</v>
      </c>
      <c r="AA1368" s="565" t="str">
        <f t="shared" ca="1" si="228"/>
        <v/>
      </c>
      <c r="AB1368" s="535" t="s">
        <v>1613</v>
      </c>
      <c r="AC1368" s="565" t="str">
        <f t="shared" ca="1" si="229"/>
        <v/>
      </c>
      <c r="AD1368" s="557"/>
      <c r="AE1368" s="567"/>
    </row>
    <row r="1369" spans="1:31" ht="15" customHeight="1">
      <c r="A1369" s="957">
        <v>105</v>
      </c>
      <c r="B1369" s="566" t="s">
        <v>536</v>
      </c>
      <c r="C1369" s="567" t="s">
        <v>1595</v>
      </c>
      <c r="D1369" s="958">
        <v>1.3</v>
      </c>
      <c r="E1369" s="562" t="s">
        <v>306</v>
      </c>
      <c r="F1369" s="537" t="s">
        <v>1454</v>
      </c>
      <c r="G1369" s="537">
        <v>1416</v>
      </c>
      <c r="H1369" s="537">
        <v>8.1999999999999993</v>
      </c>
      <c r="I1369" s="568" t="s">
        <v>310</v>
      </c>
      <c r="J1369" s="567" t="s">
        <v>1606</v>
      </c>
      <c r="K1369" s="964" t="s">
        <v>1607</v>
      </c>
      <c r="L1369" s="563" t="str">
        <f t="shared" ca="1" si="224"/>
        <v/>
      </c>
      <c r="M1369" s="535" t="s">
        <v>1608</v>
      </c>
      <c r="N1369" s="563" t="str">
        <f t="shared" ca="1" si="225"/>
        <v/>
      </c>
      <c r="O1369" s="535" t="s">
        <v>1609</v>
      </c>
      <c r="P1369" s="563" t="str">
        <f t="shared" ca="1" si="226"/>
        <v/>
      </c>
      <c r="Q1369" s="535" t="s">
        <v>1610</v>
      </c>
      <c r="R1369" s="535" t="str">
        <f t="shared" si="230"/>
        <v>H1369</v>
      </c>
      <c r="S1369" s="535" t="s">
        <v>1611</v>
      </c>
      <c r="T1369" s="535">
        <v>6</v>
      </c>
      <c r="U1369" s="564" t="str">
        <f t="shared" ca="1" si="222"/>
        <v/>
      </c>
      <c r="V1369" s="535">
        <v>7</v>
      </c>
      <c r="W1369" s="564" t="str">
        <f t="shared" ca="1" si="223"/>
        <v/>
      </c>
      <c r="X1369" s="535" t="s">
        <v>198</v>
      </c>
      <c r="Y1369" s="565" t="str">
        <f t="shared" ca="1" si="227"/>
        <v/>
      </c>
      <c r="Z1369" s="535" t="s">
        <v>1612</v>
      </c>
      <c r="AA1369" s="565" t="str">
        <f t="shared" ca="1" si="228"/>
        <v/>
      </c>
      <c r="AB1369" s="535" t="s">
        <v>1613</v>
      </c>
      <c r="AC1369" s="565" t="str">
        <f t="shared" ca="1" si="229"/>
        <v/>
      </c>
      <c r="AD1369" s="557"/>
      <c r="AE1369" s="567"/>
    </row>
    <row r="1370" spans="1:31" ht="15" customHeight="1">
      <c r="A1370" s="957">
        <v>105</v>
      </c>
      <c r="B1370" s="566" t="s">
        <v>536</v>
      </c>
      <c r="C1370" s="567" t="s">
        <v>1595</v>
      </c>
      <c r="D1370" s="958">
        <v>1.3</v>
      </c>
      <c r="E1370" s="562" t="s">
        <v>306</v>
      </c>
      <c r="F1370" s="537" t="s">
        <v>1454</v>
      </c>
      <c r="G1370" s="537">
        <v>1420</v>
      </c>
      <c r="H1370" s="537">
        <v>8.3000000000000007</v>
      </c>
      <c r="I1370" s="568" t="s">
        <v>311</v>
      </c>
      <c r="J1370" s="567" t="s">
        <v>1606</v>
      </c>
      <c r="K1370" s="964" t="s">
        <v>1607</v>
      </c>
      <c r="L1370" s="563" t="str">
        <f t="shared" ca="1" si="224"/>
        <v/>
      </c>
      <c r="M1370" s="535" t="s">
        <v>1608</v>
      </c>
      <c r="N1370" s="563" t="str">
        <f t="shared" ca="1" si="225"/>
        <v/>
      </c>
      <c r="O1370" s="535" t="s">
        <v>1609</v>
      </c>
      <c r="P1370" s="563" t="str">
        <f t="shared" ca="1" si="226"/>
        <v/>
      </c>
      <c r="Q1370" s="535" t="s">
        <v>1610</v>
      </c>
      <c r="R1370" s="535" t="str">
        <f t="shared" ref="R1370:R1385" si="231">CONCATENATE("H",ROW(J1370))</f>
        <v>H1370</v>
      </c>
      <c r="S1370" s="535" t="s">
        <v>1611</v>
      </c>
      <c r="T1370" s="535">
        <v>6</v>
      </c>
      <c r="U1370" s="564" t="str">
        <f t="shared" ca="1" si="222"/>
        <v/>
      </c>
      <c r="V1370" s="535">
        <v>7</v>
      </c>
      <c r="W1370" s="564" t="str">
        <f t="shared" ca="1" si="223"/>
        <v/>
      </c>
      <c r="X1370" s="535" t="s">
        <v>198</v>
      </c>
      <c r="Y1370" s="565" t="str">
        <f t="shared" ca="1" si="227"/>
        <v/>
      </c>
      <c r="Z1370" s="535" t="s">
        <v>1612</v>
      </c>
      <c r="AA1370" s="565" t="str">
        <f t="shared" ca="1" si="228"/>
        <v/>
      </c>
      <c r="AB1370" s="535" t="s">
        <v>1613</v>
      </c>
      <c r="AC1370" s="565" t="str">
        <f t="shared" ca="1" si="229"/>
        <v/>
      </c>
      <c r="AD1370" s="557"/>
      <c r="AE1370" s="567"/>
    </row>
    <row r="1371" spans="1:31" ht="15" customHeight="1">
      <c r="A1371" s="957">
        <v>105</v>
      </c>
      <c r="B1371" s="566" t="s">
        <v>536</v>
      </c>
      <c r="C1371" s="567" t="s">
        <v>1595</v>
      </c>
      <c r="D1371" s="958">
        <v>1.3</v>
      </c>
      <c r="E1371" s="562" t="s">
        <v>306</v>
      </c>
      <c r="F1371" s="537" t="s">
        <v>1454</v>
      </c>
      <c r="G1371" s="537">
        <v>1424</v>
      </c>
      <c r="H1371" s="537">
        <v>9.1</v>
      </c>
      <c r="I1371" s="568" t="s">
        <v>314</v>
      </c>
      <c r="J1371" s="567" t="s">
        <v>1606</v>
      </c>
      <c r="K1371" s="964" t="s">
        <v>1607</v>
      </c>
      <c r="L1371" s="563" t="str">
        <f t="shared" ca="1" si="224"/>
        <v/>
      </c>
      <c r="M1371" s="535" t="s">
        <v>1608</v>
      </c>
      <c r="N1371" s="563" t="str">
        <f t="shared" ca="1" si="225"/>
        <v/>
      </c>
      <c r="O1371" s="535" t="s">
        <v>1609</v>
      </c>
      <c r="P1371" s="563" t="str">
        <f t="shared" ca="1" si="226"/>
        <v/>
      </c>
      <c r="Q1371" s="535" t="s">
        <v>1610</v>
      </c>
      <c r="R1371" s="535" t="str">
        <f t="shared" si="231"/>
        <v>H1371</v>
      </c>
      <c r="S1371" s="535" t="s">
        <v>1611</v>
      </c>
      <c r="T1371" s="535">
        <v>6</v>
      </c>
      <c r="U1371" s="564" t="str">
        <f t="shared" ca="1" si="222"/>
        <v/>
      </c>
      <c r="V1371" s="535">
        <v>7</v>
      </c>
      <c r="W1371" s="564" t="str">
        <f t="shared" ca="1" si="223"/>
        <v/>
      </c>
      <c r="X1371" s="535" t="s">
        <v>198</v>
      </c>
      <c r="Y1371" s="565" t="str">
        <f t="shared" ca="1" si="227"/>
        <v/>
      </c>
      <c r="Z1371" s="535" t="s">
        <v>1612</v>
      </c>
      <c r="AA1371" s="565" t="str">
        <f t="shared" ca="1" si="228"/>
        <v/>
      </c>
      <c r="AB1371" s="535" t="s">
        <v>1613</v>
      </c>
      <c r="AC1371" s="565" t="str">
        <f t="shared" ca="1" si="229"/>
        <v/>
      </c>
      <c r="AD1371" s="557"/>
      <c r="AE1371" s="567"/>
    </row>
    <row r="1372" spans="1:31" ht="15" customHeight="1">
      <c r="A1372" s="957">
        <v>105</v>
      </c>
      <c r="B1372" s="566" t="s">
        <v>536</v>
      </c>
      <c r="C1372" s="567" t="s">
        <v>1595</v>
      </c>
      <c r="D1372" s="958">
        <v>1.3</v>
      </c>
      <c r="E1372" s="562" t="s">
        <v>306</v>
      </c>
      <c r="F1372" s="537" t="s">
        <v>1454</v>
      </c>
      <c r="G1372" s="537">
        <v>1425</v>
      </c>
      <c r="H1372" s="537">
        <v>9.1999999999999993</v>
      </c>
      <c r="I1372" s="568" t="s">
        <v>315</v>
      </c>
      <c r="J1372" s="567" t="s">
        <v>1606</v>
      </c>
      <c r="K1372" s="964" t="s">
        <v>1607</v>
      </c>
      <c r="L1372" s="563" t="str">
        <f t="shared" ca="1" si="224"/>
        <v/>
      </c>
      <c r="M1372" s="535" t="s">
        <v>1608</v>
      </c>
      <c r="N1372" s="563" t="str">
        <f t="shared" ca="1" si="225"/>
        <v/>
      </c>
      <c r="O1372" s="535" t="s">
        <v>1609</v>
      </c>
      <c r="P1372" s="563" t="str">
        <f t="shared" ca="1" si="226"/>
        <v/>
      </c>
      <c r="Q1372" s="535" t="s">
        <v>1610</v>
      </c>
      <c r="R1372" s="535" t="str">
        <f t="shared" si="231"/>
        <v>H1372</v>
      </c>
      <c r="S1372" s="535" t="s">
        <v>1611</v>
      </c>
      <c r="T1372" s="535">
        <v>6</v>
      </c>
      <c r="U1372" s="564" t="str">
        <f t="shared" ca="1" si="222"/>
        <v/>
      </c>
      <c r="V1372" s="535">
        <v>7</v>
      </c>
      <c r="W1372" s="564" t="str">
        <f t="shared" ca="1" si="223"/>
        <v/>
      </c>
      <c r="X1372" s="535" t="s">
        <v>198</v>
      </c>
      <c r="Y1372" s="565" t="str">
        <f t="shared" ca="1" si="227"/>
        <v/>
      </c>
      <c r="Z1372" s="535" t="s">
        <v>1612</v>
      </c>
      <c r="AA1372" s="565" t="str">
        <f t="shared" ca="1" si="228"/>
        <v/>
      </c>
      <c r="AB1372" s="535" t="s">
        <v>1613</v>
      </c>
      <c r="AC1372" s="565" t="str">
        <f t="shared" ca="1" si="229"/>
        <v/>
      </c>
      <c r="AD1372" s="557"/>
      <c r="AE1372" s="567"/>
    </row>
    <row r="1373" spans="1:31" ht="15" customHeight="1">
      <c r="A1373" s="957">
        <v>105</v>
      </c>
      <c r="B1373" s="566" t="s">
        <v>536</v>
      </c>
      <c r="C1373" s="567" t="s">
        <v>1595</v>
      </c>
      <c r="D1373" s="958">
        <v>1.3</v>
      </c>
      <c r="E1373" s="562" t="s">
        <v>306</v>
      </c>
      <c r="F1373" s="537" t="s">
        <v>1454</v>
      </c>
      <c r="G1373" s="537">
        <v>1426</v>
      </c>
      <c r="H1373" s="537">
        <v>9.3000000000000007</v>
      </c>
      <c r="I1373" s="568" t="s">
        <v>316</v>
      </c>
      <c r="J1373" s="567" t="s">
        <v>1606</v>
      </c>
      <c r="K1373" s="964" t="s">
        <v>1607</v>
      </c>
      <c r="L1373" s="563" t="str">
        <f t="shared" ca="1" si="224"/>
        <v/>
      </c>
      <c r="M1373" s="535" t="s">
        <v>1608</v>
      </c>
      <c r="N1373" s="563" t="str">
        <f t="shared" ca="1" si="225"/>
        <v/>
      </c>
      <c r="O1373" s="535" t="s">
        <v>1609</v>
      </c>
      <c r="P1373" s="563" t="str">
        <f t="shared" ca="1" si="226"/>
        <v/>
      </c>
      <c r="Q1373" s="535" t="s">
        <v>1610</v>
      </c>
      <c r="R1373" s="535" t="str">
        <f t="shared" si="231"/>
        <v>H1373</v>
      </c>
      <c r="S1373" s="535" t="s">
        <v>1611</v>
      </c>
      <c r="T1373" s="535">
        <v>6</v>
      </c>
      <c r="U1373" s="564" t="str">
        <f t="shared" ca="1" si="222"/>
        <v/>
      </c>
      <c r="V1373" s="535">
        <v>7</v>
      </c>
      <c r="W1373" s="564" t="str">
        <f t="shared" ca="1" si="223"/>
        <v/>
      </c>
      <c r="X1373" s="535" t="s">
        <v>198</v>
      </c>
      <c r="Y1373" s="565" t="str">
        <f t="shared" ca="1" si="227"/>
        <v/>
      </c>
      <c r="Z1373" s="535" t="s">
        <v>1612</v>
      </c>
      <c r="AA1373" s="565" t="str">
        <f t="shared" ca="1" si="228"/>
        <v/>
      </c>
      <c r="AB1373" s="535" t="s">
        <v>1613</v>
      </c>
      <c r="AC1373" s="565" t="str">
        <f t="shared" ca="1" si="229"/>
        <v/>
      </c>
      <c r="AD1373" s="557"/>
      <c r="AE1373" s="567"/>
    </row>
    <row r="1374" spans="1:31" ht="15" customHeight="1">
      <c r="A1374" s="957">
        <v>105</v>
      </c>
      <c r="B1374" s="566" t="s">
        <v>536</v>
      </c>
      <c r="C1374" s="567" t="s">
        <v>1595</v>
      </c>
      <c r="D1374" s="958">
        <v>1.3</v>
      </c>
      <c r="E1374" s="562" t="s">
        <v>306</v>
      </c>
      <c r="F1374" s="537" t="s">
        <v>1454</v>
      </c>
      <c r="G1374" s="537">
        <v>1430</v>
      </c>
      <c r="H1374" s="537">
        <v>10</v>
      </c>
      <c r="I1374" s="568" t="s">
        <v>319</v>
      </c>
      <c r="J1374" s="567" t="s">
        <v>1606</v>
      </c>
      <c r="K1374" s="964" t="s">
        <v>1607</v>
      </c>
      <c r="L1374" s="563" t="str">
        <f t="shared" ca="1" si="224"/>
        <v/>
      </c>
      <c r="M1374" s="535" t="s">
        <v>1608</v>
      </c>
      <c r="N1374" s="563" t="str">
        <f t="shared" ca="1" si="225"/>
        <v/>
      </c>
      <c r="O1374" s="535" t="s">
        <v>1609</v>
      </c>
      <c r="P1374" s="563" t="str">
        <f t="shared" ca="1" si="226"/>
        <v/>
      </c>
      <c r="Q1374" s="535" t="s">
        <v>1610</v>
      </c>
      <c r="R1374" s="535" t="str">
        <f t="shared" si="231"/>
        <v>H1374</v>
      </c>
      <c r="S1374" s="535" t="s">
        <v>1611</v>
      </c>
      <c r="T1374" s="535">
        <v>6</v>
      </c>
      <c r="U1374" s="564" t="str">
        <f t="shared" ca="1" si="222"/>
        <v/>
      </c>
      <c r="V1374" s="535">
        <v>7</v>
      </c>
      <c r="W1374" s="564" t="str">
        <f t="shared" ca="1" si="223"/>
        <v/>
      </c>
      <c r="X1374" s="535" t="s">
        <v>198</v>
      </c>
      <c r="Y1374" s="565" t="str">
        <f t="shared" ca="1" si="227"/>
        <v/>
      </c>
      <c r="Z1374" s="535" t="s">
        <v>1612</v>
      </c>
      <c r="AA1374" s="565" t="str">
        <f t="shared" ca="1" si="228"/>
        <v/>
      </c>
      <c r="AB1374" s="535" t="s">
        <v>1613</v>
      </c>
      <c r="AC1374" s="565" t="str">
        <f t="shared" ca="1" si="229"/>
        <v/>
      </c>
      <c r="AD1374" s="557"/>
      <c r="AE1374" s="567"/>
    </row>
    <row r="1375" spans="1:31" ht="15" customHeight="1">
      <c r="A1375" s="957">
        <v>105</v>
      </c>
      <c r="B1375" s="566" t="s">
        <v>536</v>
      </c>
      <c r="C1375" s="567" t="s">
        <v>1595</v>
      </c>
      <c r="D1375" s="958">
        <v>1.3</v>
      </c>
      <c r="E1375" s="562" t="s">
        <v>306</v>
      </c>
      <c r="F1375" s="537" t="s">
        <v>1454</v>
      </c>
      <c r="G1375" s="537">
        <v>1433</v>
      </c>
      <c r="H1375" s="537">
        <v>10.1</v>
      </c>
      <c r="I1375" s="568" t="s">
        <v>320</v>
      </c>
      <c r="J1375" s="567" t="s">
        <v>1606</v>
      </c>
      <c r="K1375" s="964" t="s">
        <v>1607</v>
      </c>
      <c r="L1375" s="563" t="str">
        <f t="shared" ca="1" si="224"/>
        <v/>
      </c>
      <c r="M1375" s="535" t="s">
        <v>1608</v>
      </c>
      <c r="N1375" s="563" t="str">
        <f t="shared" ca="1" si="225"/>
        <v/>
      </c>
      <c r="O1375" s="535" t="s">
        <v>1609</v>
      </c>
      <c r="P1375" s="563" t="str">
        <f t="shared" ca="1" si="226"/>
        <v/>
      </c>
      <c r="Q1375" s="535" t="s">
        <v>1610</v>
      </c>
      <c r="R1375" s="535" t="str">
        <f t="shared" si="231"/>
        <v>H1375</v>
      </c>
      <c r="S1375" s="535" t="s">
        <v>1611</v>
      </c>
      <c r="T1375" s="535">
        <v>6</v>
      </c>
      <c r="U1375" s="564" t="str">
        <f t="shared" ca="1" si="222"/>
        <v/>
      </c>
      <c r="V1375" s="535">
        <v>7</v>
      </c>
      <c r="W1375" s="564" t="str">
        <f t="shared" ca="1" si="223"/>
        <v/>
      </c>
      <c r="X1375" s="535" t="s">
        <v>198</v>
      </c>
      <c r="Y1375" s="565" t="str">
        <f t="shared" ca="1" si="227"/>
        <v/>
      </c>
      <c r="Z1375" s="535" t="s">
        <v>1612</v>
      </c>
      <c r="AA1375" s="565" t="str">
        <f t="shared" ca="1" si="228"/>
        <v/>
      </c>
      <c r="AB1375" s="535" t="s">
        <v>1613</v>
      </c>
      <c r="AC1375" s="565" t="str">
        <f t="shared" ca="1" si="229"/>
        <v/>
      </c>
      <c r="AD1375" s="557"/>
      <c r="AE1375" s="567"/>
    </row>
    <row r="1376" spans="1:31" ht="15" customHeight="1">
      <c r="A1376" s="957">
        <v>105</v>
      </c>
      <c r="B1376" s="566" t="s">
        <v>536</v>
      </c>
      <c r="C1376" s="567" t="s">
        <v>1595</v>
      </c>
      <c r="D1376" s="958">
        <v>1.3</v>
      </c>
      <c r="E1376" s="562" t="s">
        <v>306</v>
      </c>
      <c r="F1376" s="537" t="s">
        <v>1454</v>
      </c>
      <c r="G1376" s="537">
        <v>1441</v>
      </c>
      <c r="H1376" s="537">
        <v>10.199999999999999</v>
      </c>
      <c r="I1376" s="568" t="s">
        <v>321</v>
      </c>
      <c r="J1376" s="567" t="s">
        <v>1606</v>
      </c>
      <c r="K1376" s="964" t="s">
        <v>1607</v>
      </c>
      <c r="L1376" s="563" t="str">
        <f t="shared" ca="1" si="224"/>
        <v/>
      </c>
      <c r="M1376" s="535" t="s">
        <v>1608</v>
      </c>
      <c r="N1376" s="563" t="str">
        <f t="shared" ca="1" si="225"/>
        <v/>
      </c>
      <c r="O1376" s="535" t="s">
        <v>1609</v>
      </c>
      <c r="P1376" s="563" t="str">
        <f t="shared" ca="1" si="226"/>
        <v/>
      </c>
      <c r="Q1376" s="535" t="s">
        <v>1610</v>
      </c>
      <c r="R1376" s="535" t="str">
        <f t="shared" si="231"/>
        <v>H1376</v>
      </c>
      <c r="S1376" s="535" t="s">
        <v>1611</v>
      </c>
      <c r="T1376" s="535">
        <v>6</v>
      </c>
      <c r="U1376" s="564" t="str">
        <f t="shared" ca="1" si="222"/>
        <v/>
      </c>
      <c r="V1376" s="535">
        <v>7</v>
      </c>
      <c r="W1376" s="564" t="str">
        <f t="shared" ca="1" si="223"/>
        <v/>
      </c>
      <c r="X1376" s="535" t="s">
        <v>198</v>
      </c>
      <c r="Y1376" s="565" t="str">
        <f t="shared" ca="1" si="227"/>
        <v/>
      </c>
      <c r="Z1376" s="535" t="s">
        <v>1612</v>
      </c>
      <c r="AA1376" s="565" t="str">
        <f t="shared" ca="1" si="228"/>
        <v/>
      </c>
      <c r="AB1376" s="535" t="s">
        <v>1613</v>
      </c>
      <c r="AC1376" s="565" t="str">
        <f t="shared" ca="1" si="229"/>
        <v/>
      </c>
      <c r="AD1376" s="557"/>
      <c r="AE1376" s="567"/>
    </row>
    <row r="1377" spans="1:31" ht="15" customHeight="1">
      <c r="A1377" s="957">
        <v>105</v>
      </c>
      <c r="B1377" s="566" t="s">
        <v>536</v>
      </c>
      <c r="C1377" s="567" t="s">
        <v>1595</v>
      </c>
      <c r="D1377" s="958">
        <v>1.3</v>
      </c>
      <c r="E1377" s="562" t="s">
        <v>306</v>
      </c>
      <c r="F1377" s="537" t="s">
        <v>1454</v>
      </c>
      <c r="G1377" s="537">
        <v>1445</v>
      </c>
      <c r="H1377" s="537">
        <v>10.3</v>
      </c>
      <c r="I1377" s="568" t="s">
        <v>322</v>
      </c>
      <c r="J1377" s="567" t="s">
        <v>1606</v>
      </c>
      <c r="K1377" s="964" t="s">
        <v>1607</v>
      </c>
      <c r="L1377" s="563" t="str">
        <f t="shared" ca="1" si="224"/>
        <v/>
      </c>
      <c r="M1377" s="535" t="s">
        <v>1608</v>
      </c>
      <c r="N1377" s="563" t="str">
        <f t="shared" ca="1" si="225"/>
        <v/>
      </c>
      <c r="O1377" s="535" t="s">
        <v>1609</v>
      </c>
      <c r="P1377" s="563" t="str">
        <f t="shared" ca="1" si="226"/>
        <v/>
      </c>
      <c r="Q1377" s="535" t="s">
        <v>1610</v>
      </c>
      <c r="R1377" s="535" t="str">
        <f t="shared" si="231"/>
        <v>H1377</v>
      </c>
      <c r="S1377" s="535" t="s">
        <v>1611</v>
      </c>
      <c r="T1377" s="535">
        <v>6</v>
      </c>
      <c r="U1377" s="564" t="str">
        <f t="shared" ca="1" si="222"/>
        <v/>
      </c>
      <c r="V1377" s="535">
        <v>7</v>
      </c>
      <c r="W1377" s="564" t="str">
        <f t="shared" ca="1" si="223"/>
        <v/>
      </c>
      <c r="X1377" s="535" t="s">
        <v>198</v>
      </c>
      <c r="Y1377" s="565" t="str">
        <f t="shared" ca="1" si="227"/>
        <v/>
      </c>
      <c r="Z1377" s="535" t="s">
        <v>1612</v>
      </c>
      <c r="AA1377" s="565" t="str">
        <f t="shared" ca="1" si="228"/>
        <v/>
      </c>
      <c r="AB1377" s="535" t="s">
        <v>1613</v>
      </c>
      <c r="AC1377" s="565" t="str">
        <f t="shared" ca="1" si="229"/>
        <v/>
      </c>
      <c r="AD1377" s="557"/>
      <c r="AE1377" s="567"/>
    </row>
    <row r="1378" spans="1:31" ht="15" customHeight="1">
      <c r="A1378" s="957">
        <v>105</v>
      </c>
      <c r="B1378" s="566" t="s">
        <v>536</v>
      </c>
      <c r="C1378" s="567" t="s">
        <v>1595</v>
      </c>
      <c r="D1378" s="958">
        <v>1.3</v>
      </c>
      <c r="E1378" s="562" t="s">
        <v>306</v>
      </c>
      <c r="F1378" s="537" t="s">
        <v>1454</v>
      </c>
      <c r="G1378" s="537">
        <v>1447</v>
      </c>
      <c r="H1378" s="537">
        <v>11</v>
      </c>
      <c r="I1378" s="568" t="s">
        <v>325</v>
      </c>
      <c r="J1378" s="567" t="s">
        <v>1606</v>
      </c>
      <c r="K1378" s="964" t="s">
        <v>1607</v>
      </c>
      <c r="L1378" s="563" t="str">
        <f t="shared" ca="1" si="224"/>
        <v/>
      </c>
      <c r="M1378" s="535" t="s">
        <v>1608</v>
      </c>
      <c r="N1378" s="563" t="str">
        <f t="shared" ca="1" si="225"/>
        <v/>
      </c>
      <c r="O1378" s="535" t="s">
        <v>1609</v>
      </c>
      <c r="P1378" s="563" t="str">
        <f t="shared" ca="1" si="226"/>
        <v/>
      </c>
      <c r="Q1378" s="535" t="s">
        <v>1610</v>
      </c>
      <c r="R1378" s="535" t="str">
        <f t="shared" si="231"/>
        <v>H1378</v>
      </c>
      <c r="S1378" s="535" t="s">
        <v>1611</v>
      </c>
      <c r="T1378" s="535">
        <v>6</v>
      </c>
      <c r="U1378" s="564" t="str">
        <f t="shared" ca="1" si="222"/>
        <v/>
      </c>
      <c r="V1378" s="535">
        <v>7</v>
      </c>
      <c r="W1378" s="564" t="str">
        <f t="shared" ca="1" si="223"/>
        <v/>
      </c>
      <c r="X1378" s="535" t="s">
        <v>198</v>
      </c>
      <c r="Y1378" s="565" t="str">
        <f t="shared" ca="1" si="227"/>
        <v/>
      </c>
      <c r="Z1378" s="535" t="s">
        <v>1612</v>
      </c>
      <c r="AA1378" s="565" t="str">
        <f t="shared" ca="1" si="228"/>
        <v/>
      </c>
      <c r="AB1378" s="535" t="s">
        <v>1613</v>
      </c>
      <c r="AC1378" s="565" t="str">
        <f t="shared" ca="1" si="229"/>
        <v/>
      </c>
      <c r="AD1378" s="557"/>
      <c r="AE1378" s="567"/>
    </row>
    <row r="1379" spans="1:31" ht="15" customHeight="1">
      <c r="A1379" s="957">
        <v>105</v>
      </c>
      <c r="B1379" s="566" t="s">
        <v>536</v>
      </c>
      <c r="C1379" s="567" t="s">
        <v>1595</v>
      </c>
      <c r="D1379" s="958">
        <v>1.3</v>
      </c>
      <c r="E1379" s="562" t="s">
        <v>306</v>
      </c>
      <c r="F1379" s="537" t="s">
        <v>1454</v>
      </c>
      <c r="G1379" s="537">
        <v>1451</v>
      </c>
      <c r="H1379" s="537">
        <v>11.1</v>
      </c>
      <c r="I1379" s="568" t="s">
        <v>326</v>
      </c>
      <c r="J1379" s="567" t="s">
        <v>1606</v>
      </c>
      <c r="K1379" s="964" t="s">
        <v>1607</v>
      </c>
      <c r="L1379" s="563" t="str">
        <f t="shared" ca="1" si="224"/>
        <v/>
      </c>
      <c r="M1379" s="535" t="s">
        <v>1608</v>
      </c>
      <c r="N1379" s="563" t="str">
        <f t="shared" ca="1" si="225"/>
        <v/>
      </c>
      <c r="O1379" s="535" t="s">
        <v>1609</v>
      </c>
      <c r="P1379" s="563" t="str">
        <f t="shared" ca="1" si="226"/>
        <v/>
      </c>
      <c r="Q1379" s="535" t="s">
        <v>1610</v>
      </c>
      <c r="R1379" s="535" t="str">
        <f t="shared" si="231"/>
        <v>H1379</v>
      </c>
      <c r="S1379" s="535" t="s">
        <v>1611</v>
      </c>
      <c r="T1379" s="535">
        <v>6</v>
      </c>
      <c r="U1379" s="564" t="str">
        <f t="shared" ca="1" si="222"/>
        <v/>
      </c>
      <c r="V1379" s="535">
        <v>7</v>
      </c>
      <c r="W1379" s="564" t="str">
        <f t="shared" ca="1" si="223"/>
        <v/>
      </c>
      <c r="X1379" s="535" t="s">
        <v>198</v>
      </c>
      <c r="Y1379" s="565" t="str">
        <f t="shared" ca="1" si="227"/>
        <v/>
      </c>
      <c r="Z1379" s="535" t="s">
        <v>1612</v>
      </c>
      <c r="AA1379" s="565" t="str">
        <f t="shared" ca="1" si="228"/>
        <v/>
      </c>
      <c r="AB1379" s="535" t="s">
        <v>1613</v>
      </c>
      <c r="AC1379" s="565" t="str">
        <f t="shared" ca="1" si="229"/>
        <v/>
      </c>
      <c r="AD1379" s="557"/>
      <c r="AE1379" s="567"/>
    </row>
    <row r="1380" spans="1:31" ht="15" customHeight="1">
      <c r="A1380" s="957">
        <v>105</v>
      </c>
      <c r="B1380" s="566" t="s">
        <v>536</v>
      </c>
      <c r="C1380" s="567" t="s">
        <v>1595</v>
      </c>
      <c r="D1380" s="958">
        <v>1.3</v>
      </c>
      <c r="E1380" s="562" t="s">
        <v>306</v>
      </c>
      <c r="F1380" s="537" t="s">
        <v>1454</v>
      </c>
      <c r="G1380" s="537">
        <v>1455</v>
      </c>
      <c r="H1380" s="537">
        <v>11.2</v>
      </c>
      <c r="I1380" s="568" t="s">
        <v>327</v>
      </c>
      <c r="J1380" s="567" t="s">
        <v>1606</v>
      </c>
      <c r="K1380" s="964" t="s">
        <v>1607</v>
      </c>
      <c r="L1380" s="563" t="str">
        <f t="shared" ca="1" si="224"/>
        <v/>
      </c>
      <c r="M1380" s="535" t="s">
        <v>1608</v>
      </c>
      <c r="N1380" s="563" t="str">
        <f t="shared" ca="1" si="225"/>
        <v/>
      </c>
      <c r="O1380" s="535" t="s">
        <v>1609</v>
      </c>
      <c r="P1380" s="563" t="str">
        <f t="shared" ca="1" si="226"/>
        <v/>
      </c>
      <c r="Q1380" s="535" t="s">
        <v>1610</v>
      </c>
      <c r="R1380" s="535" t="str">
        <f t="shared" si="231"/>
        <v>H1380</v>
      </c>
      <c r="S1380" s="535" t="s">
        <v>1611</v>
      </c>
      <c r="T1380" s="535">
        <v>6</v>
      </c>
      <c r="U1380" s="564" t="str">
        <f t="shared" ca="1" si="222"/>
        <v/>
      </c>
      <c r="V1380" s="535">
        <v>7</v>
      </c>
      <c r="W1380" s="564" t="str">
        <f t="shared" ca="1" si="223"/>
        <v/>
      </c>
      <c r="X1380" s="535" t="s">
        <v>198</v>
      </c>
      <c r="Y1380" s="565" t="str">
        <f t="shared" ca="1" si="227"/>
        <v/>
      </c>
      <c r="Z1380" s="535" t="s">
        <v>1612</v>
      </c>
      <c r="AA1380" s="565" t="str">
        <f t="shared" ca="1" si="228"/>
        <v/>
      </c>
      <c r="AB1380" s="535" t="s">
        <v>1613</v>
      </c>
      <c r="AC1380" s="565" t="str">
        <f t="shared" ca="1" si="229"/>
        <v/>
      </c>
      <c r="AD1380" s="557"/>
      <c r="AE1380" s="567"/>
    </row>
    <row r="1381" spans="1:31" ht="15" customHeight="1">
      <c r="A1381" s="957">
        <v>105</v>
      </c>
      <c r="B1381" s="566" t="s">
        <v>536</v>
      </c>
      <c r="C1381" s="567" t="s">
        <v>1595</v>
      </c>
      <c r="D1381" s="958">
        <v>1.3</v>
      </c>
      <c r="E1381" s="562" t="s">
        <v>306</v>
      </c>
      <c r="F1381" s="537" t="s">
        <v>1454</v>
      </c>
      <c r="G1381" s="537">
        <v>1457</v>
      </c>
      <c r="H1381" s="537">
        <v>12.1</v>
      </c>
      <c r="I1381" s="568" t="s">
        <v>330</v>
      </c>
      <c r="J1381" s="567" t="s">
        <v>1606</v>
      </c>
      <c r="K1381" s="964" t="s">
        <v>1607</v>
      </c>
      <c r="L1381" s="563" t="str">
        <f t="shared" ca="1" si="224"/>
        <v/>
      </c>
      <c r="M1381" s="535" t="s">
        <v>1608</v>
      </c>
      <c r="N1381" s="563" t="str">
        <f t="shared" ca="1" si="225"/>
        <v/>
      </c>
      <c r="O1381" s="535" t="s">
        <v>1609</v>
      </c>
      <c r="P1381" s="563" t="str">
        <f t="shared" ca="1" si="226"/>
        <v/>
      </c>
      <c r="Q1381" s="535" t="s">
        <v>1610</v>
      </c>
      <c r="R1381" s="535" t="str">
        <f t="shared" si="231"/>
        <v>H1381</v>
      </c>
      <c r="S1381" s="535" t="s">
        <v>1611</v>
      </c>
      <c r="T1381" s="535">
        <v>6</v>
      </c>
      <c r="U1381" s="564" t="str">
        <f t="shared" ca="1" si="222"/>
        <v/>
      </c>
      <c r="V1381" s="535">
        <v>7</v>
      </c>
      <c r="W1381" s="564" t="str">
        <f t="shared" ca="1" si="223"/>
        <v/>
      </c>
      <c r="X1381" s="535" t="s">
        <v>198</v>
      </c>
      <c r="Y1381" s="565" t="str">
        <f t="shared" ca="1" si="227"/>
        <v/>
      </c>
      <c r="Z1381" s="535" t="s">
        <v>1612</v>
      </c>
      <c r="AA1381" s="565" t="str">
        <f t="shared" ca="1" si="228"/>
        <v/>
      </c>
      <c r="AB1381" s="535" t="s">
        <v>1613</v>
      </c>
      <c r="AC1381" s="565" t="str">
        <f t="shared" ca="1" si="229"/>
        <v/>
      </c>
      <c r="AD1381" s="557"/>
      <c r="AE1381" s="567"/>
    </row>
    <row r="1382" spans="1:31" ht="15" customHeight="1">
      <c r="A1382" s="957">
        <v>105</v>
      </c>
      <c r="B1382" s="566" t="s">
        <v>536</v>
      </c>
      <c r="C1382" s="567" t="s">
        <v>1595</v>
      </c>
      <c r="D1382" s="958">
        <v>1.3</v>
      </c>
      <c r="E1382" s="562" t="s">
        <v>306</v>
      </c>
      <c r="F1382" s="537" t="s">
        <v>1454</v>
      </c>
      <c r="G1382" s="537">
        <v>1466</v>
      </c>
      <c r="H1382" s="537">
        <v>12.2</v>
      </c>
      <c r="I1382" s="568" t="s">
        <v>331</v>
      </c>
      <c r="J1382" s="567" t="s">
        <v>1606</v>
      </c>
      <c r="K1382" s="964" t="s">
        <v>1607</v>
      </c>
      <c r="L1382" s="563" t="str">
        <f t="shared" ca="1" si="224"/>
        <v/>
      </c>
      <c r="M1382" s="535" t="s">
        <v>1608</v>
      </c>
      <c r="N1382" s="563" t="str">
        <f t="shared" ca="1" si="225"/>
        <v/>
      </c>
      <c r="O1382" s="535" t="s">
        <v>1609</v>
      </c>
      <c r="P1382" s="563" t="str">
        <f t="shared" ca="1" si="226"/>
        <v/>
      </c>
      <c r="Q1382" s="535" t="s">
        <v>1610</v>
      </c>
      <c r="R1382" s="535" t="str">
        <f t="shared" si="231"/>
        <v>H1382</v>
      </c>
      <c r="S1382" s="535" t="s">
        <v>1611</v>
      </c>
      <c r="T1382" s="535">
        <v>6</v>
      </c>
      <c r="U1382" s="564" t="str">
        <f t="shared" ca="1" si="222"/>
        <v/>
      </c>
      <c r="V1382" s="535">
        <v>7</v>
      </c>
      <c r="W1382" s="564" t="str">
        <f t="shared" ca="1" si="223"/>
        <v/>
      </c>
      <c r="X1382" s="535" t="s">
        <v>198</v>
      </c>
      <c r="Y1382" s="565" t="str">
        <f t="shared" ca="1" si="227"/>
        <v/>
      </c>
      <c r="Z1382" s="535" t="s">
        <v>1612</v>
      </c>
      <c r="AA1382" s="565" t="str">
        <f t="shared" ca="1" si="228"/>
        <v/>
      </c>
      <c r="AB1382" s="535" t="s">
        <v>1613</v>
      </c>
      <c r="AC1382" s="565" t="str">
        <f t="shared" ca="1" si="229"/>
        <v/>
      </c>
      <c r="AD1382" s="557"/>
      <c r="AE1382" s="567"/>
    </row>
    <row r="1383" spans="1:31" ht="15" customHeight="1">
      <c r="A1383" s="957">
        <v>105</v>
      </c>
      <c r="B1383" s="566" t="s">
        <v>536</v>
      </c>
      <c r="C1383" s="567" t="s">
        <v>1595</v>
      </c>
      <c r="D1383" s="958">
        <v>1.3</v>
      </c>
      <c r="E1383" s="562" t="s">
        <v>306</v>
      </c>
      <c r="F1383" s="537" t="s">
        <v>1454</v>
      </c>
      <c r="G1383" s="537">
        <v>1469</v>
      </c>
      <c r="H1383" s="537">
        <v>12.3</v>
      </c>
      <c r="I1383" s="568" t="s">
        <v>556</v>
      </c>
      <c r="J1383" s="567" t="s">
        <v>1606</v>
      </c>
      <c r="K1383" s="964" t="s">
        <v>1607</v>
      </c>
      <c r="L1383" s="563" t="str">
        <f t="shared" ca="1" si="224"/>
        <v/>
      </c>
      <c r="M1383" s="535" t="s">
        <v>1608</v>
      </c>
      <c r="N1383" s="563" t="str">
        <f t="shared" ca="1" si="225"/>
        <v/>
      </c>
      <c r="O1383" s="535" t="s">
        <v>1609</v>
      </c>
      <c r="P1383" s="563" t="str">
        <f t="shared" ca="1" si="226"/>
        <v/>
      </c>
      <c r="Q1383" s="535" t="s">
        <v>1610</v>
      </c>
      <c r="R1383" s="535" t="str">
        <f t="shared" si="231"/>
        <v>H1383</v>
      </c>
      <c r="S1383" s="535" t="s">
        <v>1611</v>
      </c>
      <c r="T1383" s="535">
        <v>6</v>
      </c>
      <c r="U1383" s="564" t="str">
        <f t="shared" ca="1" si="222"/>
        <v/>
      </c>
      <c r="V1383" s="535">
        <v>7</v>
      </c>
      <c r="W1383" s="564" t="str">
        <f t="shared" ca="1" si="223"/>
        <v/>
      </c>
      <c r="X1383" s="535" t="s">
        <v>198</v>
      </c>
      <c r="Y1383" s="565" t="str">
        <f t="shared" ca="1" si="227"/>
        <v/>
      </c>
      <c r="Z1383" s="535" t="s">
        <v>1612</v>
      </c>
      <c r="AA1383" s="565" t="str">
        <f t="shared" ca="1" si="228"/>
        <v/>
      </c>
      <c r="AB1383" s="535" t="s">
        <v>1613</v>
      </c>
      <c r="AC1383" s="565" t="str">
        <f t="shared" ca="1" si="229"/>
        <v/>
      </c>
      <c r="AD1383" s="557"/>
      <c r="AE1383" s="567"/>
    </row>
    <row r="1384" spans="1:31" ht="15" customHeight="1">
      <c r="A1384" s="957">
        <v>105</v>
      </c>
      <c r="B1384" s="566" t="s">
        <v>536</v>
      </c>
      <c r="C1384" s="567" t="s">
        <v>1595</v>
      </c>
      <c r="D1384" s="958">
        <v>1.3</v>
      </c>
      <c r="E1384" s="562" t="s">
        <v>306</v>
      </c>
      <c r="F1384" s="537" t="s">
        <v>1454</v>
      </c>
      <c r="G1384" s="537">
        <v>1473</v>
      </c>
      <c r="H1384" s="537">
        <v>13.1</v>
      </c>
      <c r="I1384" s="568" t="s">
        <v>332</v>
      </c>
      <c r="J1384" s="567" t="s">
        <v>1606</v>
      </c>
      <c r="K1384" s="964" t="s">
        <v>1607</v>
      </c>
      <c r="L1384" s="563" t="str">
        <f t="shared" ca="1" si="224"/>
        <v/>
      </c>
      <c r="M1384" s="535" t="s">
        <v>1608</v>
      </c>
      <c r="N1384" s="563" t="str">
        <f t="shared" ca="1" si="225"/>
        <v/>
      </c>
      <c r="O1384" s="535" t="s">
        <v>1609</v>
      </c>
      <c r="P1384" s="563" t="str">
        <f t="shared" ca="1" si="226"/>
        <v/>
      </c>
      <c r="Q1384" s="535" t="s">
        <v>1610</v>
      </c>
      <c r="R1384" s="535" t="str">
        <f t="shared" si="231"/>
        <v>H1384</v>
      </c>
      <c r="S1384" s="535" t="s">
        <v>1611</v>
      </c>
      <c r="T1384" s="535">
        <v>6</v>
      </c>
      <c r="U1384" s="564" t="str">
        <f t="shared" ca="1" si="222"/>
        <v/>
      </c>
      <c r="V1384" s="535">
        <v>7</v>
      </c>
      <c r="W1384" s="564" t="str">
        <f t="shared" ca="1" si="223"/>
        <v/>
      </c>
      <c r="X1384" s="535" t="s">
        <v>198</v>
      </c>
      <c r="Y1384" s="565" t="str">
        <f t="shared" ca="1" si="227"/>
        <v/>
      </c>
      <c r="Z1384" s="535" t="s">
        <v>1612</v>
      </c>
      <c r="AA1384" s="565" t="str">
        <f t="shared" ca="1" si="228"/>
        <v/>
      </c>
      <c r="AB1384" s="535" t="s">
        <v>1613</v>
      </c>
      <c r="AC1384" s="565" t="str">
        <f t="shared" ca="1" si="229"/>
        <v/>
      </c>
      <c r="AD1384" s="557"/>
      <c r="AE1384" s="567"/>
    </row>
    <row r="1385" spans="1:31" ht="15" customHeight="1">
      <c r="A1385" s="957">
        <v>105</v>
      </c>
      <c r="B1385" s="566" t="s">
        <v>536</v>
      </c>
      <c r="C1385" s="567" t="s">
        <v>1595</v>
      </c>
      <c r="D1385" s="958">
        <v>1.3</v>
      </c>
      <c r="E1385" s="562" t="s">
        <v>306</v>
      </c>
      <c r="F1385" s="537" t="s">
        <v>1454</v>
      </c>
      <c r="G1385" s="537">
        <v>1480</v>
      </c>
      <c r="H1385" s="537">
        <v>13.2</v>
      </c>
      <c r="I1385" s="568" t="s">
        <v>334</v>
      </c>
      <c r="J1385" s="567" t="s">
        <v>1606</v>
      </c>
      <c r="K1385" s="964" t="s">
        <v>1607</v>
      </c>
      <c r="L1385" s="563" t="str">
        <f t="shared" ca="1" si="224"/>
        <v/>
      </c>
      <c r="M1385" s="535" t="s">
        <v>1608</v>
      </c>
      <c r="N1385" s="563" t="str">
        <f t="shared" ca="1" si="225"/>
        <v/>
      </c>
      <c r="O1385" s="535" t="s">
        <v>1609</v>
      </c>
      <c r="P1385" s="563" t="str">
        <f t="shared" ca="1" si="226"/>
        <v/>
      </c>
      <c r="Q1385" s="535" t="s">
        <v>1610</v>
      </c>
      <c r="R1385" s="535" t="str">
        <f t="shared" si="231"/>
        <v>H1385</v>
      </c>
      <c r="S1385" s="535" t="s">
        <v>1611</v>
      </c>
      <c r="T1385" s="535">
        <v>6</v>
      </c>
      <c r="U1385" s="564" t="str">
        <f t="shared" ca="1" si="222"/>
        <v/>
      </c>
      <c r="V1385" s="535">
        <v>7</v>
      </c>
      <c r="W1385" s="564" t="str">
        <f t="shared" ca="1" si="223"/>
        <v/>
      </c>
      <c r="X1385" s="535" t="s">
        <v>198</v>
      </c>
      <c r="Y1385" s="565" t="str">
        <f t="shared" ca="1" si="227"/>
        <v/>
      </c>
      <c r="Z1385" s="535" t="s">
        <v>1612</v>
      </c>
      <c r="AA1385" s="565" t="str">
        <f t="shared" ca="1" si="228"/>
        <v/>
      </c>
      <c r="AB1385" s="535" t="s">
        <v>1613</v>
      </c>
      <c r="AC1385" s="565" t="str">
        <f t="shared" ca="1" si="229"/>
        <v/>
      </c>
      <c r="AD1385" s="557"/>
      <c r="AE1385" s="567"/>
    </row>
    <row r="1386" spans="1:31" ht="15" customHeight="1">
      <c r="A1386" s="957">
        <v>105</v>
      </c>
      <c r="B1386" s="566" t="s">
        <v>536</v>
      </c>
      <c r="C1386" s="567" t="s">
        <v>1595</v>
      </c>
      <c r="D1386" s="958">
        <v>1.3</v>
      </c>
      <c r="E1386" s="562" t="s">
        <v>306</v>
      </c>
      <c r="F1386" s="537" t="s">
        <v>1454</v>
      </c>
      <c r="G1386" s="537">
        <v>1484</v>
      </c>
      <c r="H1386" s="537" t="s">
        <v>559</v>
      </c>
      <c r="I1386" s="568" t="s">
        <v>1624</v>
      </c>
      <c r="J1386" s="567" t="s">
        <v>1606</v>
      </c>
      <c r="K1386" s="964" t="s">
        <v>1607</v>
      </c>
      <c r="L1386" s="563" t="str">
        <f t="shared" ca="1" si="224"/>
        <v/>
      </c>
      <c r="M1386" s="535" t="s">
        <v>1608</v>
      </c>
      <c r="N1386" s="563" t="str">
        <f t="shared" ca="1" si="225"/>
        <v/>
      </c>
      <c r="O1386" s="535" t="s">
        <v>1609</v>
      </c>
      <c r="P1386" s="563" t="str">
        <f t="shared" ca="1" si="226"/>
        <v/>
      </c>
      <c r="Q1386" s="535" t="s">
        <v>1610</v>
      </c>
      <c r="R1386" s="535" t="str">
        <f t="shared" ref="R1386:R1414" si="232">CONCATENATE("H",ROW(J1386))</f>
        <v>H1386</v>
      </c>
      <c r="S1386" s="535" t="s">
        <v>1611</v>
      </c>
      <c r="T1386" s="535">
        <v>6</v>
      </c>
      <c r="U1386" s="564" t="str">
        <f t="shared" ca="1" si="222"/>
        <v/>
      </c>
      <c r="V1386" s="535">
        <v>7</v>
      </c>
      <c r="W1386" s="564" t="str">
        <f t="shared" ca="1" si="223"/>
        <v/>
      </c>
      <c r="X1386" s="535" t="s">
        <v>198</v>
      </c>
      <c r="Y1386" s="565" t="str">
        <f t="shared" ca="1" si="227"/>
        <v/>
      </c>
      <c r="Z1386" s="535" t="s">
        <v>1612</v>
      </c>
      <c r="AA1386" s="565" t="str">
        <f t="shared" ca="1" si="228"/>
        <v/>
      </c>
      <c r="AB1386" s="535" t="s">
        <v>1613</v>
      </c>
      <c r="AC1386" s="565" t="str">
        <f t="shared" ca="1" si="229"/>
        <v/>
      </c>
      <c r="AD1386" s="557"/>
      <c r="AE1386" s="567"/>
    </row>
    <row r="1387" spans="1:31" ht="15" customHeight="1">
      <c r="A1387" s="957">
        <v>105</v>
      </c>
      <c r="B1387" s="566" t="s">
        <v>536</v>
      </c>
      <c r="C1387" s="567" t="s">
        <v>1595</v>
      </c>
      <c r="D1387" s="958">
        <v>1.3</v>
      </c>
      <c r="E1387" s="562" t="s">
        <v>306</v>
      </c>
      <c r="F1387" s="537" t="s">
        <v>1454</v>
      </c>
      <c r="G1387" s="537">
        <v>1485</v>
      </c>
      <c r="H1387" s="537" t="s">
        <v>561</v>
      </c>
      <c r="I1387" s="568" t="s">
        <v>615</v>
      </c>
      <c r="J1387" s="567" t="s">
        <v>1606</v>
      </c>
      <c r="K1387" s="964" t="s">
        <v>1607</v>
      </c>
      <c r="L1387" s="563" t="str">
        <f t="shared" ca="1" si="224"/>
        <v/>
      </c>
      <c r="M1387" s="535" t="s">
        <v>1608</v>
      </c>
      <c r="N1387" s="563" t="str">
        <f t="shared" ca="1" si="225"/>
        <v/>
      </c>
      <c r="O1387" s="535" t="s">
        <v>1609</v>
      </c>
      <c r="P1387" s="563" t="str">
        <f t="shared" ca="1" si="226"/>
        <v/>
      </c>
      <c r="Q1387" s="535" t="s">
        <v>1610</v>
      </c>
      <c r="R1387" s="535" t="str">
        <f t="shared" si="232"/>
        <v>H1387</v>
      </c>
      <c r="S1387" s="535" t="s">
        <v>1611</v>
      </c>
      <c r="T1387" s="535">
        <v>6</v>
      </c>
      <c r="U1387" s="564" t="str">
        <f t="shared" ca="1" si="222"/>
        <v/>
      </c>
      <c r="V1387" s="535">
        <v>7</v>
      </c>
      <c r="W1387" s="564" t="str">
        <f t="shared" ca="1" si="223"/>
        <v/>
      </c>
      <c r="X1387" s="535" t="s">
        <v>198</v>
      </c>
      <c r="Y1387" s="565" t="str">
        <f t="shared" ca="1" si="227"/>
        <v/>
      </c>
      <c r="Z1387" s="535" t="s">
        <v>1612</v>
      </c>
      <c r="AA1387" s="565" t="str">
        <f t="shared" ca="1" si="228"/>
        <v/>
      </c>
      <c r="AB1387" s="535" t="s">
        <v>1613</v>
      </c>
      <c r="AC1387" s="565" t="str">
        <f t="shared" ca="1" si="229"/>
        <v/>
      </c>
      <c r="AD1387" s="557"/>
      <c r="AE1387" s="567"/>
    </row>
    <row r="1388" spans="1:31" ht="15" customHeight="1">
      <c r="A1388" s="957">
        <v>105</v>
      </c>
      <c r="B1388" s="566" t="s">
        <v>536</v>
      </c>
      <c r="C1388" s="567" t="s">
        <v>1595</v>
      </c>
      <c r="D1388" s="958">
        <v>1.3</v>
      </c>
      <c r="E1388" s="562" t="s">
        <v>306</v>
      </c>
      <c r="F1388" s="537" t="s">
        <v>1454</v>
      </c>
      <c r="G1388" s="537">
        <v>1499</v>
      </c>
      <c r="H1388" s="537">
        <v>15.1</v>
      </c>
      <c r="I1388" s="568" t="s">
        <v>564</v>
      </c>
      <c r="J1388" s="567" t="s">
        <v>1606</v>
      </c>
      <c r="K1388" s="964" t="s">
        <v>1607</v>
      </c>
      <c r="L1388" s="563" t="str">
        <f t="shared" ca="1" si="224"/>
        <v/>
      </c>
      <c r="M1388" s="535" t="s">
        <v>1608</v>
      </c>
      <c r="N1388" s="563" t="str">
        <f t="shared" ca="1" si="225"/>
        <v/>
      </c>
      <c r="O1388" s="535" t="s">
        <v>1609</v>
      </c>
      <c r="P1388" s="563" t="str">
        <f t="shared" ca="1" si="226"/>
        <v/>
      </c>
      <c r="Q1388" s="535" t="s">
        <v>1610</v>
      </c>
      <c r="R1388" s="535" t="str">
        <f t="shared" si="232"/>
        <v>H1388</v>
      </c>
      <c r="S1388" s="535" t="s">
        <v>1611</v>
      </c>
      <c r="T1388" s="535">
        <v>6</v>
      </c>
      <c r="U1388" s="564" t="str">
        <f t="shared" ca="1" si="222"/>
        <v/>
      </c>
      <c r="V1388" s="535">
        <v>7</v>
      </c>
      <c r="W1388" s="564" t="str">
        <f t="shared" ca="1" si="223"/>
        <v/>
      </c>
      <c r="X1388" s="535" t="s">
        <v>198</v>
      </c>
      <c r="Y1388" s="565" t="str">
        <f t="shared" ca="1" si="227"/>
        <v/>
      </c>
      <c r="Z1388" s="535" t="s">
        <v>1612</v>
      </c>
      <c r="AA1388" s="565" t="str">
        <f t="shared" ca="1" si="228"/>
        <v/>
      </c>
      <c r="AB1388" s="535" t="s">
        <v>1613</v>
      </c>
      <c r="AC1388" s="565" t="str">
        <f t="shared" ca="1" si="229"/>
        <v/>
      </c>
      <c r="AD1388" s="557"/>
      <c r="AE1388" s="567"/>
    </row>
    <row r="1389" spans="1:31" ht="15" customHeight="1">
      <c r="A1389" s="957">
        <v>105</v>
      </c>
      <c r="B1389" s="566" t="s">
        <v>536</v>
      </c>
      <c r="C1389" s="567" t="s">
        <v>1595</v>
      </c>
      <c r="D1389" s="958">
        <v>1.3</v>
      </c>
      <c r="E1389" s="562" t="s">
        <v>335</v>
      </c>
      <c r="F1389" s="537" t="s">
        <v>1455</v>
      </c>
      <c r="G1389" s="537">
        <v>1505</v>
      </c>
      <c r="H1389" s="537" t="s">
        <v>617</v>
      </c>
      <c r="I1389" s="568" t="s">
        <v>1625</v>
      </c>
      <c r="J1389" s="567" t="s">
        <v>1606</v>
      </c>
      <c r="K1389" s="964" t="s">
        <v>1607</v>
      </c>
      <c r="L1389" s="563" t="str">
        <f t="shared" ca="1" si="224"/>
        <v/>
      </c>
      <c r="M1389" s="535" t="s">
        <v>1608</v>
      </c>
      <c r="N1389" s="563" t="str">
        <f t="shared" ca="1" si="225"/>
        <v/>
      </c>
      <c r="O1389" s="535" t="s">
        <v>1609</v>
      </c>
      <c r="P1389" s="563" t="str">
        <f t="shared" ca="1" si="226"/>
        <v/>
      </c>
      <c r="Q1389" s="535" t="s">
        <v>1610</v>
      </c>
      <c r="R1389" s="535" t="str">
        <f t="shared" si="232"/>
        <v>H1389</v>
      </c>
      <c r="S1389" s="535" t="s">
        <v>1611</v>
      </c>
      <c r="T1389" s="535">
        <v>6</v>
      </c>
      <c r="U1389" s="564" t="str">
        <f t="shared" ca="1" si="222"/>
        <v/>
      </c>
      <c r="V1389" s="535">
        <v>7</v>
      </c>
      <c r="W1389" s="564" t="str">
        <f t="shared" ca="1" si="223"/>
        <v/>
      </c>
      <c r="X1389" s="535" t="s">
        <v>198</v>
      </c>
      <c r="Y1389" s="565" t="str">
        <f t="shared" ca="1" si="227"/>
        <v/>
      </c>
      <c r="Z1389" s="535" t="s">
        <v>1612</v>
      </c>
      <c r="AA1389" s="565" t="str">
        <f t="shared" ca="1" si="228"/>
        <v/>
      </c>
      <c r="AB1389" s="535" t="s">
        <v>1613</v>
      </c>
      <c r="AC1389" s="565" t="str">
        <f t="shared" ca="1" si="229"/>
        <v/>
      </c>
      <c r="AD1389" s="557"/>
      <c r="AE1389" s="567"/>
    </row>
    <row r="1390" spans="1:31" ht="15" customHeight="1">
      <c r="A1390" s="957">
        <v>105</v>
      </c>
      <c r="B1390" s="566" t="s">
        <v>536</v>
      </c>
      <c r="C1390" s="567" t="s">
        <v>1595</v>
      </c>
      <c r="D1390" s="958">
        <v>1.3</v>
      </c>
      <c r="E1390" s="562" t="s">
        <v>335</v>
      </c>
      <c r="F1390" s="537" t="s">
        <v>1455</v>
      </c>
      <c r="G1390" s="537">
        <v>1506</v>
      </c>
      <c r="H1390" s="537" t="s">
        <v>618</v>
      </c>
      <c r="I1390" s="568" t="s">
        <v>619</v>
      </c>
      <c r="J1390" s="567" t="s">
        <v>1606</v>
      </c>
      <c r="K1390" s="964" t="s">
        <v>1607</v>
      </c>
      <c r="L1390" s="563" t="str">
        <f t="shared" ca="1" si="224"/>
        <v/>
      </c>
      <c r="M1390" s="535" t="s">
        <v>1608</v>
      </c>
      <c r="N1390" s="563" t="str">
        <f t="shared" ca="1" si="225"/>
        <v/>
      </c>
      <c r="O1390" s="535" t="s">
        <v>1609</v>
      </c>
      <c r="P1390" s="563" t="str">
        <f t="shared" ca="1" si="226"/>
        <v/>
      </c>
      <c r="Q1390" s="535" t="s">
        <v>1610</v>
      </c>
      <c r="R1390" s="535" t="str">
        <f t="shared" si="232"/>
        <v>H1390</v>
      </c>
      <c r="S1390" s="535" t="s">
        <v>1611</v>
      </c>
      <c r="T1390" s="535">
        <v>6</v>
      </c>
      <c r="U1390" s="564" t="str">
        <f t="shared" ca="1" si="222"/>
        <v/>
      </c>
      <c r="V1390" s="535">
        <v>7</v>
      </c>
      <c r="W1390" s="564" t="str">
        <f t="shared" ca="1" si="223"/>
        <v/>
      </c>
      <c r="X1390" s="535" t="s">
        <v>198</v>
      </c>
      <c r="Y1390" s="565" t="str">
        <f t="shared" ca="1" si="227"/>
        <v/>
      </c>
      <c r="Z1390" s="535" t="s">
        <v>1612</v>
      </c>
      <c r="AA1390" s="565" t="str">
        <f t="shared" ca="1" si="228"/>
        <v/>
      </c>
      <c r="AB1390" s="535" t="s">
        <v>1613</v>
      </c>
      <c r="AC1390" s="565" t="str">
        <f t="shared" ca="1" si="229"/>
        <v/>
      </c>
      <c r="AD1390" s="557"/>
      <c r="AE1390" s="567"/>
    </row>
    <row r="1391" spans="1:31" ht="15" customHeight="1">
      <c r="A1391" s="957">
        <v>105</v>
      </c>
      <c r="B1391" s="566" t="s">
        <v>536</v>
      </c>
      <c r="C1391" s="567" t="s">
        <v>1595</v>
      </c>
      <c r="D1391" s="958">
        <v>1.3</v>
      </c>
      <c r="E1391" s="562" t="s">
        <v>335</v>
      </c>
      <c r="F1391" s="537" t="s">
        <v>1455</v>
      </c>
      <c r="G1391" s="537">
        <v>1507</v>
      </c>
      <c r="H1391" s="537" t="s">
        <v>620</v>
      </c>
      <c r="I1391" s="568" t="s">
        <v>1507</v>
      </c>
      <c r="J1391" s="567" t="s">
        <v>1606</v>
      </c>
      <c r="K1391" s="964" t="s">
        <v>1607</v>
      </c>
      <c r="L1391" s="563" t="str">
        <f t="shared" ca="1" si="224"/>
        <v/>
      </c>
      <c r="M1391" s="535" t="s">
        <v>1608</v>
      </c>
      <c r="N1391" s="563" t="str">
        <f t="shared" ca="1" si="225"/>
        <v/>
      </c>
      <c r="O1391" s="535" t="s">
        <v>1609</v>
      </c>
      <c r="P1391" s="563" t="str">
        <f t="shared" ca="1" si="226"/>
        <v/>
      </c>
      <c r="Q1391" s="535" t="s">
        <v>1610</v>
      </c>
      <c r="R1391" s="535" t="str">
        <f t="shared" si="232"/>
        <v>H1391</v>
      </c>
      <c r="S1391" s="535" t="s">
        <v>1611</v>
      </c>
      <c r="T1391" s="535">
        <v>6</v>
      </c>
      <c r="U1391" s="564" t="str">
        <f t="shared" ca="1" si="222"/>
        <v/>
      </c>
      <c r="V1391" s="535">
        <v>7</v>
      </c>
      <c r="W1391" s="564" t="str">
        <f t="shared" ca="1" si="223"/>
        <v/>
      </c>
      <c r="X1391" s="535" t="s">
        <v>198</v>
      </c>
      <c r="Y1391" s="565" t="str">
        <f t="shared" ca="1" si="227"/>
        <v/>
      </c>
      <c r="Z1391" s="535" t="s">
        <v>1612</v>
      </c>
      <c r="AA1391" s="565" t="str">
        <f t="shared" ca="1" si="228"/>
        <v/>
      </c>
      <c r="AB1391" s="535" t="s">
        <v>1613</v>
      </c>
      <c r="AC1391" s="565" t="str">
        <f t="shared" ca="1" si="229"/>
        <v/>
      </c>
      <c r="AD1391" s="557"/>
      <c r="AE1391" s="567"/>
    </row>
    <row r="1392" spans="1:31" ht="15" customHeight="1">
      <c r="A1392" s="957">
        <v>105</v>
      </c>
      <c r="B1392" s="566" t="s">
        <v>536</v>
      </c>
      <c r="C1392" s="567" t="s">
        <v>1595</v>
      </c>
      <c r="D1392" s="958">
        <v>1.3</v>
      </c>
      <c r="E1392" s="562" t="s">
        <v>335</v>
      </c>
      <c r="F1392" s="537" t="s">
        <v>1455</v>
      </c>
      <c r="G1392" s="537">
        <v>1508</v>
      </c>
      <c r="H1392" s="537" t="s">
        <v>623</v>
      </c>
      <c r="I1392" s="568" t="s">
        <v>635</v>
      </c>
      <c r="J1392" s="567" t="s">
        <v>1606</v>
      </c>
      <c r="K1392" s="964" t="s">
        <v>1607</v>
      </c>
      <c r="L1392" s="563" t="str">
        <f t="shared" ca="1" si="224"/>
        <v/>
      </c>
      <c r="M1392" s="535" t="s">
        <v>1608</v>
      </c>
      <c r="N1392" s="563" t="str">
        <f t="shared" ca="1" si="225"/>
        <v/>
      </c>
      <c r="O1392" s="535" t="s">
        <v>1609</v>
      </c>
      <c r="P1392" s="563" t="str">
        <f t="shared" ca="1" si="226"/>
        <v/>
      </c>
      <c r="Q1392" s="535" t="s">
        <v>1610</v>
      </c>
      <c r="R1392" s="535" t="str">
        <f t="shared" si="232"/>
        <v>H1392</v>
      </c>
      <c r="S1392" s="535" t="s">
        <v>1611</v>
      </c>
      <c r="T1392" s="535">
        <v>6</v>
      </c>
      <c r="U1392" s="564" t="str">
        <f t="shared" ca="1" si="222"/>
        <v/>
      </c>
      <c r="V1392" s="535">
        <v>7</v>
      </c>
      <c r="W1392" s="564" t="str">
        <f t="shared" ca="1" si="223"/>
        <v/>
      </c>
      <c r="X1392" s="535" t="s">
        <v>198</v>
      </c>
      <c r="Y1392" s="565" t="str">
        <f t="shared" ca="1" si="227"/>
        <v/>
      </c>
      <c r="Z1392" s="535" t="s">
        <v>1612</v>
      </c>
      <c r="AA1392" s="565" t="str">
        <f t="shared" ca="1" si="228"/>
        <v/>
      </c>
      <c r="AB1392" s="535" t="s">
        <v>1613</v>
      </c>
      <c r="AC1392" s="565" t="str">
        <f t="shared" ca="1" si="229"/>
        <v/>
      </c>
      <c r="AD1392" s="557"/>
      <c r="AE1392" s="567"/>
    </row>
    <row r="1393" spans="1:31" ht="15" customHeight="1">
      <c r="A1393" s="957">
        <v>105</v>
      </c>
      <c r="B1393" s="566" t="s">
        <v>536</v>
      </c>
      <c r="C1393" s="567" t="s">
        <v>1595</v>
      </c>
      <c r="D1393" s="958">
        <v>1.3</v>
      </c>
      <c r="E1393" s="562" t="s">
        <v>335</v>
      </c>
      <c r="F1393" s="537" t="s">
        <v>1455</v>
      </c>
      <c r="G1393" s="537">
        <v>1509</v>
      </c>
      <c r="H1393" s="537" t="s">
        <v>625</v>
      </c>
      <c r="I1393" s="568" t="s">
        <v>1626</v>
      </c>
      <c r="J1393" s="567" t="s">
        <v>1606</v>
      </c>
      <c r="K1393" s="964" t="s">
        <v>1607</v>
      </c>
      <c r="L1393" s="563" t="str">
        <f t="shared" ca="1" si="224"/>
        <v/>
      </c>
      <c r="M1393" s="535" t="s">
        <v>1608</v>
      </c>
      <c r="N1393" s="563" t="str">
        <f t="shared" ca="1" si="225"/>
        <v/>
      </c>
      <c r="O1393" s="535" t="s">
        <v>1609</v>
      </c>
      <c r="P1393" s="563" t="str">
        <f t="shared" ca="1" si="226"/>
        <v/>
      </c>
      <c r="Q1393" s="535" t="s">
        <v>1610</v>
      </c>
      <c r="R1393" s="535" t="str">
        <f t="shared" si="232"/>
        <v>H1393</v>
      </c>
      <c r="S1393" s="535" t="s">
        <v>1611</v>
      </c>
      <c r="T1393" s="535">
        <v>6</v>
      </c>
      <c r="U1393" s="564" t="str">
        <f t="shared" ca="1" si="222"/>
        <v/>
      </c>
      <c r="V1393" s="535">
        <v>7</v>
      </c>
      <c r="W1393" s="564" t="str">
        <f t="shared" ca="1" si="223"/>
        <v/>
      </c>
      <c r="X1393" s="535" t="s">
        <v>198</v>
      </c>
      <c r="Y1393" s="565" t="str">
        <f t="shared" ca="1" si="227"/>
        <v/>
      </c>
      <c r="Z1393" s="535" t="s">
        <v>1612</v>
      </c>
      <c r="AA1393" s="565" t="str">
        <f t="shared" ca="1" si="228"/>
        <v/>
      </c>
      <c r="AB1393" s="535" t="s">
        <v>1613</v>
      </c>
      <c r="AC1393" s="565" t="str">
        <f t="shared" ca="1" si="229"/>
        <v/>
      </c>
      <c r="AD1393" s="557"/>
      <c r="AE1393" s="567"/>
    </row>
    <row r="1394" spans="1:31" ht="15" customHeight="1">
      <c r="A1394" s="957">
        <v>105</v>
      </c>
      <c r="B1394" s="566" t="s">
        <v>536</v>
      </c>
      <c r="C1394" s="567" t="s">
        <v>1595</v>
      </c>
      <c r="D1394" s="958">
        <v>1.3</v>
      </c>
      <c r="E1394" s="562" t="s">
        <v>335</v>
      </c>
      <c r="F1394" s="537" t="s">
        <v>1455</v>
      </c>
      <c r="G1394" s="537">
        <v>1513</v>
      </c>
      <c r="H1394" s="537" t="s">
        <v>627</v>
      </c>
      <c r="I1394" s="568" t="s">
        <v>628</v>
      </c>
      <c r="J1394" s="567" t="s">
        <v>1606</v>
      </c>
      <c r="K1394" s="964" t="s">
        <v>1607</v>
      </c>
      <c r="L1394" s="563" t="str">
        <f t="shared" ca="1" si="224"/>
        <v/>
      </c>
      <c r="M1394" s="535" t="s">
        <v>1608</v>
      </c>
      <c r="N1394" s="563" t="str">
        <f t="shared" ca="1" si="225"/>
        <v/>
      </c>
      <c r="O1394" s="535" t="s">
        <v>1609</v>
      </c>
      <c r="P1394" s="563" t="str">
        <f t="shared" ca="1" si="226"/>
        <v/>
      </c>
      <c r="Q1394" s="535" t="s">
        <v>1610</v>
      </c>
      <c r="R1394" s="535" t="str">
        <f t="shared" si="232"/>
        <v>H1394</v>
      </c>
      <c r="S1394" s="535" t="s">
        <v>1611</v>
      </c>
      <c r="T1394" s="535">
        <v>6</v>
      </c>
      <c r="U1394" s="564" t="str">
        <f t="shared" ca="1" si="222"/>
        <v/>
      </c>
      <c r="V1394" s="535">
        <v>7</v>
      </c>
      <c r="W1394" s="564" t="str">
        <f t="shared" ca="1" si="223"/>
        <v/>
      </c>
      <c r="X1394" s="535" t="s">
        <v>198</v>
      </c>
      <c r="Y1394" s="565" t="str">
        <f t="shared" ca="1" si="227"/>
        <v/>
      </c>
      <c r="Z1394" s="535" t="s">
        <v>1612</v>
      </c>
      <c r="AA1394" s="565" t="str">
        <f t="shared" ca="1" si="228"/>
        <v/>
      </c>
      <c r="AB1394" s="535" t="s">
        <v>1613</v>
      </c>
      <c r="AC1394" s="565" t="str">
        <f t="shared" ca="1" si="229"/>
        <v/>
      </c>
      <c r="AD1394" s="557"/>
      <c r="AE1394" s="567"/>
    </row>
    <row r="1395" spans="1:31" ht="15" customHeight="1">
      <c r="A1395" s="957">
        <v>105</v>
      </c>
      <c r="B1395" s="566" t="s">
        <v>536</v>
      </c>
      <c r="C1395" s="567" t="s">
        <v>1595</v>
      </c>
      <c r="D1395" s="958">
        <v>1.3</v>
      </c>
      <c r="E1395" s="562" t="s">
        <v>335</v>
      </c>
      <c r="F1395" s="537" t="s">
        <v>1455</v>
      </c>
      <c r="G1395" s="537">
        <v>1516</v>
      </c>
      <c r="H1395" s="537" t="s">
        <v>629</v>
      </c>
      <c r="I1395" s="568" t="s">
        <v>1513</v>
      </c>
      <c r="J1395" s="567" t="s">
        <v>1606</v>
      </c>
      <c r="K1395" s="964" t="s">
        <v>1607</v>
      </c>
      <c r="L1395" s="563" t="str">
        <f t="shared" ca="1" si="224"/>
        <v/>
      </c>
      <c r="M1395" s="535" t="s">
        <v>1608</v>
      </c>
      <c r="N1395" s="563" t="str">
        <f t="shared" ca="1" si="225"/>
        <v/>
      </c>
      <c r="O1395" s="535" t="s">
        <v>1609</v>
      </c>
      <c r="P1395" s="563" t="str">
        <f t="shared" ca="1" si="226"/>
        <v/>
      </c>
      <c r="Q1395" s="535" t="s">
        <v>1610</v>
      </c>
      <c r="R1395" s="535" t="str">
        <f t="shared" si="232"/>
        <v>H1395</v>
      </c>
      <c r="S1395" s="535" t="s">
        <v>1611</v>
      </c>
      <c r="T1395" s="535">
        <v>6</v>
      </c>
      <c r="U1395" s="564" t="str">
        <f t="shared" ca="1" si="222"/>
        <v/>
      </c>
      <c r="V1395" s="535">
        <v>7</v>
      </c>
      <c r="W1395" s="564" t="str">
        <f t="shared" ca="1" si="223"/>
        <v/>
      </c>
      <c r="X1395" s="535" t="s">
        <v>198</v>
      </c>
      <c r="Y1395" s="565" t="str">
        <f t="shared" ca="1" si="227"/>
        <v/>
      </c>
      <c r="Z1395" s="535" t="s">
        <v>1612</v>
      </c>
      <c r="AA1395" s="565" t="str">
        <f t="shared" ca="1" si="228"/>
        <v/>
      </c>
      <c r="AB1395" s="535" t="s">
        <v>1613</v>
      </c>
      <c r="AC1395" s="565" t="str">
        <f t="shared" ca="1" si="229"/>
        <v/>
      </c>
      <c r="AD1395" s="557"/>
      <c r="AE1395" s="567"/>
    </row>
    <row r="1396" spans="1:31" ht="15" customHeight="1">
      <c r="A1396" s="957">
        <v>105</v>
      </c>
      <c r="B1396" s="566" t="s">
        <v>536</v>
      </c>
      <c r="C1396" s="567" t="s">
        <v>1595</v>
      </c>
      <c r="D1396" s="958">
        <v>1.3</v>
      </c>
      <c r="E1396" s="562" t="s">
        <v>335</v>
      </c>
      <c r="F1396" s="537" t="s">
        <v>1455</v>
      </c>
      <c r="G1396" s="537">
        <v>1517</v>
      </c>
      <c r="H1396" s="537" t="s">
        <v>1627</v>
      </c>
      <c r="I1396" s="568" t="s">
        <v>1628</v>
      </c>
      <c r="J1396" s="567" t="s">
        <v>1606</v>
      </c>
      <c r="K1396" s="964" t="s">
        <v>1607</v>
      </c>
      <c r="L1396" s="563" t="str">
        <f t="shared" ca="1" si="224"/>
        <v/>
      </c>
      <c r="M1396" s="535" t="s">
        <v>1608</v>
      </c>
      <c r="N1396" s="563" t="str">
        <f t="shared" ca="1" si="225"/>
        <v/>
      </c>
      <c r="O1396" s="535" t="s">
        <v>1609</v>
      </c>
      <c r="P1396" s="563" t="str">
        <f t="shared" ca="1" si="226"/>
        <v/>
      </c>
      <c r="Q1396" s="535" t="s">
        <v>1610</v>
      </c>
      <c r="R1396" s="535" t="str">
        <f t="shared" si="232"/>
        <v>H1396</v>
      </c>
      <c r="S1396" s="535" t="s">
        <v>1611</v>
      </c>
      <c r="T1396" s="535">
        <v>6</v>
      </c>
      <c r="U1396" s="564" t="str">
        <f t="shared" ca="1" si="222"/>
        <v/>
      </c>
      <c r="V1396" s="535">
        <v>7</v>
      </c>
      <c r="W1396" s="564" t="str">
        <f t="shared" ca="1" si="223"/>
        <v/>
      </c>
      <c r="X1396" s="535" t="s">
        <v>198</v>
      </c>
      <c r="Y1396" s="565" t="str">
        <f t="shared" ca="1" si="227"/>
        <v/>
      </c>
      <c r="Z1396" s="535" t="s">
        <v>1612</v>
      </c>
      <c r="AA1396" s="565" t="str">
        <f t="shared" ca="1" si="228"/>
        <v/>
      </c>
      <c r="AB1396" s="535" t="s">
        <v>1613</v>
      </c>
      <c r="AC1396" s="565" t="str">
        <f t="shared" ca="1" si="229"/>
        <v/>
      </c>
      <c r="AD1396" s="557"/>
      <c r="AE1396" s="567"/>
    </row>
    <row r="1397" spans="1:31" ht="15" customHeight="1">
      <c r="A1397" s="957">
        <v>105</v>
      </c>
      <c r="B1397" s="566" t="s">
        <v>536</v>
      </c>
      <c r="C1397" s="567" t="s">
        <v>1595</v>
      </c>
      <c r="D1397" s="958">
        <v>1.3</v>
      </c>
      <c r="E1397" s="562" t="s">
        <v>335</v>
      </c>
      <c r="F1397" s="537" t="s">
        <v>1455</v>
      </c>
      <c r="G1397" s="537">
        <v>1519</v>
      </c>
      <c r="H1397" s="537" t="s">
        <v>630</v>
      </c>
      <c r="I1397" s="568" t="s">
        <v>631</v>
      </c>
      <c r="J1397" s="567" t="s">
        <v>1606</v>
      </c>
      <c r="K1397" s="964" t="s">
        <v>1607</v>
      </c>
      <c r="L1397" s="563" t="str">
        <f t="shared" ca="1" si="224"/>
        <v/>
      </c>
      <c r="M1397" s="535" t="s">
        <v>1608</v>
      </c>
      <c r="N1397" s="563" t="str">
        <f t="shared" ca="1" si="225"/>
        <v/>
      </c>
      <c r="O1397" s="535" t="s">
        <v>1609</v>
      </c>
      <c r="P1397" s="563" t="str">
        <f t="shared" ca="1" si="226"/>
        <v/>
      </c>
      <c r="Q1397" s="535" t="s">
        <v>1610</v>
      </c>
      <c r="R1397" s="535" t="str">
        <f t="shared" si="232"/>
        <v>H1397</v>
      </c>
      <c r="S1397" s="535" t="s">
        <v>1611</v>
      </c>
      <c r="T1397" s="535">
        <v>6</v>
      </c>
      <c r="U1397" s="564" t="str">
        <f t="shared" ca="1" si="222"/>
        <v/>
      </c>
      <c r="V1397" s="535">
        <v>7</v>
      </c>
      <c r="W1397" s="564" t="str">
        <f t="shared" ca="1" si="223"/>
        <v/>
      </c>
      <c r="X1397" s="535" t="s">
        <v>198</v>
      </c>
      <c r="Y1397" s="565" t="str">
        <f t="shared" ca="1" si="227"/>
        <v/>
      </c>
      <c r="Z1397" s="535" t="s">
        <v>1612</v>
      </c>
      <c r="AA1397" s="565" t="str">
        <f t="shared" ca="1" si="228"/>
        <v/>
      </c>
      <c r="AB1397" s="535" t="s">
        <v>1613</v>
      </c>
      <c r="AC1397" s="565" t="str">
        <f t="shared" ca="1" si="229"/>
        <v/>
      </c>
      <c r="AD1397" s="557"/>
      <c r="AE1397" s="567"/>
    </row>
    <row r="1398" spans="1:31" ht="15" customHeight="1">
      <c r="A1398" s="957">
        <v>105</v>
      </c>
      <c r="B1398" s="566" t="s">
        <v>536</v>
      </c>
      <c r="C1398" s="567" t="s">
        <v>1595</v>
      </c>
      <c r="D1398" s="958">
        <v>1.3</v>
      </c>
      <c r="E1398" s="562" t="s">
        <v>335</v>
      </c>
      <c r="F1398" s="537" t="s">
        <v>1455</v>
      </c>
      <c r="G1398" s="537">
        <v>1520</v>
      </c>
      <c r="H1398" s="537" t="s">
        <v>632</v>
      </c>
      <c r="I1398" s="568" t="s">
        <v>619</v>
      </c>
      <c r="J1398" s="567" t="s">
        <v>1606</v>
      </c>
      <c r="K1398" s="964" t="s">
        <v>1607</v>
      </c>
      <c r="L1398" s="563" t="str">
        <f t="shared" ca="1" si="224"/>
        <v/>
      </c>
      <c r="M1398" s="535" t="s">
        <v>1608</v>
      </c>
      <c r="N1398" s="563" t="str">
        <f t="shared" ca="1" si="225"/>
        <v/>
      </c>
      <c r="O1398" s="535" t="s">
        <v>1609</v>
      </c>
      <c r="P1398" s="563" t="str">
        <f t="shared" ca="1" si="226"/>
        <v/>
      </c>
      <c r="Q1398" s="535" t="s">
        <v>1610</v>
      </c>
      <c r="R1398" s="535" t="str">
        <f t="shared" si="232"/>
        <v>H1398</v>
      </c>
      <c r="S1398" s="535" t="s">
        <v>1611</v>
      </c>
      <c r="T1398" s="535">
        <v>6</v>
      </c>
      <c r="U1398" s="564" t="str">
        <f t="shared" ca="1" si="222"/>
        <v/>
      </c>
      <c r="V1398" s="535">
        <v>7</v>
      </c>
      <c r="W1398" s="564" t="str">
        <f t="shared" ca="1" si="223"/>
        <v/>
      </c>
      <c r="X1398" s="535" t="s">
        <v>198</v>
      </c>
      <c r="Y1398" s="565" t="str">
        <f t="shared" ca="1" si="227"/>
        <v/>
      </c>
      <c r="Z1398" s="535" t="s">
        <v>1612</v>
      </c>
      <c r="AA1398" s="565" t="str">
        <f t="shared" ca="1" si="228"/>
        <v/>
      </c>
      <c r="AB1398" s="535" t="s">
        <v>1613</v>
      </c>
      <c r="AC1398" s="565" t="str">
        <f t="shared" ca="1" si="229"/>
        <v/>
      </c>
      <c r="AD1398" s="557"/>
      <c r="AE1398" s="567"/>
    </row>
    <row r="1399" spans="1:31" ht="15" customHeight="1">
      <c r="A1399" s="957">
        <v>105</v>
      </c>
      <c r="B1399" s="566" t="s">
        <v>536</v>
      </c>
      <c r="C1399" s="567" t="s">
        <v>1595</v>
      </c>
      <c r="D1399" s="958">
        <v>1.3</v>
      </c>
      <c r="E1399" s="562" t="s">
        <v>335</v>
      </c>
      <c r="F1399" s="537" t="s">
        <v>1455</v>
      </c>
      <c r="G1399" s="537">
        <v>1521</v>
      </c>
      <c r="H1399" s="537" t="s">
        <v>633</v>
      </c>
      <c r="I1399" s="568" t="s">
        <v>1507</v>
      </c>
      <c r="J1399" s="567" t="s">
        <v>1606</v>
      </c>
      <c r="K1399" s="964" t="s">
        <v>1607</v>
      </c>
      <c r="L1399" s="563" t="str">
        <f t="shared" ca="1" si="224"/>
        <v/>
      </c>
      <c r="M1399" s="535" t="s">
        <v>1608</v>
      </c>
      <c r="N1399" s="563" t="str">
        <f t="shared" ca="1" si="225"/>
        <v/>
      </c>
      <c r="O1399" s="535" t="s">
        <v>1609</v>
      </c>
      <c r="P1399" s="563" t="str">
        <f t="shared" ca="1" si="226"/>
        <v/>
      </c>
      <c r="Q1399" s="535" t="s">
        <v>1610</v>
      </c>
      <c r="R1399" s="535" t="str">
        <f t="shared" si="232"/>
        <v>H1399</v>
      </c>
      <c r="S1399" s="535" t="s">
        <v>1611</v>
      </c>
      <c r="T1399" s="535">
        <v>6</v>
      </c>
      <c r="U1399" s="564" t="str">
        <f t="shared" ca="1" si="222"/>
        <v/>
      </c>
      <c r="V1399" s="535">
        <v>7</v>
      </c>
      <c r="W1399" s="564" t="str">
        <f t="shared" ca="1" si="223"/>
        <v/>
      </c>
      <c r="X1399" s="535" t="s">
        <v>198</v>
      </c>
      <c r="Y1399" s="565" t="str">
        <f t="shared" ca="1" si="227"/>
        <v/>
      </c>
      <c r="Z1399" s="535" t="s">
        <v>1612</v>
      </c>
      <c r="AA1399" s="565" t="str">
        <f t="shared" ca="1" si="228"/>
        <v/>
      </c>
      <c r="AB1399" s="535" t="s">
        <v>1613</v>
      </c>
      <c r="AC1399" s="565" t="str">
        <f t="shared" ca="1" si="229"/>
        <v/>
      </c>
      <c r="AD1399" s="557"/>
      <c r="AE1399" s="567"/>
    </row>
    <row r="1400" spans="1:31" ht="15" customHeight="1">
      <c r="A1400" s="957">
        <v>105</v>
      </c>
      <c r="B1400" s="566" t="s">
        <v>536</v>
      </c>
      <c r="C1400" s="567" t="s">
        <v>1595</v>
      </c>
      <c r="D1400" s="958">
        <v>1.3</v>
      </c>
      <c r="E1400" s="562" t="s">
        <v>335</v>
      </c>
      <c r="F1400" s="537" t="s">
        <v>1455</v>
      </c>
      <c r="G1400" s="537">
        <v>1525</v>
      </c>
      <c r="H1400" s="537" t="s">
        <v>634</v>
      </c>
      <c r="I1400" s="568" t="s">
        <v>635</v>
      </c>
      <c r="J1400" s="567" t="s">
        <v>1606</v>
      </c>
      <c r="K1400" s="964" t="s">
        <v>1607</v>
      </c>
      <c r="L1400" s="563" t="str">
        <f t="shared" ca="1" si="224"/>
        <v/>
      </c>
      <c r="M1400" s="535" t="s">
        <v>1608</v>
      </c>
      <c r="N1400" s="563" t="str">
        <f t="shared" ca="1" si="225"/>
        <v/>
      </c>
      <c r="O1400" s="535" t="s">
        <v>1609</v>
      </c>
      <c r="P1400" s="563" t="str">
        <f t="shared" ca="1" si="226"/>
        <v/>
      </c>
      <c r="Q1400" s="535" t="s">
        <v>1610</v>
      </c>
      <c r="R1400" s="535" t="str">
        <f t="shared" si="232"/>
        <v>H1400</v>
      </c>
      <c r="S1400" s="535" t="s">
        <v>1611</v>
      </c>
      <c r="T1400" s="535">
        <v>6</v>
      </c>
      <c r="U1400" s="564" t="str">
        <f t="shared" ca="1" si="222"/>
        <v/>
      </c>
      <c r="V1400" s="535">
        <v>7</v>
      </c>
      <c r="W1400" s="564" t="str">
        <f t="shared" ca="1" si="223"/>
        <v/>
      </c>
      <c r="X1400" s="535" t="s">
        <v>198</v>
      </c>
      <c r="Y1400" s="565" t="str">
        <f t="shared" ca="1" si="227"/>
        <v/>
      </c>
      <c r="Z1400" s="535" t="s">
        <v>1612</v>
      </c>
      <c r="AA1400" s="565" t="str">
        <f t="shared" ca="1" si="228"/>
        <v/>
      </c>
      <c r="AB1400" s="535" t="s">
        <v>1613</v>
      </c>
      <c r="AC1400" s="565" t="str">
        <f t="shared" ca="1" si="229"/>
        <v/>
      </c>
      <c r="AD1400" s="557"/>
      <c r="AE1400" s="567"/>
    </row>
    <row r="1401" spans="1:31" ht="15" customHeight="1">
      <c r="A1401" s="957">
        <v>105</v>
      </c>
      <c r="B1401" s="566" t="s">
        <v>536</v>
      </c>
      <c r="C1401" s="567" t="s">
        <v>1595</v>
      </c>
      <c r="D1401" s="958">
        <v>1.3</v>
      </c>
      <c r="E1401" s="562" t="s">
        <v>335</v>
      </c>
      <c r="F1401" s="537" t="s">
        <v>1455</v>
      </c>
      <c r="G1401" s="537">
        <v>1526</v>
      </c>
      <c r="H1401" s="537" t="s">
        <v>636</v>
      </c>
      <c r="I1401" s="568" t="s">
        <v>1629</v>
      </c>
      <c r="J1401" s="567" t="s">
        <v>1606</v>
      </c>
      <c r="K1401" s="964" t="s">
        <v>1607</v>
      </c>
      <c r="L1401" s="563" t="str">
        <f t="shared" ca="1" si="224"/>
        <v/>
      </c>
      <c r="M1401" s="535" t="s">
        <v>1608</v>
      </c>
      <c r="N1401" s="563" t="str">
        <f t="shared" ca="1" si="225"/>
        <v/>
      </c>
      <c r="O1401" s="535" t="s">
        <v>1609</v>
      </c>
      <c r="P1401" s="563" t="str">
        <f t="shared" ca="1" si="226"/>
        <v/>
      </c>
      <c r="Q1401" s="535" t="s">
        <v>1610</v>
      </c>
      <c r="R1401" s="535" t="str">
        <f t="shared" si="232"/>
        <v>H1401</v>
      </c>
      <c r="S1401" s="535" t="s">
        <v>1611</v>
      </c>
      <c r="T1401" s="535">
        <v>6</v>
      </c>
      <c r="U1401" s="564" t="str">
        <f t="shared" ca="1" si="222"/>
        <v/>
      </c>
      <c r="V1401" s="535">
        <v>7</v>
      </c>
      <c r="W1401" s="564" t="str">
        <f t="shared" ca="1" si="223"/>
        <v/>
      </c>
      <c r="X1401" s="535" t="s">
        <v>198</v>
      </c>
      <c r="Y1401" s="565" t="str">
        <f t="shared" ca="1" si="227"/>
        <v/>
      </c>
      <c r="Z1401" s="535" t="s">
        <v>1612</v>
      </c>
      <c r="AA1401" s="565" t="str">
        <f t="shared" ca="1" si="228"/>
        <v/>
      </c>
      <c r="AB1401" s="535" t="s">
        <v>1613</v>
      </c>
      <c r="AC1401" s="565" t="str">
        <f t="shared" ca="1" si="229"/>
        <v/>
      </c>
      <c r="AD1401" s="557"/>
      <c r="AE1401" s="567"/>
    </row>
    <row r="1402" spans="1:31" ht="15" customHeight="1">
      <c r="A1402" s="957">
        <v>105</v>
      </c>
      <c r="B1402" s="566" t="s">
        <v>536</v>
      </c>
      <c r="C1402" s="567" t="s">
        <v>1595</v>
      </c>
      <c r="D1402" s="958">
        <v>1.3</v>
      </c>
      <c r="E1402" s="562" t="s">
        <v>335</v>
      </c>
      <c r="F1402" s="537" t="s">
        <v>1455</v>
      </c>
      <c r="G1402" s="537">
        <v>1527</v>
      </c>
      <c r="H1402" s="537" t="s">
        <v>638</v>
      </c>
      <c r="I1402" s="568" t="s">
        <v>1630</v>
      </c>
      <c r="J1402" s="567" t="s">
        <v>1606</v>
      </c>
      <c r="K1402" s="964" t="s">
        <v>1607</v>
      </c>
      <c r="L1402" s="563" t="str">
        <f t="shared" ca="1" si="224"/>
        <v/>
      </c>
      <c r="M1402" s="535" t="s">
        <v>1608</v>
      </c>
      <c r="N1402" s="563" t="str">
        <f t="shared" ca="1" si="225"/>
        <v/>
      </c>
      <c r="O1402" s="535" t="s">
        <v>1609</v>
      </c>
      <c r="P1402" s="563" t="str">
        <f t="shared" ca="1" si="226"/>
        <v/>
      </c>
      <c r="Q1402" s="535" t="s">
        <v>1610</v>
      </c>
      <c r="R1402" s="535" t="str">
        <f t="shared" si="232"/>
        <v>H1402</v>
      </c>
      <c r="S1402" s="535" t="s">
        <v>1611</v>
      </c>
      <c r="T1402" s="535">
        <v>6</v>
      </c>
      <c r="U1402" s="564" t="str">
        <f t="shared" ca="1" si="222"/>
        <v/>
      </c>
      <c r="V1402" s="535">
        <v>7</v>
      </c>
      <c r="W1402" s="564" t="str">
        <f t="shared" ca="1" si="223"/>
        <v/>
      </c>
      <c r="X1402" s="535" t="s">
        <v>198</v>
      </c>
      <c r="Y1402" s="565" t="str">
        <f t="shared" ca="1" si="227"/>
        <v/>
      </c>
      <c r="Z1402" s="535" t="s">
        <v>1612</v>
      </c>
      <c r="AA1402" s="565" t="str">
        <f t="shared" ca="1" si="228"/>
        <v/>
      </c>
      <c r="AB1402" s="535" t="s">
        <v>1613</v>
      </c>
      <c r="AC1402" s="565" t="str">
        <f t="shared" ca="1" si="229"/>
        <v/>
      </c>
      <c r="AD1402" s="557"/>
      <c r="AE1402" s="567"/>
    </row>
    <row r="1403" spans="1:31" ht="15" customHeight="1">
      <c r="A1403" s="957">
        <v>105</v>
      </c>
      <c r="B1403" s="566" t="s">
        <v>536</v>
      </c>
      <c r="C1403" s="567" t="s">
        <v>1595</v>
      </c>
      <c r="D1403" s="958">
        <v>1.3</v>
      </c>
      <c r="E1403" s="562" t="s">
        <v>335</v>
      </c>
      <c r="F1403" s="537" t="s">
        <v>1455</v>
      </c>
      <c r="G1403" s="537">
        <v>1528</v>
      </c>
      <c r="H1403" s="537" t="s">
        <v>1631</v>
      </c>
      <c r="I1403" s="568" t="s">
        <v>1628</v>
      </c>
      <c r="J1403" s="567" t="s">
        <v>1606</v>
      </c>
      <c r="K1403" s="964" t="s">
        <v>1607</v>
      </c>
      <c r="L1403" s="563" t="str">
        <f t="shared" ca="1" si="224"/>
        <v/>
      </c>
      <c r="M1403" s="535" t="s">
        <v>1608</v>
      </c>
      <c r="N1403" s="563" t="str">
        <f t="shared" ca="1" si="225"/>
        <v/>
      </c>
      <c r="O1403" s="535" t="s">
        <v>1609</v>
      </c>
      <c r="P1403" s="563" t="str">
        <f t="shared" ca="1" si="226"/>
        <v/>
      </c>
      <c r="Q1403" s="535" t="s">
        <v>1610</v>
      </c>
      <c r="R1403" s="535" t="str">
        <f t="shared" si="232"/>
        <v>H1403</v>
      </c>
      <c r="S1403" s="535" t="s">
        <v>1611</v>
      </c>
      <c r="T1403" s="535">
        <v>6</v>
      </c>
      <c r="U1403" s="564" t="str">
        <f t="shared" ca="1" si="222"/>
        <v/>
      </c>
      <c r="V1403" s="535">
        <v>7</v>
      </c>
      <c r="W1403" s="564" t="str">
        <f t="shared" ca="1" si="223"/>
        <v/>
      </c>
      <c r="X1403" s="535" t="s">
        <v>198</v>
      </c>
      <c r="Y1403" s="565" t="str">
        <f t="shared" ca="1" si="227"/>
        <v/>
      </c>
      <c r="Z1403" s="535" t="s">
        <v>1612</v>
      </c>
      <c r="AA1403" s="565" t="str">
        <f t="shared" ca="1" si="228"/>
        <v/>
      </c>
      <c r="AB1403" s="535" t="s">
        <v>1613</v>
      </c>
      <c r="AC1403" s="565" t="str">
        <f t="shared" ca="1" si="229"/>
        <v/>
      </c>
      <c r="AD1403" s="557"/>
      <c r="AE1403" s="567"/>
    </row>
    <row r="1404" spans="1:31" ht="15" customHeight="1">
      <c r="A1404" s="957">
        <v>105</v>
      </c>
      <c r="B1404" s="566" t="s">
        <v>536</v>
      </c>
      <c r="C1404" s="567" t="s">
        <v>1595</v>
      </c>
      <c r="D1404" s="958">
        <v>1.3</v>
      </c>
      <c r="E1404" s="562" t="s">
        <v>335</v>
      </c>
      <c r="F1404" s="537" t="s">
        <v>1455</v>
      </c>
      <c r="G1404" s="537">
        <v>1530</v>
      </c>
      <c r="H1404" s="537" t="s">
        <v>639</v>
      </c>
      <c r="I1404" s="568" t="s">
        <v>640</v>
      </c>
      <c r="J1404" s="567" t="s">
        <v>1606</v>
      </c>
      <c r="K1404" s="964" t="s">
        <v>1607</v>
      </c>
      <c r="L1404" s="563" t="str">
        <f t="shared" ca="1" si="224"/>
        <v/>
      </c>
      <c r="M1404" s="535" t="s">
        <v>1608</v>
      </c>
      <c r="N1404" s="563" t="str">
        <f t="shared" ca="1" si="225"/>
        <v/>
      </c>
      <c r="O1404" s="535" t="s">
        <v>1609</v>
      </c>
      <c r="P1404" s="563" t="str">
        <f t="shared" ca="1" si="226"/>
        <v/>
      </c>
      <c r="Q1404" s="535" t="s">
        <v>1610</v>
      </c>
      <c r="R1404" s="535" t="str">
        <f t="shared" si="232"/>
        <v>H1404</v>
      </c>
      <c r="S1404" s="535" t="s">
        <v>1611</v>
      </c>
      <c r="T1404" s="535">
        <v>6</v>
      </c>
      <c r="U1404" s="564" t="str">
        <f t="shared" ca="1" si="222"/>
        <v/>
      </c>
      <c r="V1404" s="535">
        <v>7</v>
      </c>
      <c r="W1404" s="564" t="str">
        <f t="shared" ca="1" si="223"/>
        <v/>
      </c>
      <c r="X1404" s="535" t="s">
        <v>198</v>
      </c>
      <c r="Y1404" s="565" t="str">
        <f t="shared" ca="1" si="227"/>
        <v/>
      </c>
      <c r="Z1404" s="535" t="s">
        <v>1612</v>
      </c>
      <c r="AA1404" s="565" t="str">
        <f t="shared" ca="1" si="228"/>
        <v/>
      </c>
      <c r="AB1404" s="535" t="s">
        <v>1613</v>
      </c>
      <c r="AC1404" s="565" t="str">
        <f t="shared" ca="1" si="229"/>
        <v/>
      </c>
      <c r="AD1404" s="557"/>
      <c r="AE1404" s="567"/>
    </row>
    <row r="1405" spans="1:31" ht="15" customHeight="1">
      <c r="A1405" s="957">
        <v>105</v>
      </c>
      <c r="B1405" s="566" t="s">
        <v>536</v>
      </c>
      <c r="C1405" s="567" t="s">
        <v>1595</v>
      </c>
      <c r="D1405" s="958">
        <v>1.3</v>
      </c>
      <c r="E1405" s="562" t="s">
        <v>335</v>
      </c>
      <c r="F1405" s="537" t="s">
        <v>1455</v>
      </c>
      <c r="G1405" s="537">
        <v>1531</v>
      </c>
      <c r="H1405" s="537" t="s">
        <v>641</v>
      </c>
      <c r="I1405" s="568" t="s">
        <v>1632</v>
      </c>
      <c r="J1405" s="567" t="s">
        <v>1606</v>
      </c>
      <c r="K1405" s="964" t="s">
        <v>1607</v>
      </c>
      <c r="L1405" s="563" t="str">
        <f t="shared" ca="1" si="224"/>
        <v/>
      </c>
      <c r="M1405" s="535" t="s">
        <v>1608</v>
      </c>
      <c r="N1405" s="563" t="str">
        <f t="shared" ca="1" si="225"/>
        <v/>
      </c>
      <c r="O1405" s="535" t="s">
        <v>1609</v>
      </c>
      <c r="P1405" s="563" t="str">
        <f t="shared" ca="1" si="226"/>
        <v/>
      </c>
      <c r="Q1405" s="535" t="s">
        <v>1610</v>
      </c>
      <c r="R1405" s="535" t="str">
        <f t="shared" si="232"/>
        <v>H1405</v>
      </c>
      <c r="S1405" s="535" t="s">
        <v>1611</v>
      </c>
      <c r="T1405" s="535">
        <v>6</v>
      </c>
      <c r="U1405" s="564" t="str">
        <f t="shared" ca="1" si="222"/>
        <v/>
      </c>
      <c r="V1405" s="535">
        <v>7</v>
      </c>
      <c r="W1405" s="564" t="str">
        <f t="shared" ca="1" si="223"/>
        <v/>
      </c>
      <c r="X1405" s="535" t="s">
        <v>198</v>
      </c>
      <c r="Y1405" s="565" t="str">
        <f t="shared" ca="1" si="227"/>
        <v/>
      </c>
      <c r="Z1405" s="535" t="s">
        <v>1612</v>
      </c>
      <c r="AA1405" s="565" t="str">
        <f t="shared" ca="1" si="228"/>
        <v/>
      </c>
      <c r="AB1405" s="535" t="s">
        <v>1613</v>
      </c>
      <c r="AC1405" s="565" t="str">
        <f t="shared" ca="1" si="229"/>
        <v/>
      </c>
      <c r="AD1405" s="557"/>
      <c r="AE1405" s="567"/>
    </row>
    <row r="1406" spans="1:31" ht="15" customHeight="1">
      <c r="A1406" s="957">
        <v>105</v>
      </c>
      <c r="B1406" s="566" t="s">
        <v>536</v>
      </c>
      <c r="C1406" s="567" t="s">
        <v>1595</v>
      </c>
      <c r="D1406" s="958">
        <v>1.3</v>
      </c>
      <c r="E1406" s="562" t="s">
        <v>335</v>
      </c>
      <c r="F1406" s="537" t="s">
        <v>1455</v>
      </c>
      <c r="G1406" s="537">
        <v>1532</v>
      </c>
      <c r="H1406" s="537" t="s">
        <v>1633</v>
      </c>
      <c r="I1406" s="568" t="s">
        <v>1628</v>
      </c>
      <c r="J1406" s="567" t="s">
        <v>1606</v>
      </c>
      <c r="K1406" s="964" t="s">
        <v>1607</v>
      </c>
      <c r="L1406" s="563" t="str">
        <f t="shared" ca="1" si="224"/>
        <v/>
      </c>
      <c r="M1406" s="535" t="s">
        <v>1608</v>
      </c>
      <c r="N1406" s="563" t="str">
        <f t="shared" ca="1" si="225"/>
        <v/>
      </c>
      <c r="O1406" s="535" t="s">
        <v>1609</v>
      </c>
      <c r="P1406" s="563" t="str">
        <f t="shared" ca="1" si="226"/>
        <v/>
      </c>
      <c r="Q1406" s="535" t="s">
        <v>1610</v>
      </c>
      <c r="R1406" s="535" t="str">
        <f t="shared" si="232"/>
        <v>H1406</v>
      </c>
      <c r="S1406" s="535" t="s">
        <v>1611</v>
      </c>
      <c r="T1406" s="535">
        <v>6</v>
      </c>
      <c r="U1406" s="564" t="str">
        <f t="shared" ca="1" si="222"/>
        <v/>
      </c>
      <c r="V1406" s="535">
        <v>7</v>
      </c>
      <c r="W1406" s="564" t="str">
        <f t="shared" ca="1" si="223"/>
        <v/>
      </c>
      <c r="X1406" s="535" t="s">
        <v>198</v>
      </c>
      <c r="Y1406" s="565" t="str">
        <f t="shared" ca="1" si="227"/>
        <v/>
      </c>
      <c r="Z1406" s="535" t="s">
        <v>1612</v>
      </c>
      <c r="AA1406" s="565" t="str">
        <f t="shared" ca="1" si="228"/>
        <v/>
      </c>
      <c r="AB1406" s="535" t="s">
        <v>1613</v>
      </c>
      <c r="AC1406" s="565" t="str">
        <f t="shared" ca="1" si="229"/>
        <v/>
      </c>
      <c r="AD1406" s="557"/>
      <c r="AE1406" s="567"/>
    </row>
    <row r="1407" spans="1:31" ht="15" customHeight="1">
      <c r="A1407" s="957">
        <v>105</v>
      </c>
      <c r="B1407" s="566" t="s">
        <v>536</v>
      </c>
      <c r="C1407" s="567" t="s">
        <v>1595</v>
      </c>
      <c r="D1407" s="958">
        <v>1.3</v>
      </c>
      <c r="E1407" s="562" t="s">
        <v>335</v>
      </c>
      <c r="F1407" s="537" t="s">
        <v>1455</v>
      </c>
      <c r="G1407" s="537">
        <v>1534</v>
      </c>
      <c r="H1407" s="537" t="s">
        <v>642</v>
      </c>
      <c r="I1407" s="568" t="s">
        <v>1634</v>
      </c>
      <c r="J1407" s="567" t="s">
        <v>1606</v>
      </c>
      <c r="K1407" s="964" t="s">
        <v>1607</v>
      </c>
      <c r="L1407" s="563" t="str">
        <f t="shared" ca="1" si="224"/>
        <v/>
      </c>
      <c r="M1407" s="535" t="s">
        <v>1608</v>
      </c>
      <c r="N1407" s="563" t="str">
        <f t="shared" ca="1" si="225"/>
        <v/>
      </c>
      <c r="O1407" s="535" t="s">
        <v>1609</v>
      </c>
      <c r="P1407" s="563" t="str">
        <f t="shared" ca="1" si="226"/>
        <v/>
      </c>
      <c r="Q1407" s="535" t="s">
        <v>1610</v>
      </c>
      <c r="R1407" s="535" t="str">
        <f t="shared" si="232"/>
        <v>H1407</v>
      </c>
      <c r="S1407" s="535" t="s">
        <v>1611</v>
      </c>
      <c r="T1407" s="535">
        <v>6</v>
      </c>
      <c r="U1407" s="564" t="str">
        <f t="shared" ref="U1407:U1470" ca="1" si="233">IF(AND($B1407=INDIRECT(CONCATENATE($J1407,$K1407,5)),ISBLANK(INDEX(INDIRECT(CONCATENATE($J1407,$Q1407)),MATCH(INDIRECT($R1407),INDIRECT(CONCATENATE($J1407,$S1407)),0),T1407))=FALSE),INDEX(INDIRECT(CONCATENATE($J1407,$Q1407)),MATCH(INDIRECT($R1407),INDIRECT(CONCATENATE($J1407,$S1407)),0),T1407),"")</f>
        <v/>
      </c>
      <c r="V1407" s="535">
        <v>7</v>
      </c>
      <c r="W1407" s="564" t="str">
        <f t="shared" ref="W1407:W1470" ca="1" si="234">IF(AND($B1407=INDIRECT(CONCATENATE($J1407,$K1407,5)),ISBLANK(INDEX(INDIRECT(CONCATENATE($J1407,$Q1407)),MATCH(INDIRECT($R1407),INDIRECT(CONCATENATE($J1407,$S1407)),0),V1407))=FALSE),INDEX(INDIRECT(CONCATENATE($J1407,$Q1407)),MATCH(INDIRECT($R1407),INDIRECT(CONCATENATE($J1407,$S1407)),0),V1407),"")</f>
        <v/>
      </c>
      <c r="X1407" s="535" t="s">
        <v>198</v>
      </c>
      <c r="Y1407" s="565" t="str">
        <f t="shared" ca="1" si="227"/>
        <v/>
      </c>
      <c r="Z1407" s="535" t="s">
        <v>1612</v>
      </c>
      <c r="AA1407" s="565" t="str">
        <f t="shared" ca="1" si="228"/>
        <v/>
      </c>
      <c r="AB1407" s="535" t="s">
        <v>1613</v>
      </c>
      <c r="AC1407" s="565" t="str">
        <f t="shared" ca="1" si="229"/>
        <v/>
      </c>
      <c r="AD1407" s="557"/>
      <c r="AE1407" s="567"/>
    </row>
    <row r="1408" spans="1:31" ht="15" customHeight="1">
      <c r="A1408" s="957">
        <v>105</v>
      </c>
      <c r="B1408" s="566" t="s">
        <v>536</v>
      </c>
      <c r="C1408" s="567" t="s">
        <v>1595</v>
      </c>
      <c r="D1408" s="958">
        <v>1.3</v>
      </c>
      <c r="E1408" s="562" t="s">
        <v>335</v>
      </c>
      <c r="F1408" s="537" t="s">
        <v>1455</v>
      </c>
      <c r="G1408" s="537">
        <v>1535</v>
      </c>
      <c r="H1408" s="537" t="s">
        <v>643</v>
      </c>
      <c r="I1408" s="568" t="s">
        <v>1549</v>
      </c>
      <c r="J1408" s="567" t="s">
        <v>1606</v>
      </c>
      <c r="K1408" s="964" t="s">
        <v>1607</v>
      </c>
      <c r="L1408" s="563" t="str">
        <f t="shared" ca="1" si="224"/>
        <v/>
      </c>
      <c r="M1408" s="535" t="s">
        <v>1608</v>
      </c>
      <c r="N1408" s="563" t="str">
        <f t="shared" ca="1" si="225"/>
        <v/>
      </c>
      <c r="O1408" s="535" t="s">
        <v>1609</v>
      </c>
      <c r="P1408" s="563" t="str">
        <f t="shared" ca="1" si="226"/>
        <v/>
      </c>
      <c r="Q1408" s="535" t="s">
        <v>1610</v>
      </c>
      <c r="R1408" s="535" t="str">
        <f t="shared" si="232"/>
        <v>H1408</v>
      </c>
      <c r="S1408" s="535" t="s">
        <v>1611</v>
      </c>
      <c r="T1408" s="535">
        <v>6</v>
      </c>
      <c r="U1408" s="564" t="str">
        <f t="shared" ca="1" si="233"/>
        <v/>
      </c>
      <c r="V1408" s="535">
        <v>7</v>
      </c>
      <c r="W1408" s="564" t="str">
        <f t="shared" ca="1" si="234"/>
        <v/>
      </c>
      <c r="X1408" s="535" t="s">
        <v>198</v>
      </c>
      <c r="Y1408" s="565" t="str">
        <f t="shared" ca="1" si="227"/>
        <v/>
      </c>
      <c r="Z1408" s="535" t="s">
        <v>1612</v>
      </c>
      <c r="AA1408" s="565" t="str">
        <f t="shared" ca="1" si="228"/>
        <v/>
      </c>
      <c r="AB1408" s="535" t="s">
        <v>1613</v>
      </c>
      <c r="AC1408" s="565" t="str">
        <f t="shared" ca="1" si="229"/>
        <v/>
      </c>
      <c r="AD1408" s="557"/>
      <c r="AE1408" s="567"/>
    </row>
    <row r="1409" spans="1:31" ht="15" customHeight="1">
      <c r="A1409" s="957">
        <v>105</v>
      </c>
      <c r="B1409" s="566" t="s">
        <v>536</v>
      </c>
      <c r="C1409" s="567" t="s">
        <v>1595</v>
      </c>
      <c r="D1409" s="958">
        <v>1.3</v>
      </c>
      <c r="E1409" s="562" t="s">
        <v>335</v>
      </c>
      <c r="F1409" s="537" t="s">
        <v>1455</v>
      </c>
      <c r="G1409" s="537">
        <v>1536</v>
      </c>
      <c r="H1409" s="537" t="s">
        <v>1635</v>
      </c>
      <c r="I1409" s="568" t="s">
        <v>1628</v>
      </c>
      <c r="J1409" s="567" t="s">
        <v>1606</v>
      </c>
      <c r="K1409" s="964" t="s">
        <v>1607</v>
      </c>
      <c r="L1409" s="563" t="str">
        <f t="shared" ca="1" si="224"/>
        <v/>
      </c>
      <c r="M1409" s="535" t="s">
        <v>1608</v>
      </c>
      <c r="N1409" s="563" t="str">
        <f t="shared" ca="1" si="225"/>
        <v/>
      </c>
      <c r="O1409" s="535" t="s">
        <v>1609</v>
      </c>
      <c r="P1409" s="563" t="str">
        <f t="shared" ca="1" si="226"/>
        <v/>
      </c>
      <c r="Q1409" s="535" t="s">
        <v>1610</v>
      </c>
      <c r="R1409" s="535" t="str">
        <f t="shared" si="232"/>
        <v>H1409</v>
      </c>
      <c r="S1409" s="535" t="s">
        <v>1611</v>
      </c>
      <c r="T1409" s="535">
        <v>6</v>
      </c>
      <c r="U1409" s="564" t="str">
        <f t="shared" ca="1" si="233"/>
        <v/>
      </c>
      <c r="V1409" s="535">
        <v>7</v>
      </c>
      <c r="W1409" s="564" t="str">
        <f t="shared" ca="1" si="234"/>
        <v/>
      </c>
      <c r="X1409" s="535" t="s">
        <v>198</v>
      </c>
      <c r="Y1409" s="565" t="str">
        <f t="shared" ca="1" si="227"/>
        <v/>
      </c>
      <c r="Z1409" s="535" t="s">
        <v>1612</v>
      </c>
      <c r="AA1409" s="565" t="str">
        <f t="shared" ca="1" si="228"/>
        <v/>
      </c>
      <c r="AB1409" s="535" t="s">
        <v>1613</v>
      </c>
      <c r="AC1409" s="565" t="str">
        <f t="shared" ca="1" si="229"/>
        <v/>
      </c>
      <c r="AD1409" s="557"/>
      <c r="AE1409" s="567"/>
    </row>
    <row r="1410" spans="1:31" ht="15" customHeight="1">
      <c r="A1410" s="957">
        <v>105</v>
      </c>
      <c r="B1410" s="566" t="s">
        <v>536</v>
      </c>
      <c r="C1410" s="567" t="s">
        <v>1595</v>
      </c>
      <c r="D1410" s="958">
        <v>1.3</v>
      </c>
      <c r="E1410" s="562" t="s">
        <v>335</v>
      </c>
      <c r="F1410" s="537" t="s">
        <v>1455</v>
      </c>
      <c r="G1410" s="537">
        <v>1537</v>
      </c>
      <c r="H1410" s="537" t="s">
        <v>1636</v>
      </c>
      <c r="I1410" s="568" t="s">
        <v>1552</v>
      </c>
      <c r="J1410" s="567" t="s">
        <v>1606</v>
      </c>
      <c r="K1410" s="964" t="s">
        <v>1607</v>
      </c>
      <c r="L1410" s="563" t="str">
        <f t="shared" ref="L1410:L1473" ca="1" si="235">IF(AND(INDIRECT(CONCATENATE($J1410,$K1410,5))=$B1410,ISNUMBER(SEARCH("Please",INDIRECT(CONCATENATE($J1410,$K1410,2)),1))=FALSE),SUMPRODUCT(MID(0&amp;INDIRECT(CONCATENATE($J1410,$K1410,2)), LARGE(INDEX(ISNUMBER(--MID(INDIRECT(CONCATENATE($J1410,$K1410,2)), ROW(INDIRECT("1:"&amp;LEN(INDIRECT(CONCATENATE($J1410,$K1410,2))))),1))*ROW(INDIRECT("1:"&amp;LEN(INDIRECT(CONCATENATE($J1410,$K1410,2))))),0), ROW(INDIRECT("1:"&amp;LEN(INDIRECT(CONCATENATE($J1410,$K1410,2))))))+1,1)*10^ROW(INDIRECT("1:"&amp;LEN(INDIRECT(CONCATENATE($J1410,$K1410,2)))))/10),"")</f>
        <v/>
      </c>
      <c r="M1410" s="535" t="s">
        <v>1608</v>
      </c>
      <c r="N1410" s="563" t="str">
        <f t="shared" ref="N1410:N1473" ca="1" si="236">IF(AND(INDIRECT(CONCATENATE($J1410,$K1410,5))=$B1410,ISNUMBER(SEARCH("Select",INDIRECT(CONCATENATE($J1410,$M1410,6)),1))=FALSE),INDIRECT(CONCATENATE($J1410,$M1410,6)),"")</f>
        <v/>
      </c>
      <c r="O1410" s="535" t="s">
        <v>1609</v>
      </c>
      <c r="P1410" s="563" t="str">
        <f t="shared" ref="P1410:P1473" ca="1" si="237">IF(AND(INDIRECT(CONCATENATE($J1410,$K1410,5))=$B1410,ISNUMBER(SEARCH("Select",INDIRECT(CONCATENATE($J1410,$O1410,6)),1))=FALSE),INDIRECT(CONCATENATE($J1410,$O1410,6)),"")</f>
        <v/>
      </c>
      <c r="Q1410" s="535" t="s">
        <v>1610</v>
      </c>
      <c r="R1410" s="535" t="str">
        <f t="shared" si="232"/>
        <v>H1410</v>
      </c>
      <c r="S1410" s="535" t="s">
        <v>1611</v>
      </c>
      <c r="T1410" s="535">
        <v>6</v>
      </c>
      <c r="U1410" s="564" t="str">
        <f t="shared" ca="1" si="233"/>
        <v/>
      </c>
      <c r="V1410" s="535">
        <v>7</v>
      </c>
      <c r="W1410" s="564" t="str">
        <f t="shared" ca="1" si="234"/>
        <v/>
      </c>
      <c r="X1410" s="535" t="s">
        <v>198</v>
      </c>
      <c r="Y1410" s="565" t="str">
        <f t="shared" ref="Y1410:Y1473" ca="1" si="238">IF(AND(INDIRECT(CONCATENATE($J1410,$K1410,5))=$B1410,ISBLANK(INDIRECT(CONCATENATE($J1410,X1410)))=FALSE),INDIRECT(CONCATENATE($J1410,X1410)),"")</f>
        <v/>
      </c>
      <c r="Z1410" s="535" t="s">
        <v>1612</v>
      </c>
      <c r="AA1410" s="565" t="str">
        <f t="shared" ref="AA1410:AA1473" ca="1" si="239">IF(AND(INDIRECT(CONCATENATE($J1410,$K1410,"5"))=$B1410,ISBLANK(INDIRECT(CONCATENATE($J1410,Z1410)))=FALSE),INDIRECT(CONCATENATE($J1410,Z1410)),"")</f>
        <v/>
      </c>
      <c r="AB1410" s="535" t="s">
        <v>1613</v>
      </c>
      <c r="AC1410" s="565" t="str">
        <f t="shared" ref="AC1410:AC1473" ca="1" si="240">IF(AND(INDIRECT(CONCATENATE($J1410,$K1410,"5"))=$B1410,ISBLANK(INDIRECT(CONCATENATE($J1410,AB1410)))=FALSE),INDIRECT(CONCATENATE($J1410,AB1410)),"")</f>
        <v/>
      </c>
      <c r="AD1410" s="557"/>
      <c r="AE1410" s="567"/>
    </row>
    <row r="1411" spans="1:31" ht="15" customHeight="1">
      <c r="A1411" s="957">
        <v>105</v>
      </c>
      <c r="B1411" s="566" t="s">
        <v>536</v>
      </c>
      <c r="C1411" s="567" t="s">
        <v>1595</v>
      </c>
      <c r="D1411" s="958">
        <v>1.3</v>
      </c>
      <c r="E1411" s="562" t="s">
        <v>345</v>
      </c>
      <c r="F1411" s="537" t="s">
        <v>1484</v>
      </c>
      <c r="G1411" s="537">
        <v>1539</v>
      </c>
      <c r="H1411" s="537" t="s">
        <v>611</v>
      </c>
      <c r="I1411" s="568" t="s">
        <v>265</v>
      </c>
      <c r="J1411" s="567" t="s">
        <v>1606</v>
      </c>
      <c r="K1411" s="964" t="s">
        <v>1607</v>
      </c>
      <c r="L1411" s="563" t="str">
        <f t="shared" ca="1" si="235"/>
        <v/>
      </c>
      <c r="M1411" s="535" t="s">
        <v>1608</v>
      </c>
      <c r="N1411" s="563" t="str">
        <f t="shared" ca="1" si="236"/>
        <v/>
      </c>
      <c r="O1411" s="535" t="s">
        <v>1609</v>
      </c>
      <c r="P1411" s="563" t="str">
        <f t="shared" ca="1" si="237"/>
        <v/>
      </c>
      <c r="Q1411" s="535" t="s">
        <v>1610</v>
      </c>
      <c r="R1411" s="535" t="str">
        <f t="shared" si="232"/>
        <v>H1411</v>
      </c>
      <c r="S1411" s="535" t="s">
        <v>1611</v>
      </c>
      <c r="T1411" s="535">
        <v>6</v>
      </c>
      <c r="U1411" s="564" t="str">
        <f t="shared" ca="1" si="233"/>
        <v/>
      </c>
      <c r="V1411" s="535">
        <v>7</v>
      </c>
      <c r="W1411" s="564" t="str">
        <f t="shared" ca="1" si="234"/>
        <v/>
      </c>
      <c r="X1411" s="535" t="s">
        <v>198</v>
      </c>
      <c r="Y1411" s="565" t="str">
        <f t="shared" ca="1" si="238"/>
        <v/>
      </c>
      <c r="Z1411" s="535" t="s">
        <v>1612</v>
      </c>
      <c r="AA1411" s="565" t="str">
        <f t="shared" ca="1" si="239"/>
        <v/>
      </c>
      <c r="AB1411" s="535" t="s">
        <v>1613</v>
      </c>
      <c r="AC1411" s="565" t="str">
        <f t="shared" ca="1" si="240"/>
        <v/>
      </c>
      <c r="AD1411" s="557"/>
      <c r="AE1411" s="567"/>
    </row>
    <row r="1412" spans="1:31" ht="15" customHeight="1">
      <c r="A1412" s="957">
        <v>105</v>
      </c>
      <c r="B1412" s="566" t="s">
        <v>536</v>
      </c>
      <c r="C1412" s="567" t="s">
        <v>1595</v>
      </c>
      <c r="D1412" s="958">
        <v>1.3</v>
      </c>
      <c r="E1412" s="562" t="s">
        <v>345</v>
      </c>
      <c r="F1412" s="537" t="s">
        <v>1484</v>
      </c>
      <c r="G1412" s="537">
        <v>1541</v>
      </c>
      <c r="H1412" s="537" t="s">
        <v>467</v>
      </c>
      <c r="I1412" s="568" t="s">
        <v>1559</v>
      </c>
      <c r="J1412" s="567" t="s">
        <v>1606</v>
      </c>
      <c r="K1412" s="964" t="s">
        <v>1607</v>
      </c>
      <c r="L1412" s="563" t="str">
        <f t="shared" ca="1" si="235"/>
        <v/>
      </c>
      <c r="M1412" s="535" t="s">
        <v>1608</v>
      </c>
      <c r="N1412" s="563" t="str">
        <f t="shared" ca="1" si="236"/>
        <v/>
      </c>
      <c r="O1412" s="535" t="s">
        <v>1609</v>
      </c>
      <c r="P1412" s="563" t="str">
        <f t="shared" ca="1" si="237"/>
        <v/>
      </c>
      <c r="Q1412" s="535" t="s">
        <v>1610</v>
      </c>
      <c r="R1412" s="535" t="str">
        <f t="shared" si="232"/>
        <v>H1412</v>
      </c>
      <c r="S1412" s="535" t="s">
        <v>1611</v>
      </c>
      <c r="T1412" s="535">
        <v>6</v>
      </c>
      <c r="U1412" s="564" t="str">
        <f t="shared" ca="1" si="233"/>
        <v/>
      </c>
      <c r="V1412" s="535">
        <v>7</v>
      </c>
      <c r="W1412" s="564" t="str">
        <f t="shared" ca="1" si="234"/>
        <v/>
      </c>
      <c r="X1412" s="535" t="s">
        <v>198</v>
      </c>
      <c r="Y1412" s="565" t="str">
        <f t="shared" ca="1" si="238"/>
        <v/>
      </c>
      <c r="Z1412" s="535" t="s">
        <v>1612</v>
      </c>
      <c r="AA1412" s="565" t="str">
        <f t="shared" ca="1" si="239"/>
        <v/>
      </c>
      <c r="AB1412" s="535" t="s">
        <v>1613</v>
      </c>
      <c r="AC1412" s="565" t="str">
        <f t="shared" ca="1" si="240"/>
        <v/>
      </c>
      <c r="AD1412" s="557"/>
      <c r="AE1412" s="567"/>
    </row>
    <row r="1413" spans="1:31" ht="15" customHeight="1">
      <c r="A1413" s="957">
        <v>105</v>
      </c>
      <c r="B1413" s="566" t="s">
        <v>536</v>
      </c>
      <c r="C1413" s="567" t="s">
        <v>1595</v>
      </c>
      <c r="D1413" s="958">
        <v>1.3</v>
      </c>
      <c r="E1413" s="562" t="s">
        <v>345</v>
      </c>
      <c r="F1413" s="537" t="s">
        <v>1484</v>
      </c>
      <c r="G1413" s="537">
        <v>1542</v>
      </c>
      <c r="H1413" s="537" t="s">
        <v>470</v>
      </c>
      <c r="I1413" s="568" t="s">
        <v>350</v>
      </c>
      <c r="J1413" s="567" t="s">
        <v>1606</v>
      </c>
      <c r="K1413" s="964" t="s">
        <v>1607</v>
      </c>
      <c r="L1413" s="563" t="str">
        <f t="shared" ca="1" si="235"/>
        <v/>
      </c>
      <c r="M1413" s="535" t="s">
        <v>1608</v>
      </c>
      <c r="N1413" s="563" t="str">
        <f t="shared" ca="1" si="236"/>
        <v/>
      </c>
      <c r="O1413" s="535" t="s">
        <v>1609</v>
      </c>
      <c r="P1413" s="563" t="str">
        <f t="shared" ca="1" si="237"/>
        <v/>
      </c>
      <c r="Q1413" s="535" t="s">
        <v>1610</v>
      </c>
      <c r="R1413" s="535" t="str">
        <f t="shared" si="232"/>
        <v>H1413</v>
      </c>
      <c r="S1413" s="535" t="s">
        <v>1611</v>
      </c>
      <c r="T1413" s="535">
        <v>6</v>
      </c>
      <c r="U1413" s="564" t="str">
        <f t="shared" ca="1" si="233"/>
        <v/>
      </c>
      <c r="V1413" s="535">
        <v>7</v>
      </c>
      <c r="W1413" s="564" t="str">
        <f t="shared" ca="1" si="234"/>
        <v/>
      </c>
      <c r="X1413" s="535" t="s">
        <v>198</v>
      </c>
      <c r="Y1413" s="565" t="str">
        <f t="shared" ca="1" si="238"/>
        <v/>
      </c>
      <c r="Z1413" s="535" t="s">
        <v>1612</v>
      </c>
      <c r="AA1413" s="565" t="str">
        <f t="shared" ca="1" si="239"/>
        <v/>
      </c>
      <c r="AB1413" s="535" t="s">
        <v>1613</v>
      </c>
      <c r="AC1413" s="565" t="str">
        <f t="shared" ca="1" si="240"/>
        <v/>
      </c>
      <c r="AD1413" s="557"/>
      <c r="AE1413" s="567"/>
    </row>
    <row r="1414" spans="1:31" ht="15" customHeight="1">
      <c r="A1414" s="957">
        <v>105</v>
      </c>
      <c r="B1414" s="566" t="s">
        <v>536</v>
      </c>
      <c r="C1414" s="567" t="s">
        <v>1595</v>
      </c>
      <c r="D1414" s="958">
        <v>1.3</v>
      </c>
      <c r="E1414" s="562" t="s">
        <v>345</v>
      </c>
      <c r="F1414" s="537" t="s">
        <v>1484</v>
      </c>
      <c r="G1414" s="537">
        <v>1547</v>
      </c>
      <c r="H1414" s="537" t="s">
        <v>472</v>
      </c>
      <c r="I1414" s="568" t="s">
        <v>351</v>
      </c>
      <c r="J1414" s="567" t="s">
        <v>1606</v>
      </c>
      <c r="K1414" s="964" t="s">
        <v>1607</v>
      </c>
      <c r="L1414" s="563" t="str">
        <f t="shared" ca="1" si="235"/>
        <v/>
      </c>
      <c r="M1414" s="535" t="s">
        <v>1608</v>
      </c>
      <c r="N1414" s="563" t="str">
        <f t="shared" ca="1" si="236"/>
        <v/>
      </c>
      <c r="O1414" s="535" t="s">
        <v>1609</v>
      </c>
      <c r="P1414" s="563" t="str">
        <f t="shared" ca="1" si="237"/>
        <v/>
      </c>
      <c r="Q1414" s="535" t="s">
        <v>1610</v>
      </c>
      <c r="R1414" s="535" t="str">
        <f t="shared" si="232"/>
        <v>H1414</v>
      </c>
      <c r="S1414" s="535" t="s">
        <v>1611</v>
      </c>
      <c r="T1414" s="535">
        <v>6</v>
      </c>
      <c r="U1414" s="564" t="str">
        <f t="shared" ca="1" si="233"/>
        <v/>
      </c>
      <c r="V1414" s="535">
        <v>7</v>
      </c>
      <c r="W1414" s="564" t="str">
        <f t="shared" ca="1" si="234"/>
        <v/>
      </c>
      <c r="X1414" s="535" t="s">
        <v>198</v>
      </c>
      <c r="Y1414" s="565" t="str">
        <f t="shared" ca="1" si="238"/>
        <v/>
      </c>
      <c r="Z1414" s="535" t="s">
        <v>1612</v>
      </c>
      <c r="AA1414" s="565" t="str">
        <f t="shared" ca="1" si="239"/>
        <v/>
      </c>
      <c r="AB1414" s="535" t="s">
        <v>1613</v>
      </c>
      <c r="AC1414" s="565" t="str">
        <f t="shared" ca="1" si="240"/>
        <v/>
      </c>
      <c r="AD1414" s="557"/>
      <c r="AE1414" s="567"/>
    </row>
    <row r="1415" spans="1:31" ht="15" customHeight="1">
      <c r="A1415" s="957">
        <v>105</v>
      </c>
      <c r="B1415" s="566" t="s">
        <v>536</v>
      </c>
      <c r="C1415" s="567" t="s">
        <v>1595</v>
      </c>
      <c r="D1415" s="958">
        <v>1.3</v>
      </c>
      <c r="E1415" s="562" t="s">
        <v>345</v>
      </c>
      <c r="F1415" s="537" t="s">
        <v>1484</v>
      </c>
      <c r="G1415" s="537">
        <v>1548</v>
      </c>
      <c r="H1415" s="537" t="s">
        <v>474</v>
      </c>
      <c r="I1415" s="568" t="s">
        <v>352</v>
      </c>
      <c r="J1415" s="567" t="s">
        <v>1606</v>
      </c>
      <c r="K1415" s="964" t="s">
        <v>1607</v>
      </c>
      <c r="L1415" s="563" t="str">
        <f t="shared" ca="1" si="235"/>
        <v/>
      </c>
      <c r="M1415" s="535" t="s">
        <v>1608</v>
      </c>
      <c r="N1415" s="563" t="str">
        <f t="shared" ca="1" si="236"/>
        <v/>
      </c>
      <c r="O1415" s="535" t="s">
        <v>1609</v>
      </c>
      <c r="P1415" s="563" t="str">
        <f t="shared" ca="1" si="237"/>
        <v/>
      </c>
      <c r="Q1415" s="535" t="s">
        <v>1610</v>
      </c>
      <c r="R1415" s="535" t="str">
        <f t="shared" ref="R1415:R1433" si="241">CONCATENATE("H",ROW(J1415))</f>
        <v>H1415</v>
      </c>
      <c r="S1415" s="535" t="s">
        <v>1611</v>
      </c>
      <c r="T1415" s="535">
        <v>6</v>
      </c>
      <c r="U1415" s="564" t="str">
        <f t="shared" ca="1" si="233"/>
        <v/>
      </c>
      <c r="V1415" s="535">
        <v>7</v>
      </c>
      <c r="W1415" s="564" t="str">
        <f t="shared" ca="1" si="234"/>
        <v/>
      </c>
      <c r="X1415" s="535" t="s">
        <v>198</v>
      </c>
      <c r="Y1415" s="565" t="str">
        <f t="shared" ca="1" si="238"/>
        <v/>
      </c>
      <c r="Z1415" s="535" t="s">
        <v>1612</v>
      </c>
      <c r="AA1415" s="565" t="str">
        <f t="shared" ca="1" si="239"/>
        <v/>
      </c>
      <c r="AB1415" s="535" t="s">
        <v>1613</v>
      </c>
      <c r="AC1415" s="565" t="str">
        <f t="shared" ca="1" si="240"/>
        <v/>
      </c>
      <c r="AD1415" s="557"/>
      <c r="AE1415" s="567"/>
    </row>
    <row r="1416" spans="1:31" ht="15" customHeight="1">
      <c r="A1416" s="957">
        <v>105</v>
      </c>
      <c r="B1416" s="566" t="s">
        <v>536</v>
      </c>
      <c r="C1416" s="567" t="s">
        <v>1595</v>
      </c>
      <c r="D1416" s="958">
        <v>1.3</v>
      </c>
      <c r="E1416" s="562" t="s">
        <v>353</v>
      </c>
      <c r="F1416" s="537" t="s">
        <v>1486</v>
      </c>
      <c r="G1416" s="537">
        <v>1552</v>
      </c>
      <c r="H1416" s="537" t="s">
        <v>355</v>
      </c>
      <c r="I1416" s="568" t="s">
        <v>265</v>
      </c>
      <c r="J1416" s="567" t="s">
        <v>1606</v>
      </c>
      <c r="K1416" s="964" t="s">
        <v>1607</v>
      </c>
      <c r="L1416" s="563" t="str">
        <f t="shared" ca="1" si="235"/>
        <v/>
      </c>
      <c r="M1416" s="535" t="s">
        <v>1608</v>
      </c>
      <c r="N1416" s="563" t="str">
        <f t="shared" ca="1" si="236"/>
        <v/>
      </c>
      <c r="O1416" s="535" t="s">
        <v>1609</v>
      </c>
      <c r="P1416" s="563" t="str">
        <f t="shared" ca="1" si="237"/>
        <v/>
      </c>
      <c r="Q1416" s="535" t="s">
        <v>1610</v>
      </c>
      <c r="R1416" s="535" t="str">
        <f t="shared" si="241"/>
        <v>H1416</v>
      </c>
      <c r="S1416" s="535" t="s">
        <v>1611</v>
      </c>
      <c r="T1416" s="535">
        <v>6</v>
      </c>
      <c r="U1416" s="564" t="str">
        <f t="shared" ca="1" si="233"/>
        <v/>
      </c>
      <c r="V1416" s="535">
        <v>7</v>
      </c>
      <c r="W1416" s="564" t="str">
        <f t="shared" ca="1" si="234"/>
        <v/>
      </c>
      <c r="X1416" s="535" t="s">
        <v>198</v>
      </c>
      <c r="Y1416" s="565" t="str">
        <f t="shared" ca="1" si="238"/>
        <v/>
      </c>
      <c r="Z1416" s="535" t="s">
        <v>1612</v>
      </c>
      <c r="AA1416" s="565" t="str">
        <f t="shared" ca="1" si="239"/>
        <v/>
      </c>
      <c r="AB1416" s="535" t="s">
        <v>1613</v>
      </c>
      <c r="AC1416" s="565" t="str">
        <f t="shared" ca="1" si="240"/>
        <v/>
      </c>
      <c r="AD1416" s="557"/>
      <c r="AE1416" s="567"/>
    </row>
    <row r="1417" spans="1:31" ht="15" customHeight="1">
      <c r="A1417" s="957">
        <v>105</v>
      </c>
      <c r="B1417" s="566" t="s">
        <v>536</v>
      </c>
      <c r="C1417" s="567" t="s">
        <v>1595</v>
      </c>
      <c r="D1417" s="958">
        <v>1.3</v>
      </c>
      <c r="E1417" s="562" t="s">
        <v>353</v>
      </c>
      <c r="F1417" s="537" t="s">
        <v>1486</v>
      </c>
      <c r="G1417" s="537">
        <v>1554</v>
      </c>
      <c r="H1417" s="537" t="s">
        <v>357</v>
      </c>
      <c r="I1417" s="568" t="s">
        <v>358</v>
      </c>
      <c r="J1417" s="567" t="s">
        <v>1606</v>
      </c>
      <c r="K1417" s="964" t="s">
        <v>1607</v>
      </c>
      <c r="L1417" s="563" t="str">
        <f t="shared" ca="1" si="235"/>
        <v/>
      </c>
      <c r="M1417" s="535" t="s">
        <v>1608</v>
      </c>
      <c r="N1417" s="563" t="str">
        <f t="shared" ca="1" si="236"/>
        <v/>
      </c>
      <c r="O1417" s="535" t="s">
        <v>1609</v>
      </c>
      <c r="P1417" s="563" t="str">
        <f t="shared" ca="1" si="237"/>
        <v/>
      </c>
      <c r="Q1417" s="535" t="s">
        <v>1610</v>
      </c>
      <c r="R1417" s="535" t="str">
        <f t="shared" si="241"/>
        <v>H1417</v>
      </c>
      <c r="S1417" s="535" t="s">
        <v>1611</v>
      </c>
      <c r="T1417" s="535">
        <v>6</v>
      </c>
      <c r="U1417" s="564" t="str">
        <f t="shared" ca="1" si="233"/>
        <v/>
      </c>
      <c r="V1417" s="535">
        <v>7</v>
      </c>
      <c r="W1417" s="564" t="str">
        <f t="shared" ca="1" si="234"/>
        <v/>
      </c>
      <c r="X1417" s="535" t="s">
        <v>198</v>
      </c>
      <c r="Y1417" s="565" t="str">
        <f t="shared" ca="1" si="238"/>
        <v/>
      </c>
      <c r="Z1417" s="535" t="s">
        <v>1612</v>
      </c>
      <c r="AA1417" s="565" t="str">
        <f t="shared" ca="1" si="239"/>
        <v/>
      </c>
      <c r="AB1417" s="535" t="s">
        <v>1613</v>
      </c>
      <c r="AC1417" s="565" t="str">
        <f t="shared" ca="1" si="240"/>
        <v/>
      </c>
      <c r="AD1417" s="557"/>
      <c r="AE1417" s="567"/>
    </row>
    <row r="1418" spans="1:31" ht="15" customHeight="1">
      <c r="A1418" s="957">
        <v>105</v>
      </c>
      <c r="B1418" s="566" t="s">
        <v>536</v>
      </c>
      <c r="C1418" s="567" t="s">
        <v>1595</v>
      </c>
      <c r="D1418" s="958">
        <v>1.3</v>
      </c>
      <c r="E1418" s="562" t="s">
        <v>353</v>
      </c>
      <c r="F1418" s="537" t="s">
        <v>1486</v>
      </c>
      <c r="G1418" s="537">
        <v>1555</v>
      </c>
      <c r="H1418" s="537" t="s">
        <v>359</v>
      </c>
      <c r="I1418" s="568" t="s">
        <v>582</v>
      </c>
      <c r="J1418" s="567" t="s">
        <v>1606</v>
      </c>
      <c r="K1418" s="964" t="s">
        <v>1607</v>
      </c>
      <c r="L1418" s="563" t="str">
        <f t="shared" ca="1" si="235"/>
        <v/>
      </c>
      <c r="M1418" s="535" t="s">
        <v>1608</v>
      </c>
      <c r="N1418" s="563" t="str">
        <f t="shared" ca="1" si="236"/>
        <v/>
      </c>
      <c r="O1418" s="535" t="s">
        <v>1609</v>
      </c>
      <c r="P1418" s="563" t="str">
        <f t="shared" ca="1" si="237"/>
        <v/>
      </c>
      <c r="Q1418" s="535" t="s">
        <v>1610</v>
      </c>
      <c r="R1418" s="535" t="str">
        <f t="shared" si="241"/>
        <v>H1418</v>
      </c>
      <c r="S1418" s="535" t="s">
        <v>1611</v>
      </c>
      <c r="T1418" s="535">
        <v>6</v>
      </c>
      <c r="U1418" s="564" t="str">
        <f t="shared" ca="1" si="233"/>
        <v/>
      </c>
      <c r="V1418" s="535">
        <v>7</v>
      </c>
      <c r="W1418" s="564" t="str">
        <f t="shared" ca="1" si="234"/>
        <v/>
      </c>
      <c r="X1418" s="535" t="s">
        <v>198</v>
      </c>
      <c r="Y1418" s="565" t="str">
        <f t="shared" ca="1" si="238"/>
        <v/>
      </c>
      <c r="Z1418" s="535" t="s">
        <v>1612</v>
      </c>
      <c r="AA1418" s="565" t="str">
        <f t="shared" ca="1" si="239"/>
        <v/>
      </c>
      <c r="AB1418" s="535" t="s">
        <v>1613</v>
      </c>
      <c r="AC1418" s="565" t="str">
        <f t="shared" ca="1" si="240"/>
        <v/>
      </c>
      <c r="AD1418" s="557"/>
      <c r="AE1418" s="567"/>
    </row>
    <row r="1419" spans="1:31" ht="15" customHeight="1">
      <c r="A1419" s="957">
        <v>105</v>
      </c>
      <c r="B1419" s="566" t="s">
        <v>536</v>
      </c>
      <c r="C1419" s="567" t="s">
        <v>1595</v>
      </c>
      <c r="D1419" s="958">
        <v>1.3</v>
      </c>
      <c r="E1419" s="562" t="s">
        <v>353</v>
      </c>
      <c r="F1419" s="537" t="s">
        <v>1486</v>
      </c>
      <c r="G1419" s="537">
        <v>1556</v>
      </c>
      <c r="H1419" s="537" t="s">
        <v>361</v>
      </c>
      <c r="I1419" s="568" t="s">
        <v>583</v>
      </c>
      <c r="J1419" s="567" t="s">
        <v>1606</v>
      </c>
      <c r="K1419" s="964" t="s">
        <v>1607</v>
      </c>
      <c r="L1419" s="563" t="str">
        <f t="shared" ca="1" si="235"/>
        <v/>
      </c>
      <c r="M1419" s="535" t="s">
        <v>1608</v>
      </c>
      <c r="N1419" s="563" t="str">
        <f t="shared" ca="1" si="236"/>
        <v/>
      </c>
      <c r="O1419" s="535" t="s">
        <v>1609</v>
      </c>
      <c r="P1419" s="563" t="str">
        <f t="shared" ca="1" si="237"/>
        <v/>
      </c>
      <c r="Q1419" s="535" t="s">
        <v>1610</v>
      </c>
      <c r="R1419" s="535" t="str">
        <f t="shared" si="241"/>
        <v>H1419</v>
      </c>
      <c r="S1419" s="535" t="s">
        <v>1611</v>
      </c>
      <c r="T1419" s="535">
        <v>6</v>
      </c>
      <c r="U1419" s="564" t="str">
        <f t="shared" ca="1" si="233"/>
        <v/>
      </c>
      <c r="V1419" s="535">
        <v>7</v>
      </c>
      <c r="W1419" s="564" t="str">
        <f t="shared" ca="1" si="234"/>
        <v/>
      </c>
      <c r="X1419" s="535" t="s">
        <v>198</v>
      </c>
      <c r="Y1419" s="565" t="str">
        <f t="shared" ca="1" si="238"/>
        <v/>
      </c>
      <c r="Z1419" s="535" t="s">
        <v>1612</v>
      </c>
      <c r="AA1419" s="565" t="str">
        <f t="shared" ca="1" si="239"/>
        <v/>
      </c>
      <c r="AB1419" s="535" t="s">
        <v>1613</v>
      </c>
      <c r="AC1419" s="565" t="str">
        <f t="shared" ca="1" si="240"/>
        <v/>
      </c>
      <c r="AD1419" s="557"/>
      <c r="AE1419" s="567"/>
    </row>
    <row r="1420" spans="1:31" ht="15" customHeight="1">
      <c r="A1420" s="957">
        <v>105</v>
      </c>
      <c r="B1420" s="566" t="s">
        <v>536</v>
      </c>
      <c r="C1420" s="567" t="s">
        <v>1595</v>
      </c>
      <c r="D1420" s="958">
        <v>1.3</v>
      </c>
      <c r="E1420" s="562" t="s">
        <v>353</v>
      </c>
      <c r="F1420" s="537" t="s">
        <v>1486</v>
      </c>
      <c r="G1420" s="537">
        <v>1557</v>
      </c>
      <c r="H1420" s="537" t="s">
        <v>363</v>
      </c>
      <c r="I1420" s="568" t="s">
        <v>584</v>
      </c>
      <c r="J1420" s="567" t="s">
        <v>1606</v>
      </c>
      <c r="K1420" s="964" t="s">
        <v>1607</v>
      </c>
      <c r="L1420" s="563" t="str">
        <f t="shared" ca="1" si="235"/>
        <v/>
      </c>
      <c r="M1420" s="535" t="s">
        <v>1608</v>
      </c>
      <c r="N1420" s="563" t="str">
        <f t="shared" ca="1" si="236"/>
        <v/>
      </c>
      <c r="O1420" s="535" t="s">
        <v>1609</v>
      </c>
      <c r="P1420" s="563" t="str">
        <f t="shared" ca="1" si="237"/>
        <v/>
      </c>
      <c r="Q1420" s="535" t="s">
        <v>1610</v>
      </c>
      <c r="R1420" s="535" t="str">
        <f t="shared" si="241"/>
        <v>H1420</v>
      </c>
      <c r="S1420" s="535" t="s">
        <v>1611</v>
      </c>
      <c r="T1420" s="535">
        <v>6</v>
      </c>
      <c r="U1420" s="564" t="str">
        <f t="shared" ca="1" si="233"/>
        <v/>
      </c>
      <c r="V1420" s="535">
        <v>7</v>
      </c>
      <c r="W1420" s="564" t="str">
        <f t="shared" ca="1" si="234"/>
        <v/>
      </c>
      <c r="X1420" s="535" t="s">
        <v>198</v>
      </c>
      <c r="Y1420" s="565" t="str">
        <f t="shared" ca="1" si="238"/>
        <v/>
      </c>
      <c r="Z1420" s="535" t="s">
        <v>1612</v>
      </c>
      <c r="AA1420" s="565" t="str">
        <f t="shared" ca="1" si="239"/>
        <v/>
      </c>
      <c r="AB1420" s="535" t="s">
        <v>1613</v>
      </c>
      <c r="AC1420" s="565" t="str">
        <f t="shared" ca="1" si="240"/>
        <v/>
      </c>
      <c r="AD1420" s="557"/>
      <c r="AE1420" s="567"/>
    </row>
    <row r="1421" spans="1:31" ht="15" customHeight="1">
      <c r="A1421" s="957">
        <v>105</v>
      </c>
      <c r="B1421" s="566" t="s">
        <v>536</v>
      </c>
      <c r="C1421" s="567" t="s">
        <v>1595</v>
      </c>
      <c r="D1421" s="958">
        <v>1.3</v>
      </c>
      <c r="E1421" s="562" t="s">
        <v>367</v>
      </c>
      <c r="F1421" s="537" t="s">
        <v>1488</v>
      </c>
      <c r="G1421" s="537">
        <v>1562</v>
      </c>
      <c r="H1421" s="537">
        <v>19.100000000000001</v>
      </c>
      <c r="I1421" s="568" t="s">
        <v>371</v>
      </c>
      <c r="J1421" s="567" t="s">
        <v>1606</v>
      </c>
      <c r="K1421" s="964" t="s">
        <v>1607</v>
      </c>
      <c r="L1421" s="563" t="str">
        <f t="shared" ca="1" si="235"/>
        <v/>
      </c>
      <c r="M1421" s="535" t="s">
        <v>1608</v>
      </c>
      <c r="N1421" s="563" t="str">
        <f t="shared" ca="1" si="236"/>
        <v/>
      </c>
      <c r="O1421" s="535" t="s">
        <v>1609</v>
      </c>
      <c r="P1421" s="563" t="str">
        <f t="shared" ca="1" si="237"/>
        <v/>
      </c>
      <c r="Q1421" s="535" t="s">
        <v>1610</v>
      </c>
      <c r="R1421" s="535" t="str">
        <f t="shared" si="241"/>
        <v>H1421</v>
      </c>
      <c r="S1421" s="535" t="s">
        <v>1611</v>
      </c>
      <c r="T1421" s="535">
        <v>6</v>
      </c>
      <c r="U1421" s="564" t="str">
        <f t="shared" ca="1" si="233"/>
        <v/>
      </c>
      <c r="V1421" s="535">
        <v>7</v>
      </c>
      <c r="W1421" s="564" t="str">
        <f t="shared" ca="1" si="234"/>
        <v/>
      </c>
      <c r="X1421" s="535" t="s">
        <v>198</v>
      </c>
      <c r="Y1421" s="565" t="str">
        <f t="shared" ca="1" si="238"/>
        <v/>
      </c>
      <c r="Z1421" s="535" t="s">
        <v>1612</v>
      </c>
      <c r="AA1421" s="565" t="str">
        <f t="shared" ca="1" si="239"/>
        <v/>
      </c>
      <c r="AB1421" s="535" t="s">
        <v>1613</v>
      </c>
      <c r="AC1421" s="565" t="str">
        <f t="shared" ca="1" si="240"/>
        <v/>
      </c>
      <c r="AD1421" s="557"/>
      <c r="AE1421" s="567"/>
    </row>
    <row r="1422" spans="1:31" ht="15" customHeight="1">
      <c r="A1422" s="957">
        <v>105</v>
      </c>
      <c r="B1422" s="566" t="s">
        <v>536</v>
      </c>
      <c r="C1422" s="567" t="s">
        <v>1595</v>
      </c>
      <c r="D1422" s="958">
        <v>1.3</v>
      </c>
      <c r="E1422" s="562" t="s">
        <v>367</v>
      </c>
      <c r="F1422" s="537" t="s">
        <v>1488</v>
      </c>
      <c r="G1422" s="537">
        <v>1571</v>
      </c>
      <c r="H1422" s="537">
        <v>19.2</v>
      </c>
      <c r="I1422" s="568" t="s">
        <v>374</v>
      </c>
      <c r="J1422" s="567" t="s">
        <v>1606</v>
      </c>
      <c r="K1422" s="964" t="s">
        <v>1607</v>
      </c>
      <c r="L1422" s="563" t="str">
        <f t="shared" ca="1" si="235"/>
        <v/>
      </c>
      <c r="M1422" s="535" t="s">
        <v>1608</v>
      </c>
      <c r="N1422" s="563" t="str">
        <f t="shared" ca="1" si="236"/>
        <v/>
      </c>
      <c r="O1422" s="535" t="s">
        <v>1609</v>
      </c>
      <c r="P1422" s="563" t="str">
        <f t="shared" ca="1" si="237"/>
        <v/>
      </c>
      <c r="Q1422" s="535" t="s">
        <v>1610</v>
      </c>
      <c r="R1422" s="535" t="str">
        <f t="shared" si="241"/>
        <v>H1422</v>
      </c>
      <c r="S1422" s="535" t="s">
        <v>1611</v>
      </c>
      <c r="T1422" s="535">
        <v>6</v>
      </c>
      <c r="U1422" s="564" t="str">
        <f t="shared" ca="1" si="233"/>
        <v/>
      </c>
      <c r="V1422" s="535">
        <v>7</v>
      </c>
      <c r="W1422" s="564" t="str">
        <f t="shared" ca="1" si="234"/>
        <v/>
      </c>
      <c r="X1422" s="535" t="s">
        <v>198</v>
      </c>
      <c r="Y1422" s="565" t="str">
        <f t="shared" ca="1" si="238"/>
        <v/>
      </c>
      <c r="Z1422" s="535" t="s">
        <v>1612</v>
      </c>
      <c r="AA1422" s="565" t="str">
        <f t="shared" ca="1" si="239"/>
        <v/>
      </c>
      <c r="AB1422" s="535" t="s">
        <v>1613</v>
      </c>
      <c r="AC1422" s="565" t="str">
        <f t="shared" ca="1" si="240"/>
        <v/>
      </c>
      <c r="AD1422" s="557"/>
      <c r="AE1422" s="567"/>
    </row>
    <row r="1423" spans="1:31" ht="15" customHeight="1">
      <c r="A1423" s="957">
        <v>105</v>
      </c>
      <c r="B1423" s="566" t="s">
        <v>536</v>
      </c>
      <c r="C1423" s="567" t="s">
        <v>1595</v>
      </c>
      <c r="D1423" s="958">
        <v>1.3</v>
      </c>
      <c r="E1423" s="562" t="s">
        <v>367</v>
      </c>
      <c r="F1423" s="537" t="s">
        <v>1488</v>
      </c>
      <c r="G1423" s="537">
        <v>1577</v>
      </c>
      <c r="H1423" s="537">
        <v>20.100000000000001</v>
      </c>
      <c r="I1423" s="568" t="s">
        <v>589</v>
      </c>
      <c r="J1423" s="567" t="s">
        <v>1606</v>
      </c>
      <c r="K1423" s="964" t="s">
        <v>1607</v>
      </c>
      <c r="L1423" s="563" t="str">
        <f t="shared" ca="1" si="235"/>
        <v/>
      </c>
      <c r="M1423" s="535" t="s">
        <v>1608</v>
      </c>
      <c r="N1423" s="563" t="str">
        <f t="shared" ca="1" si="236"/>
        <v/>
      </c>
      <c r="O1423" s="535" t="s">
        <v>1609</v>
      </c>
      <c r="P1423" s="563" t="str">
        <f t="shared" ca="1" si="237"/>
        <v/>
      </c>
      <c r="Q1423" s="535" t="s">
        <v>1610</v>
      </c>
      <c r="R1423" s="535" t="str">
        <f t="shared" si="241"/>
        <v>H1423</v>
      </c>
      <c r="S1423" s="535" t="s">
        <v>1611</v>
      </c>
      <c r="T1423" s="535">
        <v>6</v>
      </c>
      <c r="U1423" s="564" t="str">
        <f t="shared" ca="1" si="233"/>
        <v/>
      </c>
      <c r="V1423" s="535">
        <v>7</v>
      </c>
      <c r="W1423" s="564" t="str">
        <f t="shared" ca="1" si="234"/>
        <v/>
      </c>
      <c r="X1423" s="535" t="s">
        <v>198</v>
      </c>
      <c r="Y1423" s="565" t="str">
        <f t="shared" ca="1" si="238"/>
        <v/>
      </c>
      <c r="Z1423" s="535" t="s">
        <v>1612</v>
      </c>
      <c r="AA1423" s="565" t="str">
        <f t="shared" ca="1" si="239"/>
        <v/>
      </c>
      <c r="AB1423" s="535" t="s">
        <v>1613</v>
      </c>
      <c r="AC1423" s="565" t="str">
        <f t="shared" ca="1" si="240"/>
        <v/>
      </c>
      <c r="AD1423" s="557"/>
      <c r="AE1423" s="567"/>
    </row>
    <row r="1424" spans="1:31" ht="15" customHeight="1">
      <c r="A1424" s="957">
        <v>105</v>
      </c>
      <c r="B1424" s="566" t="s">
        <v>536</v>
      </c>
      <c r="C1424" s="567" t="s">
        <v>1595</v>
      </c>
      <c r="D1424" s="958">
        <v>1.3</v>
      </c>
      <c r="E1424" s="562" t="s">
        <v>367</v>
      </c>
      <c r="F1424" s="537" t="s">
        <v>1488</v>
      </c>
      <c r="G1424" s="537">
        <v>1580</v>
      </c>
      <c r="H1424" s="537">
        <v>20.2</v>
      </c>
      <c r="I1424" s="568" t="s">
        <v>387</v>
      </c>
      <c r="J1424" s="567" t="s">
        <v>1606</v>
      </c>
      <c r="K1424" s="964" t="s">
        <v>1607</v>
      </c>
      <c r="L1424" s="563" t="str">
        <f t="shared" ca="1" si="235"/>
        <v/>
      </c>
      <c r="M1424" s="535" t="s">
        <v>1608</v>
      </c>
      <c r="N1424" s="563" t="str">
        <f t="shared" ca="1" si="236"/>
        <v/>
      </c>
      <c r="O1424" s="535" t="s">
        <v>1609</v>
      </c>
      <c r="P1424" s="563" t="str">
        <f t="shared" ca="1" si="237"/>
        <v/>
      </c>
      <c r="Q1424" s="535" t="s">
        <v>1610</v>
      </c>
      <c r="R1424" s="535" t="str">
        <f t="shared" si="241"/>
        <v>H1424</v>
      </c>
      <c r="S1424" s="535" t="s">
        <v>1611</v>
      </c>
      <c r="T1424" s="535">
        <v>6</v>
      </c>
      <c r="U1424" s="564" t="str">
        <f t="shared" ca="1" si="233"/>
        <v/>
      </c>
      <c r="V1424" s="535">
        <v>7</v>
      </c>
      <c r="W1424" s="564" t="str">
        <f t="shared" ca="1" si="234"/>
        <v/>
      </c>
      <c r="X1424" s="535" t="s">
        <v>198</v>
      </c>
      <c r="Y1424" s="565" t="str">
        <f t="shared" ca="1" si="238"/>
        <v/>
      </c>
      <c r="Z1424" s="535" t="s">
        <v>1612</v>
      </c>
      <c r="AA1424" s="565" t="str">
        <f t="shared" ca="1" si="239"/>
        <v/>
      </c>
      <c r="AB1424" s="535" t="s">
        <v>1613</v>
      </c>
      <c r="AC1424" s="565" t="str">
        <f t="shared" ca="1" si="240"/>
        <v/>
      </c>
      <c r="AD1424" s="557"/>
      <c r="AE1424" s="567"/>
    </row>
    <row r="1425" spans="1:31" ht="15" customHeight="1">
      <c r="A1425" s="957">
        <v>105</v>
      </c>
      <c r="B1425" s="566" t="s">
        <v>536</v>
      </c>
      <c r="C1425" s="567" t="s">
        <v>1595</v>
      </c>
      <c r="D1425" s="958">
        <v>1.3</v>
      </c>
      <c r="E1425" s="562" t="s">
        <v>367</v>
      </c>
      <c r="F1425" s="537" t="s">
        <v>1488</v>
      </c>
      <c r="G1425" s="537">
        <v>1584</v>
      </c>
      <c r="H1425" s="537">
        <v>21.1</v>
      </c>
      <c r="I1425" s="568" t="s">
        <v>390</v>
      </c>
      <c r="J1425" s="567" t="s">
        <v>1606</v>
      </c>
      <c r="K1425" s="964" t="s">
        <v>1607</v>
      </c>
      <c r="L1425" s="563" t="str">
        <f t="shared" ca="1" si="235"/>
        <v/>
      </c>
      <c r="M1425" s="535" t="s">
        <v>1608</v>
      </c>
      <c r="N1425" s="563" t="str">
        <f t="shared" ca="1" si="236"/>
        <v/>
      </c>
      <c r="O1425" s="535" t="s">
        <v>1609</v>
      </c>
      <c r="P1425" s="563" t="str">
        <f t="shared" ca="1" si="237"/>
        <v/>
      </c>
      <c r="Q1425" s="535" t="s">
        <v>1610</v>
      </c>
      <c r="R1425" s="535" t="str">
        <f t="shared" si="241"/>
        <v>H1425</v>
      </c>
      <c r="S1425" s="535" t="s">
        <v>1611</v>
      </c>
      <c r="T1425" s="535">
        <v>6</v>
      </c>
      <c r="U1425" s="564" t="str">
        <f t="shared" ca="1" si="233"/>
        <v/>
      </c>
      <c r="V1425" s="535">
        <v>7</v>
      </c>
      <c r="W1425" s="564" t="str">
        <f t="shared" ca="1" si="234"/>
        <v/>
      </c>
      <c r="X1425" s="535" t="s">
        <v>198</v>
      </c>
      <c r="Y1425" s="565" t="str">
        <f t="shared" ca="1" si="238"/>
        <v/>
      </c>
      <c r="Z1425" s="535" t="s">
        <v>1612</v>
      </c>
      <c r="AA1425" s="565" t="str">
        <f t="shared" ca="1" si="239"/>
        <v/>
      </c>
      <c r="AB1425" s="535" t="s">
        <v>1613</v>
      </c>
      <c r="AC1425" s="565" t="str">
        <f t="shared" ca="1" si="240"/>
        <v/>
      </c>
      <c r="AD1425" s="557"/>
      <c r="AE1425" s="567"/>
    </row>
    <row r="1426" spans="1:31" ht="15" customHeight="1">
      <c r="A1426" s="957">
        <v>105</v>
      </c>
      <c r="B1426" s="566" t="s">
        <v>536</v>
      </c>
      <c r="C1426" s="567" t="s">
        <v>1595</v>
      </c>
      <c r="D1426" s="958">
        <v>1.3</v>
      </c>
      <c r="E1426" s="562" t="s">
        <v>367</v>
      </c>
      <c r="F1426" s="537" t="s">
        <v>1488</v>
      </c>
      <c r="G1426" s="537">
        <v>1591</v>
      </c>
      <c r="H1426" s="537">
        <v>22</v>
      </c>
      <c r="I1426" s="568" t="s">
        <v>1637</v>
      </c>
      <c r="J1426" s="567" t="s">
        <v>1606</v>
      </c>
      <c r="K1426" s="964" t="s">
        <v>1607</v>
      </c>
      <c r="L1426" s="563" t="str">
        <f t="shared" ca="1" si="235"/>
        <v/>
      </c>
      <c r="M1426" s="535" t="s">
        <v>1608</v>
      </c>
      <c r="N1426" s="563" t="str">
        <f t="shared" ca="1" si="236"/>
        <v/>
      </c>
      <c r="O1426" s="535" t="s">
        <v>1609</v>
      </c>
      <c r="P1426" s="563" t="str">
        <f t="shared" ca="1" si="237"/>
        <v/>
      </c>
      <c r="Q1426" s="535" t="s">
        <v>1610</v>
      </c>
      <c r="R1426" s="535" t="str">
        <f t="shared" si="241"/>
        <v>H1426</v>
      </c>
      <c r="S1426" s="535" t="s">
        <v>1611</v>
      </c>
      <c r="T1426" s="535">
        <v>6</v>
      </c>
      <c r="U1426" s="564" t="str">
        <f t="shared" ca="1" si="233"/>
        <v/>
      </c>
      <c r="V1426" s="535">
        <v>7</v>
      </c>
      <c r="W1426" s="564" t="str">
        <f t="shared" ca="1" si="234"/>
        <v/>
      </c>
      <c r="X1426" s="535" t="s">
        <v>198</v>
      </c>
      <c r="Y1426" s="565" t="str">
        <f t="shared" ca="1" si="238"/>
        <v/>
      </c>
      <c r="Z1426" s="535" t="s">
        <v>1612</v>
      </c>
      <c r="AA1426" s="565" t="str">
        <f t="shared" ca="1" si="239"/>
        <v/>
      </c>
      <c r="AB1426" s="535" t="s">
        <v>1613</v>
      </c>
      <c r="AC1426" s="565" t="str">
        <f t="shared" ca="1" si="240"/>
        <v/>
      </c>
      <c r="AD1426" s="557"/>
      <c r="AE1426" s="567"/>
    </row>
    <row r="1427" spans="1:31" ht="15" customHeight="1">
      <c r="A1427" s="957">
        <v>105</v>
      </c>
      <c r="B1427" s="566" t="s">
        <v>536</v>
      </c>
      <c r="C1427" s="567" t="s">
        <v>1595</v>
      </c>
      <c r="D1427" s="958">
        <v>1.3</v>
      </c>
      <c r="E1427" s="562" t="s">
        <v>367</v>
      </c>
      <c r="F1427" s="537" t="s">
        <v>1488</v>
      </c>
      <c r="G1427" s="537">
        <v>1594</v>
      </c>
      <c r="H1427" s="537" t="s">
        <v>393</v>
      </c>
      <c r="I1427" s="568" t="s">
        <v>394</v>
      </c>
      <c r="J1427" s="567" t="s">
        <v>1606</v>
      </c>
      <c r="K1427" s="964" t="s">
        <v>1607</v>
      </c>
      <c r="L1427" s="563" t="str">
        <f t="shared" ca="1" si="235"/>
        <v/>
      </c>
      <c r="M1427" s="535" t="s">
        <v>1608</v>
      </c>
      <c r="N1427" s="563" t="str">
        <f t="shared" ca="1" si="236"/>
        <v/>
      </c>
      <c r="O1427" s="535" t="s">
        <v>1609</v>
      </c>
      <c r="P1427" s="563" t="str">
        <f t="shared" ca="1" si="237"/>
        <v/>
      </c>
      <c r="Q1427" s="535" t="s">
        <v>1610</v>
      </c>
      <c r="R1427" s="535" t="str">
        <f t="shared" si="241"/>
        <v>H1427</v>
      </c>
      <c r="S1427" s="535" t="s">
        <v>1611</v>
      </c>
      <c r="T1427" s="535">
        <v>6</v>
      </c>
      <c r="U1427" s="564" t="str">
        <f t="shared" ca="1" si="233"/>
        <v/>
      </c>
      <c r="V1427" s="535">
        <v>7</v>
      </c>
      <c r="W1427" s="564" t="str">
        <f t="shared" ca="1" si="234"/>
        <v/>
      </c>
      <c r="X1427" s="535" t="s">
        <v>198</v>
      </c>
      <c r="Y1427" s="565" t="str">
        <f t="shared" ca="1" si="238"/>
        <v/>
      </c>
      <c r="Z1427" s="535" t="s">
        <v>1612</v>
      </c>
      <c r="AA1427" s="565" t="str">
        <f t="shared" ca="1" si="239"/>
        <v/>
      </c>
      <c r="AB1427" s="535" t="s">
        <v>1613</v>
      </c>
      <c r="AC1427" s="565" t="str">
        <f t="shared" ca="1" si="240"/>
        <v/>
      </c>
      <c r="AD1427" s="557"/>
      <c r="AE1427" s="567"/>
    </row>
    <row r="1428" spans="1:31" ht="15" customHeight="1">
      <c r="A1428" s="957">
        <v>105</v>
      </c>
      <c r="B1428" s="566" t="s">
        <v>536</v>
      </c>
      <c r="C1428" s="567" t="s">
        <v>1595</v>
      </c>
      <c r="D1428" s="958">
        <v>1.3</v>
      </c>
      <c r="E1428" s="562" t="s">
        <v>367</v>
      </c>
      <c r="F1428" s="537" t="s">
        <v>1488</v>
      </c>
      <c r="G1428" s="537">
        <v>1595</v>
      </c>
      <c r="H1428" s="537" t="s">
        <v>395</v>
      </c>
      <c r="I1428" s="568" t="s">
        <v>392</v>
      </c>
      <c r="J1428" s="567" t="s">
        <v>1606</v>
      </c>
      <c r="K1428" s="964" t="s">
        <v>1607</v>
      </c>
      <c r="L1428" s="563" t="str">
        <f t="shared" ca="1" si="235"/>
        <v/>
      </c>
      <c r="M1428" s="535" t="s">
        <v>1608</v>
      </c>
      <c r="N1428" s="563" t="str">
        <f t="shared" ca="1" si="236"/>
        <v/>
      </c>
      <c r="O1428" s="535" t="s">
        <v>1609</v>
      </c>
      <c r="P1428" s="563" t="str">
        <f t="shared" ca="1" si="237"/>
        <v/>
      </c>
      <c r="Q1428" s="535" t="s">
        <v>1610</v>
      </c>
      <c r="R1428" s="535" t="str">
        <f t="shared" si="241"/>
        <v>H1428</v>
      </c>
      <c r="S1428" s="535" t="s">
        <v>1611</v>
      </c>
      <c r="T1428" s="535">
        <v>6</v>
      </c>
      <c r="U1428" s="564" t="str">
        <f t="shared" ca="1" si="233"/>
        <v/>
      </c>
      <c r="V1428" s="535">
        <v>7</v>
      </c>
      <c r="W1428" s="564" t="str">
        <f t="shared" ca="1" si="234"/>
        <v/>
      </c>
      <c r="X1428" s="535" t="s">
        <v>198</v>
      </c>
      <c r="Y1428" s="565" t="str">
        <f t="shared" ca="1" si="238"/>
        <v/>
      </c>
      <c r="Z1428" s="535" t="s">
        <v>1612</v>
      </c>
      <c r="AA1428" s="565" t="str">
        <f t="shared" ca="1" si="239"/>
        <v/>
      </c>
      <c r="AB1428" s="535" t="s">
        <v>1613</v>
      </c>
      <c r="AC1428" s="565" t="str">
        <f t="shared" ca="1" si="240"/>
        <v/>
      </c>
      <c r="AD1428" s="557"/>
      <c r="AE1428" s="567"/>
    </row>
    <row r="1429" spans="1:31" ht="15" customHeight="1">
      <c r="A1429" s="957">
        <v>105</v>
      </c>
      <c r="B1429" s="566" t="s">
        <v>536</v>
      </c>
      <c r="C1429" s="567" t="s">
        <v>1595</v>
      </c>
      <c r="D1429" s="958">
        <v>1.3</v>
      </c>
      <c r="E1429" s="562" t="s">
        <v>396</v>
      </c>
      <c r="F1429" s="537" t="s">
        <v>1498</v>
      </c>
      <c r="G1429" s="537">
        <v>1597</v>
      </c>
      <c r="H1429" s="537">
        <v>23.1</v>
      </c>
      <c r="I1429" s="568" t="s">
        <v>595</v>
      </c>
      <c r="J1429" s="567" t="s">
        <v>1606</v>
      </c>
      <c r="K1429" s="964" t="s">
        <v>1607</v>
      </c>
      <c r="L1429" s="563" t="str">
        <f t="shared" ca="1" si="235"/>
        <v/>
      </c>
      <c r="M1429" s="535" t="s">
        <v>1608</v>
      </c>
      <c r="N1429" s="563" t="str">
        <f t="shared" ca="1" si="236"/>
        <v/>
      </c>
      <c r="O1429" s="535" t="s">
        <v>1609</v>
      </c>
      <c r="P1429" s="563" t="str">
        <f t="shared" ca="1" si="237"/>
        <v/>
      </c>
      <c r="Q1429" s="535" t="s">
        <v>1610</v>
      </c>
      <c r="R1429" s="535" t="str">
        <f t="shared" si="241"/>
        <v>H1429</v>
      </c>
      <c r="S1429" s="535" t="s">
        <v>1611</v>
      </c>
      <c r="T1429" s="535">
        <v>6</v>
      </c>
      <c r="U1429" s="564" t="str">
        <f t="shared" ca="1" si="233"/>
        <v/>
      </c>
      <c r="V1429" s="535">
        <v>7</v>
      </c>
      <c r="W1429" s="564" t="str">
        <f t="shared" ca="1" si="234"/>
        <v/>
      </c>
      <c r="X1429" s="535" t="s">
        <v>198</v>
      </c>
      <c r="Y1429" s="565" t="str">
        <f t="shared" ca="1" si="238"/>
        <v/>
      </c>
      <c r="Z1429" s="535" t="s">
        <v>1612</v>
      </c>
      <c r="AA1429" s="565" t="str">
        <f t="shared" ca="1" si="239"/>
        <v/>
      </c>
      <c r="AB1429" s="535" t="s">
        <v>1613</v>
      </c>
      <c r="AC1429" s="565" t="str">
        <f t="shared" ca="1" si="240"/>
        <v/>
      </c>
      <c r="AD1429" s="557"/>
      <c r="AE1429" s="567"/>
    </row>
    <row r="1430" spans="1:31" ht="15" customHeight="1">
      <c r="A1430" s="957">
        <v>105</v>
      </c>
      <c r="B1430" s="566" t="s">
        <v>536</v>
      </c>
      <c r="C1430" s="567" t="s">
        <v>1595</v>
      </c>
      <c r="D1430" s="958">
        <v>1.3</v>
      </c>
      <c r="E1430" s="562" t="s">
        <v>396</v>
      </c>
      <c r="F1430" s="537" t="s">
        <v>1498</v>
      </c>
      <c r="G1430" s="537">
        <v>1605</v>
      </c>
      <c r="H1430" s="537">
        <v>23.2</v>
      </c>
      <c r="I1430" s="568" t="s">
        <v>596</v>
      </c>
      <c r="J1430" s="567" t="s">
        <v>1606</v>
      </c>
      <c r="K1430" s="964" t="s">
        <v>1607</v>
      </c>
      <c r="L1430" s="563" t="str">
        <f t="shared" ca="1" si="235"/>
        <v/>
      </c>
      <c r="M1430" s="535" t="s">
        <v>1608</v>
      </c>
      <c r="N1430" s="563" t="str">
        <f t="shared" ca="1" si="236"/>
        <v/>
      </c>
      <c r="O1430" s="535" t="s">
        <v>1609</v>
      </c>
      <c r="P1430" s="563" t="str">
        <f t="shared" ca="1" si="237"/>
        <v/>
      </c>
      <c r="Q1430" s="535" t="s">
        <v>1610</v>
      </c>
      <c r="R1430" s="535" t="str">
        <f t="shared" si="241"/>
        <v>H1430</v>
      </c>
      <c r="S1430" s="535" t="s">
        <v>1611</v>
      </c>
      <c r="T1430" s="535">
        <v>6</v>
      </c>
      <c r="U1430" s="564" t="str">
        <f t="shared" ca="1" si="233"/>
        <v/>
      </c>
      <c r="V1430" s="535">
        <v>7</v>
      </c>
      <c r="W1430" s="564" t="str">
        <f t="shared" ca="1" si="234"/>
        <v/>
      </c>
      <c r="X1430" s="535" t="s">
        <v>198</v>
      </c>
      <c r="Y1430" s="565" t="str">
        <f t="shared" ca="1" si="238"/>
        <v/>
      </c>
      <c r="Z1430" s="535" t="s">
        <v>1612</v>
      </c>
      <c r="AA1430" s="565" t="str">
        <f t="shared" ca="1" si="239"/>
        <v/>
      </c>
      <c r="AB1430" s="535" t="s">
        <v>1613</v>
      </c>
      <c r="AC1430" s="565" t="str">
        <f t="shared" ca="1" si="240"/>
        <v/>
      </c>
      <c r="AD1430" s="557"/>
      <c r="AE1430" s="567"/>
    </row>
    <row r="1431" spans="1:31" ht="15" customHeight="1">
      <c r="A1431" s="957">
        <v>105</v>
      </c>
      <c r="B1431" s="566" t="s">
        <v>536</v>
      </c>
      <c r="C1431" s="567" t="s">
        <v>1595</v>
      </c>
      <c r="D1431" s="958">
        <v>1.3</v>
      </c>
      <c r="E1431" s="562" t="s">
        <v>396</v>
      </c>
      <c r="F1431" s="537" t="s">
        <v>1498</v>
      </c>
      <c r="G1431" s="537">
        <v>1606</v>
      </c>
      <c r="H1431" s="537">
        <v>23.3</v>
      </c>
      <c r="I1431" s="568" t="s">
        <v>597</v>
      </c>
      <c r="J1431" s="567" t="s">
        <v>1606</v>
      </c>
      <c r="K1431" s="964" t="s">
        <v>1607</v>
      </c>
      <c r="L1431" s="563" t="str">
        <f t="shared" ca="1" si="235"/>
        <v/>
      </c>
      <c r="M1431" s="535" t="s">
        <v>1608</v>
      </c>
      <c r="N1431" s="563" t="str">
        <f t="shared" ca="1" si="236"/>
        <v/>
      </c>
      <c r="O1431" s="535" t="s">
        <v>1609</v>
      </c>
      <c r="P1431" s="563" t="str">
        <f t="shared" ca="1" si="237"/>
        <v/>
      </c>
      <c r="Q1431" s="535" t="s">
        <v>1610</v>
      </c>
      <c r="R1431" s="535" t="str">
        <f t="shared" si="241"/>
        <v>H1431</v>
      </c>
      <c r="S1431" s="535" t="s">
        <v>1611</v>
      </c>
      <c r="T1431" s="535">
        <v>6</v>
      </c>
      <c r="U1431" s="564" t="str">
        <f t="shared" ca="1" si="233"/>
        <v/>
      </c>
      <c r="V1431" s="535">
        <v>7</v>
      </c>
      <c r="W1431" s="564" t="str">
        <f t="shared" ca="1" si="234"/>
        <v/>
      </c>
      <c r="X1431" s="535" t="s">
        <v>198</v>
      </c>
      <c r="Y1431" s="565" t="str">
        <f t="shared" ca="1" si="238"/>
        <v/>
      </c>
      <c r="Z1431" s="535" t="s">
        <v>1612</v>
      </c>
      <c r="AA1431" s="565" t="str">
        <f t="shared" ca="1" si="239"/>
        <v/>
      </c>
      <c r="AB1431" s="535" t="s">
        <v>1613</v>
      </c>
      <c r="AC1431" s="565" t="str">
        <f t="shared" ca="1" si="240"/>
        <v/>
      </c>
      <c r="AD1431" s="557"/>
      <c r="AE1431" s="567"/>
    </row>
    <row r="1432" spans="1:31" ht="15" customHeight="1">
      <c r="A1432" s="957">
        <v>105</v>
      </c>
      <c r="B1432" s="566" t="s">
        <v>536</v>
      </c>
      <c r="C1432" s="567" t="s">
        <v>1595</v>
      </c>
      <c r="D1432" s="958">
        <v>1.3</v>
      </c>
      <c r="E1432" s="562" t="s">
        <v>404</v>
      </c>
      <c r="F1432" s="537" t="s">
        <v>1499</v>
      </c>
      <c r="G1432" s="537">
        <v>1608</v>
      </c>
      <c r="H1432" s="537">
        <v>24</v>
      </c>
      <c r="I1432" s="568" t="s">
        <v>411</v>
      </c>
      <c r="J1432" s="567" t="s">
        <v>1606</v>
      </c>
      <c r="K1432" s="964" t="s">
        <v>1607</v>
      </c>
      <c r="L1432" s="563" t="str">
        <f t="shared" ca="1" si="235"/>
        <v/>
      </c>
      <c r="M1432" s="535" t="s">
        <v>1608</v>
      </c>
      <c r="N1432" s="563" t="str">
        <f t="shared" ca="1" si="236"/>
        <v/>
      </c>
      <c r="O1432" s="535" t="s">
        <v>1609</v>
      </c>
      <c r="P1432" s="563" t="str">
        <f t="shared" ca="1" si="237"/>
        <v/>
      </c>
      <c r="Q1432" s="535" t="s">
        <v>1610</v>
      </c>
      <c r="R1432" s="535" t="str">
        <f t="shared" si="241"/>
        <v>H1432</v>
      </c>
      <c r="S1432" s="535" t="s">
        <v>1611</v>
      </c>
      <c r="T1432" s="535">
        <v>6</v>
      </c>
      <c r="U1432" s="564" t="str">
        <f t="shared" ca="1" si="233"/>
        <v/>
      </c>
      <c r="V1432" s="535">
        <v>7</v>
      </c>
      <c r="W1432" s="564" t="str">
        <f t="shared" ca="1" si="234"/>
        <v/>
      </c>
      <c r="X1432" s="535" t="s">
        <v>198</v>
      </c>
      <c r="Y1432" s="565" t="str">
        <f t="shared" ca="1" si="238"/>
        <v/>
      </c>
      <c r="Z1432" s="535" t="s">
        <v>1612</v>
      </c>
      <c r="AA1432" s="565" t="str">
        <f t="shared" ca="1" si="239"/>
        <v/>
      </c>
      <c r="AB1432" s="535" t="s">
        <v>1613</v>
      </c>
      <c r="AC1432" s="565" t="str">
        <f t="shared" ca="1" si="240"/>
        <v/>
      </c>
      <c r="AD1432" s="557"/>
      <c r="AE1432" s="567"/>
    </row>
    <row r="1433" spans="1:31" ht="15" customHeight="1">
      <c r="A1433" s="957">
        <v>105</v>
      </c>
      <c r="B1433" s="566" t="s">
        <v>536</v>
      </c>
      <c r="C1433" s="567" t="s">
        <v>1595</v>
      </c>
      <c r="D1433" s="958">
        <v>1.3</v>
      </c>
      <c r="E1433" s="562" t="s">
        <v>404</v>
      </c>
      <c r="F1433" s="537" t="s">
        <v>1499</v>
      </c>
      <c r="G1433" s="537">
        <v>1609</v>
      </c>
      <c r="H1433" s="537">
        <v>24.1</v>
      </c>
      <c r="I1433" s="568" t="s">
        <v>412</v>
      </c>
      <c r="J1433" s="567" t="s">
        <v>1606</v>
      </c>
      <c r="K1433" s="964" t="s">
        <v>1607</v>
      </c>
      <c r="L1433" s="563" t="str">
        <f t="shared" ca="1" si="235"/>
        <v/>
      </c>
      <c r="M1433" s="535" t="s">
        <v>1608</v>
      </c>
      <c r="N1433" s="563" t="str">
        <f t="shared" ca="1" si="236"/>
        <v/>
      </c>
      <c r="O1433" s="535" t="s">
        <v>1609</v>
      </c>
      <c r="P1433" s="563" t="str">
        <f t="shared" ca="1" si="237"/>
        <v/>
      </c>
      <c r="Q1433" s="535" t="s">
        <v>1610</v>
      </c>
      <c r="R1433" s="535" t="str">
        <f t="shared" si="241"/>
        <v>H1433</v>
      </c>
      <c r="S1433" s="535" t="s">
        <v>1611</v>
      </c>
      <c r="T1433" s="535">
        <v>6</v>
      </c>
      <c r="U1433" s="564" t="str">
        <f t="shared" ca="1" si="233"/>
        <v/>
      </c>
      <c r="V1433" s="535">
        <v>7</v>
      </c>
      <c r="W1433" s="564" t="str">
        <f t="shared" ca="1" si="234"/>
        <v/>
      </c>
      <c r="X1433" s="535" t="s">
        <v>198</v>
      </c>
      <c r="Y1433" s="565" t="str">
        <f t="shared" ca="1" si="238"/>
        <v/>
      </c>
      <c r="Z1433" s="535" t="s">
        <v>1612</v>
      </c>
      <c r="AA1433" s="565" t="str">
        <f t="shared" ca="1" si="239"/>
        <v/>
      </c>
      <c r="AB1433" s="535" t="s">
        <v>1613</v>
      </c>
      <c r="AC1433" s="565" t="str">
        <f t="shared" ca="1" si="240"/>
        <v/>
      </c>
      <c r="AD1433" s="557"/>
      <c r="AE1433" s="567"/>
    </row>
    <row r="1434" spans="1:31" ht="15" customHeight="1">
      <c r="A1434" s="957">
        <v>105</v>
      </c>
      <c r="B1434" s="566" t="s">
        <v>536</v>
      </c>
      <c r="C1434" s="567" t="s">
        <v>1595</v>
      </c>
      <c r="D1434" s="958">
        <v>1.3</v>
      </c>
      <c r="E1434" s="562" t="s">
        <v>404</v>
      </c>
      <c r="F1434" s="537" t="s">
        <v>1499</v>
      </c>
      <c r="G1434" s="537">
        <v>1614</v>
      </c>
      <c r="H1434" s="537">
        <v>25</v>
      </c>
      <c r="I1434" s="568" t="s">
        <v>413</v>
      </c>
      <c r="J1434" s="567" t="s">
        <v>1606</v>
      </c>
      <c r="K1434" s="964" t="s">
        <v>1607</v>
      </c>
      <c r="L1434" s="563" t="str">
        <f t="shared" ca="1" si="235"/>
        <v/>
      </c>
      <c r="M1434" s="535" t="s">
        <v>1608</v>
      </c>
      <c r="N1434" s="563" t="str">
        <f t="shared" ca="1" si="236"/>
        <v/>
      </c>
      <c r="O1434" s="535" t="s">
        <v>1609</v>
      </c>
      <c r="P1434" s="563" t="str">
        <f t="shared" ca="1" si="237"/>
        <v/>
      </c>
      <c r="Q1434" s="535" t="s">
        <v>1610</v>
      </c>
      <c r="R1434" s="535" t="str">
        <f t="shared" ref="R1434:R1440" si="242">CONCATENATE("H",ROW(J1434))</f>
        <v>H1434</v>
      </c>
      <c r="S1434" s="535" t="s">
        <v>1611</v>
      </c>
      <c r="T1434" s="535">
        <v>6</v>
      </c>
      <c r="U1434" s="564" t="str">
        <f t="shared" ca="1" si="233"/>
        <v/>
      </c>
      <c r="V1434" s="535">
        <v>7</v>
      </c>
      <c r="W1434" s="564" t="str">
        <f t="shared" ca="1" si="234"/>
        <v/>
      </c>
      <c r="X1434" s="535" t="s">
        <v>198</v>
      </c>
      <c r="Y1434" s="565" t="str">
        <f t="shared" ca="1" si="238"/>
        <v/>
      </c>
      <c r="Z1434" s="535" t="s">
        <v>1612</v>
      </c>
      <c r="AA1434" s="565" t="str">
        <f t="shared" ca="1" si="239"/>
        <v/>
      </c>
      <c r="AB1434" s="535" t="s">
        <v>1613</v>
      </c>
      <c r="AC1434" s="565" t="str">
        <f t="shared" ca="1" si="240"/>
        <v/>
      </c>
      <c r="AD1434" s="557"/>
      <c r="AE1434" s="567"/>
    </row>
    <row r="1435" spans="1:31" ht="15" customHeight="1">
      <c r="A1435" s="957">
        <v>105</v>
      </c>
      <c r="B1435" s="566" t="s">
        <v>536</v>
      </c>
      <c r="C1435" s="567" t="s">
        <v>1595</v>
      </c>
      <c r="D1435" s="958">
        <v>1.3</v>
      </c>
      <c r="E1435" s="562" t="s">
        <v>404</v>
      </c>
      <c r="F1435" s="537" t="s">
        <v>1499</v>
      </c>
      <c r="G1435" s="537">
        <v>1622</v>
      </c>
      <c r="H1435" s="537">
        <v>26.1</v>
      </c>
      <c r="I1435" s="568" t="s">
        <v>418</v>
      </c>
      <c r="J1435" s="567" t="s">
        <v>1606</v>
      </c>
      <c r="K1435" s="964" t="s">
        <v>1607</v>
      </c>
      <c r="L1435" s="563" t="str">
        <f t="shared" ca="1" si="235"/>
        <v/>
      </c>
      <c r="M1435" s="535" t="s">
        <v>1608</v>
      </c>
      <c r="N1435" s="563" t="str">
        <f t="shared" ca="1" si="236"/>
        <v/>
      </c>
      <c r="O1435" s="535" t="s">
        <v>1609</v>
      </c>
      <c r="P1435" s="563" t="str">
        <f t="shared" ca="1" si="237"/>
        <v/>
      </c>
      <c r="Q1435" s="535" t="s">
        <v>1610</v>
      </c>
      <c r="R1435" s="535" t="str">
        <f t="shared" si="242"/>
        <v>H1435</v>
      </c>
      <c r="S1435" s="535" t="s">
        <v>1611</v>
      </c>
      <c r="T1435" s="535">
        <v>6</v>
      </c>
      <c r="U1435" s="564" t="str">
        <f t="shared" ca="1" si="233"/>
        <v/>
      </c>
      <c r="V1435" s="535">
        <v>7</v>
      </c>
      <c r="W1435" s="564" t="str">
        <f t="shared" ca="1" si="234"/>
        <v/>
      </c>
      <c r="X1435" s="535" t="s">
        <v>198</v>
      </c>
      <c r="Y1435" s="565" t="str">
        <f t="shared" ca="1" si="238"/>
        <v/>
      </c>
      <c r="Z1435" s="535" t="s">
        <v>1612</v>
      </c>
      <c r="AA1435" s="565" t="str">
        <f t="shared" ca="1" si="239"/>
        <v/>
      </c>
      <c r="AB1435" s="535" t="s">
        <v>1613</v>
      </c>
      <c r="AC1435" s="565" t="str">
        <f t="shared" ca="1" si="240"/>
        <v/>
      </c>
      <c r="AD1435" s="557"/>
      <c r="AE1435" s="567"/>
    </row>
    <row r="1436" spans="1:31" ht="15" customHeight="1">
      <c r="A1436" s="957">
        <v>105</v>
      </c>
      <c r="B1436" s="566" t="s">
        <v>536</v>
      </c>
      <c r="C1436" s="567" t="s">
        <v>1595</v>
      </c>
      <c r="D1436" s="958">
        <v>1.3</v>
      </c>
      <c r="E1436" s="562" t="s">
        <v>419</v>
      </c>
      <c r="F1436" s="537" t="s">
        <v>1501</v>
      </c>
      <c r="G1436" s="537">
        <v>1627</v>
      </c>
      <c r="H1436" s="537" t="s">
        <v>647</v>
      </c>
      <c r="I1436" s="568" t="s">
        <v>420</v>
      </c>
      <c r="J1436" s="567" t="s">
        <v>1606</v>
      </c>
      <c r="K1436" s="964" t="s">
        <v>1607</v>
      </c>
      <c r="L1436" s="563" t="str">
        <f t="shared" ca="1" si="235"/>
        <v/>
      </c>
      <c r="M1436" s="535" t="s">
        <v>1608</v>
      </c>
      <c r="N1436" s="563" t="str">
        <f t="shared" ca="1" si="236"/>
        <v/>
      </c>
      <c r="O1436" s="535" t="s">
        <v>1609</v>
      </c>
      <c r="P1436" s="563" t="str">
        <f t="shared" ca="1" si="237"/>
        <v/>
      </c>
      <c r="Q1436" s="535" t="s">
        <v>1610</v>
      </c>
      <c r="R1436" s="535" t="str">
        <f t="shared" si="242"/>
        <v>H1436</v>
      </c>
      <c r="S1436" s="535" t="s">
        <v>1611</v>
      </c>
      <c r="T1436" s="535">
        <v>6</v>
      </c>
      <c r="U1436" s="564" t="str">
        <f t="shared" ca="1" si="233"/>
        <v/>
      </c>
      <c r="V1436" s="535">
        <v>7</v>
      </c>
      <c r="W1436" s="564" t="str">
        <f t="shared" ca="1" si="234"/>
        <v/>
      </c>
      <c r="X1436" s="535" t="s">
        <v>198</v>
      </c>
      <c r="Y1436" s="565" t="str">
        <f t="shared" ca="1" si="238"/>
        <v/>
      </c>
      <c r="Z1436" s="535" t="s">
        <v>1612</v>
      </c>
      <c r="AA1436" s="565" t="str">
        <f t="shared" ca="1" si="239"/>
        <v/>
      </c>
      <c r="AB1436" s="535" t="s">
        <v>1613</v>
      </c>
      <c r="AC1436" s="565" t="str">
        <f t="shared" ca="1" si="240"/>
        <v/>
      </c>
      <c r="AD1436" s="557"/>
      <c r="AE1436" s="567"/>
    </row>
    <row r="1437" spans="1:31" ht="15" customHeight="1">
      <c r="A1437" s="957">
        <v>105</v>
      </c>
      <c r="B1437" s="566" t="s">
        <v>536</v>
      </c>
      <c r="C1437" s="567" t="s">
        <v>1595</v>
      </c>
      <c r="D1437" s="958">
        <v>1.3</v>
      </c>
      <c r="E1437" s="562" t="s">
        <v>419</v>
      </c>
      <c r="F1437" s="537" t="s">
        <v>1501</v>
      </c>
      <c r="G1437" s="537">
        <v>1634</v>
      </c>
      <c r="H1437" s="537" t="s">
        <v>648</v>
      </c>
      <c r="I1437" s="568" t="s">
        <v>422</v>
      </c>
      <c r="J1437" s="567" t="s">
        <v>1606</v>
      </c>
      <c r="K1437" s="964" t="s">
        <v>1607</v>
      </c>
      <c r="L1437" s="563" t="str">
        <f t="shared" ca="1" si="235"/>
        <v/>
      </c>
      <c r="M1437" s="535" t="s">
        <v>1608</v>
      </c>
      <c r="N1437" s="563" t="str">
        <f t="shared" ca="1" si="236"/>
        <v/>
      </c>
      <c r="O1437" s="535" t="s">
        <v>1609</v>
      </c>
      <c r="P1437" s="563" t="str">
        <f t="shared" ca="1" si="237"/>
        <v/>
      </c>
      <c r="Q1437" s="535" t="s">
        <v>1610</v>
      </c>
      <c r="R1437" s="535" t="str">
        <f t="shared" si="242"/>
        <v>H1437</v>
      </c>
      <c r="S1437" s="535" t="s">
        <v>1611</v>
      </c>
      <c r="T1437" s="535">
        <v>6</v>
      </c>
      <c r="U1437" s="564" t="str">
        <f t="shared" ca="1" si="233"/>
        <v/>
      </c>
      <c r="V1437" s="535">
        <v>7</v>
      </c>
      <c r="W1437" s="564" t="str">
        <f t="shared" ca="1" si="234"/>
        <v/>
      </c>
      <c r="X1437" s="535" t="s">
        <v>198</v>
      </c>
      <c r="Y1437" s="565" t="str">
        <f t="shared" ca="1" si="238"/>
        <v/>
      </c>
      <c r="Z1437" s="535" t="s">
        <v>1612</v>
      </c>
      <c r="AA1437" s="565" t="str">
        <f t="shared" ca="1" si="239"/>
        <v/>
      </c>
      <c r="AB1437" s="535" t="s">
        <v>1613</v>
      </c>
      <c r="AC1437" s="565" t="str">
        <f t="shared" ca="1" si="240"/>
        <v/>
      </c>
      <c r="AD1437" s="557"/>
      <c r="AE1437" s="567"/>
    </row>
    <row r="1438" spans="1:31" ht="15" customHeight="1">
      <c r="A1438" s="957">
        <v>105</v>
      </c>
      <c r="B1438" s="566" t="s">
        <v>536</v>
      </c>
      <c r="C1438" s="567" t="s">
        <v>1595</v>
      </c>
      <c r="D1438" s="958">
        <v>1.3</v>
      </c>
      <c r="E1438" s="562" t="s">
        <v>419</v>
      </c>
      <c r="F1438" s="537" t="s">
        <v>1501</v>
      </c>
      <c r="G1438" s="537">
        <v>1637</v>
      </c>
      <c r="H1438" s="537" t="s">
        <v>649</v>
      </c>
      <c r="I1438" s="568" t="s">
        <v>424</v>
      </c>
      <c r="J1438" s="567" t="s">
        <v>1606</v>
      </c>
      <c r="K1438" s="964" t="s">
        <v>1607</v>
      </c>
      <c r="L1438" s="563" t="str">
        <f t="shared" ca="1" si="235"/>
        <v/>
      </c>
      <c r="M1438" s="535" t="s">
        <v>1608</v>
      </c>
      <c r="N1438" s="563" t="str">
        <f t="shared" ca="1" si="236"/>
        <v/>
      </c>
      <c r="O1438" s="535" t="s">
        <v>1609</v>
      </c>
      <c r="P1438" s="563" t="str">
        <f t="shared" ca="1" si="237"/>
        <v/>
      </c>
      <c r="Q1438" s="535" t="s">
        <v>1610</v>
      </c>
      <c r="R1438" s="535" t="str">
        <f t="shared" si="242"/>
        <v>H1438</v>
      </c>
      <c r="S1438" s="535" t="s">
        <v>1611</v>
      </c>
      <c r="T1438" s="535">
        <v>6</v>
      </c>
      <c r="U1438" s="564" t="str">
        <f t="shared" ca="1" si="233"/>
        <v/>
      </c>
      <c r="V1438" s="535">
        <v>7</v>
      </c>
      <c r="W1438" s="564" t="str">
        <f t="shared" ca="1" si="234"/>
        <v/>
      </c>
      <c r="X1438" s="535" t="s">
        <v>198</v>
      </c>
      <c r="Y1438" s="565" t="str">
        <f t="shared" ca="1" si="238"/>
        <v/>
      </c>
      <c r="Z1438" s="535" t="s">
        <v>1612</v>
      </c>
      <c r="AA1438" s="565" t="str">
        <f t="shared" ca="1" si="239"/>
        <v/>
      </c>
      <c r="AB1438" s="535" t="s">
        <v>1613</v>
      </c>
      <c r="AC1438" s="565" t="str">
        <f t="shared" ca="1" si="240"/>
        <v/>
      </c>
      <c r="AD1438" s="557"/>
      <c r="AE1438" s="567"/>
    </row>
    <row r="1439" spans="1:31" ht="15" customHeight="1">
      <c r="A1439" s="957">
        <v>105</v>
      </c>
      <c r="B1439" s="566" t="s">
        <v>536</v>
      </c>
      <c r="C1439" s="567" t="s">
        <v>1595</v>
      </c>
      <c r="D1439" s="958">
        <v>1.3</v>
      </c>
      <c r="E1439" s="562" t="s">
        <v>419</v>
      </c>
      <c r="F1439" s="537" t="s">
        <v>1501</v>
      </c>
      <c r="G1439" s="537">
        <v>1645</v>
      </c>
      <c r="H1439" s="537" t="s">
        <v>650</v>
      </c>
      <c r="I1439" s="568" t="s">
        <v>426</v>
      </c>
      <c r="J1439" s="567" t="s">
        <v>1606</v>
      </c>
      <c r="K1439" s="964" t="s">
        <v>1607</v>
      </c>
      <c r="L1439" s="563" t="str">
        <f t="shared" ca="1" si="235"/>
        <v/>
      </c>
      <c r="M1439" s="535" t="s">
        <v>1608</v>
      </c>
      <c r="N1439" s="563" t="str">
        <f t="shared" ca="1" si="236"/>
        <v/>
      </c>
      <c r="O1439" s="535" t="s">
        <v>1609</v>
      </c>
      <c r="P1439" s="563" t="str">
        <f t="shared" ca="1" si="237"/>
        <v/>
      </c>
      <c r="Q1439" s="535" t="s">
        <v>1610</v>
      </c>
      <c r="R1439" s="535" t="str">
        <f t="shared" si="242"/>
        <v>H1439</v>
      </c>
      <c r="S1439" s="535" t="s">
        <v>1611</v>
      </c>
      <c r="T1439" s="535">
        <v>6</v>
      </c>
      <c r="U1439" s="564" t="str">
        <f t="shared" ca="1" si="233"/>
        <v/>
      </c>
      <c r="V1439" s="535">
        <v>7</v>
      </c>
      <c r="W1439" s="564" t="str">
        <f t="shared" ca="1" si="234"/>
        <v/>
      </c>
      <c r="X1439" s="535" t="s">
        <v>198</v>
      </c>
      <c r="Y1439" s="565" t="str">
        <f t="shared" ca="1" si="238"/>
        <v/>
      </c>
      <c r="Z1439" s="535" t="s">
        <v>1612</v>
      </c>
      <c r="AA1439" s="565" t="str">
        <f t="shared" ca="1" si="239"/>
        <v/>
      </c>
      <c r="AB1439" s="535" t="s">
        <v>1613</v>
      </c>
      <c r="AC1439" s="565" t="str">
        <f t="shared" ca="1" si="240"/>
        <v/>
      </c>
      <c r="AD1439" s="557"/>
      <c r="AE1439" s="567"/>
    </row>
    <row r="1440" spans="1:31" ht="15" customHeight="1">
      <c r="A1440" s="965">
        <v>105</v>
      </c>
      <c r="B1440" s="569" t="s">
        <v>536</v>
      </c>
      <c r="C1440" s="570" t="s">
        <v>1595</v>
      </c>
      <c r="D1440" s="966">
        <v>1.3</v>
      </c>
      <c r="E1440" s="562" t="s">
        <v>419</v>
      </c>
      <c r="F1440" s="537" t="s">
        <v>1501</v>
      </c>
      <c r="G1440" s="537">
        <v>1676</v>
      </c>
      <c r="H1440" s="537" t="s">
        <v>651</v>
      </c>
      <c r="I1440" s="568" t="s">
        <v>428</v>
      </c>
      <c r="J1440" s="570" t="s">
        <v>1606</v>
      </c>
      <c r="K1440" s="964" t="s">
        <v>1607</v>
      </c>
      <c r="L1440" s="563" t="str">
        <f t="shared" ca="1" si="235"/>
        <v/>
      </c>
      <c r="M1440" s="535" t="s">
        <v>1608</v>
      </c>
      <c r="N1440" s="563" t="str">
        <f t="shared" ca="1" si="236"/>
        <v/>
      </c>
      <c r="O1440" s="535" t="s">
        <v>1609</v>
      </c>
      <c r="P1440" s="563" t="str">
        <f t="shared" ca="1" si="237"/>
        <v/>
      </c>
      <c r="Q1440" s="535" t="s">
        <v>1610</v>
      </c>
      <c r="R1440" s="535" t="str">
        <f t="shared" si="242"/>
        <v>H1440</v>
      </c>
      <c r="S1440" s="535" t="s">
        <v>1611</v>
      </c>
      <c r="T1440" s="535">
        <v>6</v>
      </c>
      <c r="U1440" s="564" t="str">
        <f t="shared" ca="1" si="233"/>
        <v/>
      </c>
      <c r="V1440" s="535">
        <v>7</v>
      </c>
      <c r="W1440" s="564" t="str">
        <f t="shared" ca="1" si="234"/>
        <v/>
      </c>
      <c r="X1440" s="535" t="s">
        <v>198</v>
      </c>
      <c r="Y1440" s="565" t="str">
        <f t="shared" ca="1" si="238"/>
        <v/>
      </c>
      <c r="Z1440" s="535" t="s">
        <v>1612</v>
      </c>
      <c r="AA1440" s="565" t="str">
        <f t="shared" ca="1" si="239"/>
        <v/>
      </c>
      <c r="AB1440" s="535" t="s">
        <v>1613</v>
      </c>
      <c r="AC1440" s="565" t="str">
        <f t="shared" ca="1" si="240"/>
        <v/>
      </c>
      <c r="AD1440" s="557"/>
      <c r="AE1440" s="567"/>
    </row>
    <row r="1441" spans="1:31" ht="15" customHeight="1">
      <c r="A1441" s="957" t="str">
        <f ca="1">IF(N1441="Design Review",27,IF(N1441="As Built",28,"27/30"))</f>
        <v>27/30</v>
      </c>
      <c r="B1441" s="566" t="s">
        <v>1293</v>
      </c>
      <c r="C1441" s="567" t="str">
        <f ca="1">IF(N1441="Design Review","Green Star - Multi Unit Residential Design",IF(N1441="As Built","Green Star - Multi Unit Residential As Built","Green Star - Multi Unit Residential"))</f>
        <v>Green Star - Multi Unit Residential</v>
      </c>
      <c r="D1441" s="958">
        <v>1</v>
      </c>
      <c r="E1441" s="959" t="s">
        <v>254</v>
      </c>
      <c r="F1441" s="558" t="s">
        <v>1444</v>
      </c>
      <c r="G1441" s="558">
        <v>16</v>
      </c>
      <c r="H1441" s="558" t="s">
        <v>1091</v>
      </c>
      <c r="I1441" s="559" t="s">
        <v>257</v>
      </c>
      <c r="J1441" s="567" t="s">
        <v>1638</v>
      </c>
      <c r="K1441" s="961" t="s">
        <v>1568</v>
      </c>
      <c r="L1441" s="555" t="str">
        <f t="shared" ca="1" si="235"/>
        <v/>
      </c>
      <c r="M1441" s="494" t="s">
        <v>1569</v>
      </c>
      <c r="N1441" s="555" t="str">
        <f t="shared" ca="1" si="236"/>
        <v/>
      </c>
      <c r="O1441" s="494" t="s">
        <v>1570</v>
      </c>
      <c r="P1441" s="555" t="str">
        <f t="shared" ca="1" si="237"/>
        <v/>
      </c>
      <c r="Q1441" s="494" t="s">
        <v>1639</v>
      </c>
      <c r="R1441" s="494" t="str">
        <f>CONCATENATE("I",ROW(J1441))</f>
        <v>I1441</v>
      </c>
      <c r="S1441" s="494" t="s">
        <v>1640</v>
      </c>
      <c r="T1441" s="494">
        <v>6</v>
      </c>
      <c r="U1441" s="556" t="str">
        <f t="shared" ca="1" si="233"/>
        <v/>
      </c>
      <c r="V1441" s="494">
        <v>7</v>
      </c>
      <c r="W1441" s="556" t="str">
        <f t="shared" ca="1" si="234"/>
        <v/>
      </c>
      <c r="X1441" s="494" t="s">
        <v>1641</v>
      </c>
      <c r="Y1441" s="547" t="str">
        <f t="shared" ca="1" si="238"/>
        <v/>
      </c>
      <c r="Z1441" s="494" t="s">
        <v>183</v>
      </c>
      <c r="AA1441" s="547" t="str">
        <f t="shared" ca="1" si="239"/>
        <v/>
      </c>
      <c r="AB1441" s="494" t="s">
        <v>168</v>
      </c>
      <c r="AC1441" s="547" t="str">
        <f t="shared" ca="1" si="240"/>
        <v/>
      </c>
      <c r="AD1441" s="557"/>
      <c r="AE1441" s="958"/>
    </row>
    <row r="1442" spans="1:31" ht="15" customHeight="1">
      <c r="A1442" s="957" t="str">
        <f t="shared" ref="A1442:A1505" ca="1" si="243">IF(N1442="Design Review",27,IF(N1442="As Built",28,"27/30"))</f>
        <v>27/30</v>
      </c>
      <c r="B1442" s="566" t="s">
        <v>1293</v>
      </c>
      <c r="C1442" s="567" t="str">
        <f t="shared" ref="C1442:C1505" ca="1" si="244">IF(N1442="Design Review","Green Star - Multi Unit Residential Design",IF(N1442="As Built","Green Star - Multi Unit Residential As Built","Green Star - Multi Unit Residential"))</f>
        <v>Green Star - Multi Unit Residential</v>
      </c>
      <c r="D1442" s="958">
        <v>1</v>
      </c>
      <c r="E1442" s="959" t="s">
        <v>254</v>
      </c>
      <c r="F1442" s="558" t="s">
        <v>1444</v>
      </c>
      <c r="G1442" s="558">
        <v>210</v>
      </c>
      <c r="H1442" s="558" t="s">
        <v>1093</v>
      </c>
      <c r="I1442" s="559" t="s">
        <v>1095</v>
      </c>
      <c r="J1442" s="567" t="s">
        <v>1638</v>
      </c>
      <c r="K1442" s="961" t="s">
        <v>1568</v>
      </c>
      <c r="L1442" s="555" t="str">
        <f t="shared" ca="1" si="235"/>
        <v/>
      </c>
      <c r="M1442" s="494" t="s">
        <v>1569</v>
      </c>
      <c r="N1442" s="555" t="str">
        <f t="shared" ca="1" si="236"/>
        <v/>
      </c>
      <c r="O1442" s="494" t="s">
        <v>1570</v>
      </c>
      <c r="P1442" s="555" t="str">
        <f t="shared" ca="1" si="237"/>
        <v/>
      </c>
      <c r="Q1442" s="494" t="s">
        <v>1639</v>
      </c>
      <c r="R1442" s="494" t="str">
        <f t="shared" ref="R1442:R1507" si="245">CONCATENATE("I",ROW(J1442))</f>
        <v>I1442</v>
      </c>
      <c r="S1442" s="494" t="s">
        <v>1642</v>
      </c>
      <c r="T1442" s="494">
        <v>6</v>
      </c>
      <c r="U1442" s="556" t="str">
        <f t="shared" ca="1" si="233"/>
        <v/>
      </c>
      <c r="V1442" s="494">
        <v>7</v>
      </c>
      <c r="W1442" s="556" t="str">
        <f t="shared" ca="1" si="234"/>
        <v/>
      </c>
      <c r="X1442" s="494" t="s">
        <v>1641</v>
      </c>
      <c r="Y1442" s="547" t="str">
        <f t="shared" ca="1" si="238"/>
        <v/>
      </c>
      <c r="Z1442" s="494" t="s">
        <v>183</v>
      </c>
      <c r="AA1442" s="547" t="str">
        <f t="shared" ca="1" si="239"/>
        <v/>
      </c>
      <c r="AB1442" s="494" t="s">
        <v>168</v>
      </c>
      <c r="AC1442" s="547" t="str">
        <f t="shared" ca="1" si="240"/>
        <v/>
      </c>
      <c r="AD1442" s="557"/>
      <c r="AE1442" s="958"/>
    </row>
    <row r="1443" spans="1:31" ht="15" customHeight="1">
      <c r="A1443" s="957" t="str">
        <f t="shared" ca="1" si="243"/>
        <v>27/30</v>
      </c>
      <c r="B1443" s="566" t="s">
        <v>1293</v>
      </c>
      <c r="C1443" s="567" t="str">
        <f t="shared" ca="1" si="244"/>
        <v>Green Star - Multi Unit Residential</v>
      </c>
      <c r="D1443" s="958">
        <v>1</v>
      </c>
      <c r="E1443" s="959" t="s">
        <v>254</v>
      </c>
      <c r="F1443" s="558" t="s">
        <v>1444</v>
      </c>
      <c r="G1443" s="558">
        <v>210</v>
      </c>
      <c r="H1443" s="558" t="s">
        <v>1093</v>
      </c>
      <c r="I1443" s="559" t="s">
        <v>1097</v>
      </c>
      <c r="J1443" s="567" t="s">
        <v>1638</v>
      </c>
      <c r="K1443" s="961" t="s">
        <v>1568</v>
      </c>
      <c r="L1443" s="555" t="str">
        <f t="shared" ca="1" si="235"/>
        <v/>
      </c>
      <c r="M1443" s="494" t="s">
        <v>1569</v>
      </c>
      <c r="N1443" s="555" t="str">
        <f t="shared" ca="1" si="236"/>
        <v/>
      </c>
      <c r="O1443" s="494" t="s">
        <v>1570</v>
      </c>
      <c r="P1443" s="555" t="str">
        <f t="shared" ca="1" si="237"/>
        <v/>
      </c>
      <c r="Q1443" s="494" t="s">
        <v>1639</v>
      </c>
      <c r="R1443" s="494" t="str">
        <f t="shared" si="245"/>
        <v>I1443</v>
      </c>
      <c r="S1443" s="494" t="s">
        <v>1642</v>
      </c>
      <c r="T1443" s="494">
        <v>6</v>
      </c>
      <c r="U1443" s="556" t="str">
        <f t="shared" ca="1" si="233"/>
        <v/>
      </c>
      <c r="V1443" s="494">
        <v>7</v>
      </c>
      <c r="W1443" s="556" t="str">
        <f t="shared" ca="1" si="234"/>
        <v/>
      </c>
      <c r="X1443" s="494" t="s">
        <v>1641</v>
      </c>
      <c r="Y1443" s="547" t="str">
        <f t="shared" ca="1" si="238"/>
        <v/>
      </c>
      <c r="Z1443" s="494" t="s">
        <v>183</v>
      </c>
      <c r="AA1443" s="547" t="str">
        <f t="shared" ca="1" si="239"/>
        <v/>
      </c>
      <c r="AB1443" s="494" t="s">
        <v>168</v>
      </c>
      <c r="AC1443" s="547" t="str">
        <f t="shared" ca="1" si="240"/>
        <v/>
      </c>
      <c r="AD1443" s="557"/>
      <c r="AE1443" s="958"/>
    </row>
    <row r="1444" spans="1:31" ht="15" customHeight="1">
      <c r="A1444" s="957" t="str">
        <f t="shared" ca="1" si="243"/>
        <v>27/30</v>
      </c>
      <c r="B1444" s="566" t="s">
        <v>1293</v>
      </c>
      <c r="C1444" s="567" t="str">
        <f t="shared" ca="1" si="244"/>
        <v>Green Star - Multi Unit Residential</v>
      </c>
      <c r="D1444" s="958">
        <v>1</v>
      </c>
      <c r="E1444" s="959" t="s">
        <v>254</v>
      </c>
      <c r="F1444" s="558" t="s">
        <v>1444</v>
      </c>
      <c r="G1444" s="558">
        <v>132</v>
      </c>
      <c r="H1444" s="558" t="s">
        <v>1098</v>
      </c>
      <c r="I1444" s="559" t="s">
        <v>1099</v>
      </c>
      <c r="J1444" s="567" t="s">
        <v>1638</v>
      </c>
      <c r="K1444" s="961" t="s">
        <v>1568</v>
      </c>
      <c r="L1444" s="555" t="str">
        <f t="shared" ca="1" si="235"/>
        <v/>
      </c>
      <c r="M1444" s="494" t="s">
        <v>1569</v>
      </c>
      <c r="N1444" s="555" t="str">
        <f t="shared" ca="1" si="236"/>
        <v/>
      </c>
      <c r="O1444" s="494" t="s">
        <v>1570</v>
      </c>
      <c r="P1444" s="555" t="str">
        <f t="shared" ca="1" si="237"/>
        <v/>
      </c>
      <c r="Q1444" s="494" t="s">
        <v>1639</v>
      </c>
      <c r="R1444" s="494" t="str">
        <f t="shared" si="245"/>
        <v>I1444</v>
      </c>
      <c r="S1444" s="494" t="s">
        <v>1640</v>
      </c>
      <c r="T1444" s="494">
        <v>6</v>
      </c>
      <c r="U1444" s="556" t="str">
        <f t="shared" ca="1" si="233"/>
        <v/>
      </c>
      <c r="V1444" s="494">
        <v>7</v>
      </c>
      <c r="W1444" s="556" t="str">
        <f t="shared" ca="1" si="234"/>
        <v/>
      </c>
      <c r="X1444" s="494" t="s">
        <v>1641</v>
      </c>
      <c r="Y1444" s="547" t="str">
        <f t="shared" ca="1" si="238"/>
        <v/>
      </c>
      <c r="Z1444" s="494" t="s">
        <v>183</v>
      </c>
      <c r="AA1444" s="547" t="str">
        <f t="shared" ca="1" si="239"/>
        <v/>
      </c>
      <c r="AB1444" s="494" t="s">
        <v>168</v>
      </c>
      <c r="AC1444" s="547" t="str">
        <f t="shared" ca="1" si="240"/>
        <v/>
      </c>
      <c r="AD1444" s="557"/>
      <c r="AE1444" s="958"/>
    </row>
    <row r="1445" spans="1:31" ht="15" customHeight="1">
      <c r="A1445" s="957" t="str">
        <f t="shared" ca="1" si="243"/>
        <v>27/30</v>
      </c>
      <c r="B1445" s="566" t="s">
        <v>1293</v>
      </c>
      <c r="C1445" s="567" t="str">
        <f t="shared" ca="1" si="244"/>
        <v>Green Star - Multi Unit Residential</v>
      </c>
      <c r="D1445" s="958">
        <v>1</v>
      </c>
      <c r="E1445" s="959" t="s">
        <v>254</v>
      </c>
      <c r="F1445" s="558" t="s">
        <v>1444</v>
      </c>
      <c r="G1445" s="558">
        <v>133</v>
      </c>
      <c r="H1445" s="558" t="s">
        <v>1100</v>
      </c>
      <c r="I1445" s="559" t="s">
        <v>281</v>
      </c>
      <c r="J1445" s="567" t="s">
        <v>1638</v>
      </c>
      <c r="K1445" s="961" t="s">
        <v>1568</v>
      </c>
      <c r="L1445" s="555" t="str">
        <f t="shared" ca="1" si="235"/>
        <v/>
      </c>
      <c r="M1445" s="494" t="s">
        <v>1569</v>
      </c>
      <c r="N1445" s="555" t="str">
        <f t="shared" ca="1" si="236"/>
        <v/>
      </c>
      <c r="O1445" s="494" t="s">
        <v>1570</v>
      </c>
      <c r="P1445" s="555" t="str">
        <f t="shared" ca="1" si="237"/>
        <v/>
      </c>
      <c r="Q1445" s="494" t="s">
        <v>1639</v>
      </c>
      <c r="R1445" s="494" t="str">
        <f t="shared" si="245"/>
        <v>I1445</v>
      </c>
      <c r="S1445" s="494" t="s">
        <v>1640</v>
      </c>
      <c r="T1445" s="494">
        <v>6</v>
      </c>
      <c r="U1445" s="556" t="str">
        <f t="shared" ca="1" si="233"/>
        <v/>
      </c>
      <c r="V1445" s="494">
        <v>7</v>
      </c>
      <c r="W1445" s="556" t="str">
        <f t="shared" ca="1" si="234"/>
        <v/>
      </c>
      <c r="X1445" s="494" t="s">
        <v>1641</v>
      </c>
      <c r="Y1445" s="547" t="str">
        <f t="shared" ca="1" si="238"/>
        <v/>
      </c>
      <c r="Z1445" s="494" t="s">
        <v>183</v>
      </c>
      <c r="AA1445" s="547" t="str">
        <f t="shared" ca="1" si="239"/>
        <v/>
      </c>
      <c r="AB1445" s="494" t="s">
        <v>168</v>
      </c>
      <c r="AC1445" s="547" t="str">
        <f t="shared" ca="1" si="240"/>
        <v/>
      </c>
      <c r="AD1445" s="557"/>
      <c r="AE1445" s="958"/>
    </row>
    <row r="1446" spans="1:31" ht="15" customHeight="1">
      <c r="A1446" s="957" t="str">
        <f t="shared" ca="1" si="243"/>
        <v>27/30</v>
      </c>
      <c r="B1446" s="566" t="s">
        <v>1293</v>
      </c>
      <c r="C1446" s="567" t="str">
        <f t="shared" ca="1" si="244"/>
        <v>Green Star - Multi Unit Residential</v>
      </c>
      <c r="D1446" s="958">
        <v>1</v>
      </c>
      <c r="E1446" s="959" t="s">
        <v>254</v>
      </c>
      <c r="F1446" s="558" t="s">
        <v>1444</v>
      </c>
      <c r="G1446" s="558">
        <v>91</v>
      </c>
      <c r="H1446" s="558" t="s">
        <v>1101</v>
      </c>
      <c r="I1446" s="559" t="s">
        <v>1272</v>
      </c>
      <c r="J1446" s="567" t="s">
        <v>1638</v>
      </c>
      <c r="K1446" s="961" t="s">
        <v>1568</v>
      </c>
      <c r="L1446" s="555" t="str">
        <f t="shared" ca="1" si="235"/>
        <v/>
      </c>
      <c r="M1446" s="494" t="s">
        <v>1569</v>
      </c>
      <c r="N1446" s="555" t="str">
        <f t="shared" ca="1" si="236"/>
        <v/>
      </c>
      <c r="O1446" s="494" t="s">
        <v>1570</v>
      </c>
      <c r="P1446" s="555" t="str">
        <f t="shared" ca="1" si="237"/>
        <v/>
      </c>
      <c r="Q1446" s="494" t="s">
        <v>1639</v>
      </c>
      <c r="R1446" s="494" t="str">
        <f t="shared" si="245"/>
        <v>I1446</v>
      </c>
      <c r="S1446" s="494" t="s">
        <v>1640</v>
      </c>
      <c r="T1446" s="494">
        <v>6</v>
      </c>
      <c r="U1446" s="556" t="str">
        <f t="shared" ca="1" si="233"/>
        <v/>
      </c>
      <c r="V1446" s="494">
        <v>7</v>
      </c>
      <c r="W1446" s="556" t="str">
        <f t="shared" ca="1" si="234"/>
        <v/>
      </c>
      <c r="X1446" s="494" t="s">
        <v>1641</v>
      </c>
      <c r="Y1446" s="547" t="str">
        <f t="shared" ca="1" si="238"/>
        <v/>
      </c>
      <c r="Z1446" s="494" t="s">
        <v>183</v>
      </c>
      <c r="AA1446" s="547" t="str">
        <f t="shared" ca="1" si="239"/>
        <v/>
      </c>
      <c r="AB1446" s="494" t="s">
        <v>168</v>
      </c>
      <c r="AC1446" s="547" t="str">
        <f t="shared" ca="1" si="240"/>
        <v/>
      </c>
      <c r="AD1446" s="557"/>
      <c r="AE1446" s="958"/>
    </row>
    <row r="1447" spans="1:31" ht="15" customHeight="1">
      <c r="A1447" s="957" t="str">
        <f t="shared" ca="1" si="243"/>
        <v>27/30</v>
      </c>
      <c r="B1447" s="566" t="s">
        <v>1293</v>
      </c>
      <c r="C1447" s="567" t="str">
        <f t="shared" ca="1" si="244"/>
        <v>Green Star - Multi Unit Residential</v>
      </c>
      <c r="D1447" s="958">
        <v>1</v>
      </c>
      <c r="E1447" s="959" t="s">
        <v>254</v>
      </c>
      <c r="F1447" s="558" t="s">
        <v>1444</v>
      </c>
      <c r="G1447" s="558">
        <v>30</v>
      </c>
      <c r="H1447" s="558" t="s">
        <v>1103</v>
      </c>
      <c r="I1447" s="559" t="s">
        <v>298</v>
      </c>
      <c r="J1447" s="567" t="s">
        <v>1638</v>
      </c>
      <c r="K1447" s="961" t="s">
        <v>1568</v>
      </c>
      <c r="L1447" s="555" t="str">
        <f t="shared" ca="1" si="235"/>
        <v/>
      </c>
      <c r="M1447" s="494" t="s">
        <v>1569</v>
      </c>
      <c r="N1447" s="555" t="str">
        <f t="shared" ca="1" si="236"/>
        <v/>
      </c>
      <c r="O1447" s="494" t="s">
        <v>1570</v>
      </c>
      <c r="P1447" s="555" t="str">
        <f t="shared" ca="1" si="237"/>
        <v/>
      </c>
      <c r="Q1447" s="494" t="s">
        <v>1639</v>
      </c>
      <c r="R1447" s="494" t="str">
        <f t="shared" si="245"/>
        <v>I1447</v>
      </c>
      <c r="S1447" s="494" t="s">
        <v>1642</v>
      </c>
      <c r="T1447" s="494">
        <v>6</v>
      </c>
      <c r="U1447" s="556" t="str">
        <f t="shared" ca="1" si="233"/>
        <v/>
      </c>
      <c r="V1447" s="494">
        <v>7</v>
      </c>
      <c r="W1447" s="556" t="str">
        <f t="shared" ca="1" si="234"/>
        <v/>
      </c>
      <c r="X1447" s="494" t="s">
        <v>1641</v>
      </c>
      <c r="Y1447" s="547" t="str">
        <f t="shared" ca="1" si="238"/>
        <v/>
      </c>
      <c r="Z1447" s="494" t="s">
        <v>183</v>
      </c>
      <c r="AA1447" s="547" t="str">
        <f t="shared" ca="1" si="239"/>
        <v/>
      </c>
      <c r="AB1447" s="494" t="s">
        <v>168</v>
      </c>
      <c r="AC1447" s="547" t="str">
        <f t="shared" ca="1" si="240"/>
        <v/>
      </c>
      <c r="AD1447" s="557"/>
      <c r="AE1447" s="958"/>
    </row>
    <row r="1448" spans="1:31" ht="15" customHeight="1">
      <c r="A1448" s="957" t="str">
        <f t="shared" ca="1" si="243"/>
        <v>27/30</v>
      </c>
      <c r="B1448" s="566" t="s">
        <v>1293</v>
      </c>
      <c r="C1448" s="567" t="str">
        <f t="shared" ca="1" si="244"/>
        <v>Green Star - Multi Unit Residential</v>
      </c>
      <c r="D1448" s="958">
        <v>1</v>
      </c>
      <c r="E1448" s="959" t="s">
        <v>254</v>
      </c>
      <c r="F1448" s="558" t="s">
        <v>1444</v>
      </c>
      <c r="G1448" s="558">
        <v>30</v>
      </c>
      <c r="H1448" s="558" t="s">
        <v>1103</v>
      </c>
      <c r="I1448" s="559" t="s">
        <v>682</v>
      </c>
      <c r="J1448" s="567" t="s">
        <v>1638</v>
      </c>
      <c r="K1448" s="961" t="s">
        <v>1568</v>
      </c>
      <c r="L1448" s="555" t="str">
        <f t="shared" ca="1" si="235"/>
        <v/>
      </c>
      <c r="M1448" s="494" t="s">
        <v>1569</v>
      </c>
      <c r="N1448" s="555" t="str">
        <f t="shared" ca="1" si="236"/>
        <v/>
      </c>
      <c r="O1448" s="494" t="s">
        <v>1570</v>
      </c>
      <c r="P1448" s="555" t="str">
        <f t="shared" ca="1" si="237"/>
        <v/>
      </c>
      <c r="Q1448" s="494" t="s">
        <v>1639</v>
      </c>
      <c r="R1448" s="494" t="str">
        <f t="shared" si="245"/>
        <v>I1448</v>
      </c>
      <c r="S1448" s="494" t="s">
        <v>1642</v>
      </c>
      <c r="T1448" s="494">
        <v>6</v>
      </c>
      <c r="U1448" s="556" t="str">
        <f t="shared" ca="1" si="233"/>
        <v/>
      </c>
      <c r="V1448" s="494">
        <v>7</v>
      </c>
      <c r="W1448" s="556" t="str">
        <f t="shared" ca="1" si="234"/>
        <v/>
      </c>
      <c r="X1448" s="494" t="s">
        <v>1641</v>
      </c>
      <c r="Y1448" s="547" t="str">
        <f t="shared" ca="1" si="238"/>
        <v/>
      </c>
      <c r="Z1448" s="494" t="s">
        <v>183</v>
      </c>
      <c r="AA1448" s="547" t="str">
        <f t="shared" ca="1" si="239"/>
        <v/>
      </c>
      <c r="AB1448" s="494" t="s">
        <v>168</v>
      </c>
      <c r="AC1448" s="547" t="str">
        <f t="shared" ca="1" si="240"/>
        <v/>
      </c>
      <c r="AD1448" s="557"/>
      <c r="AE1448" s="958"/>
    </row>
    <row r="1449" spans="1:31" ht="15" customHeight="1">
      <c r="A1449" s="957" t="str">
        <f t="shared" ca="1" si="243"/>
        <v>27/30</v>
      </c>
      <c r="B1449" s="566" t="s">
        <v>1293</v>
      </c>
      <c r="C1449" s="567" t="str">
        <f t="shared" ca="1" si="244"/>
        <v>Green Star - Multi Unit Residential</v>
      </c>
      <c r="D1449" s="958">
        <v>1</v>
      </c>
      <c r="E1449" s="959" t="s">
        <v>254</v>
      </c>
      <c r="F1449" s="558" t="s">
        <v>1444</v>
      </c>
      <c r="G1449" s="558">
        <v>232</v>
      </c>
      <c r="H1449" s="558" t="s">
        <v>1104</v>
      </c>
      <c r="I1449" s="559" t="s">
        <v>785</v>
      </c>
      <c r="J1449" s="567" t="s">
        <v>1638</v>
      </c>
      <c r="K1449" s="961" t="s">
        <v>1568</v>
      </c>
      <c r="L1449" s="555" t="str">
        <f t="shared" ca="1" si="235"/>
        <v/>
      </c>
      <c r="M1449" s="494" t="s">
        <v>1569</v>
      </c>
      <c r="N1449" s="555" t="str">
        <f t="shared" ca="1" si="236"/>
        <v/>
      </c>
      <c r="O1449" s="494" t="s">
        <v>1570</v>
      </c>
      <c r="P1449" s="555" t="str">
        <f t="shared" ca="1" si="237"/>
        <v/>
      </c>
      <c r="Q1449" s="494" t="s">
        <v>1639</v>
      </c>
      <c r="R1449" s="494" t="str">
        <f t="shared" si="245"/>
        <v>I1449</v>
      </c>
      <c r="S1449" s="494" t="s">
        <v>1640</v>
      </c>
      <c r="T1449" s="494">
        <v>6</v>
      </c>
      <c r="U1449" s="556" t="str">
        <f t="shared" ca="1" si="233"/>
        <v/>
      </c>
      <c r="V1449" s="494">
        <v>7</v>
      </c>
      <c r="W1449" s="556" t="str">
        <f t="shared" ca="1" si="234"/>
        <v/>
      </c>
      <c r="X1449" s="494" t="s">
        <v>1641</v>
      </c>
      <c r="Y1449" s="547" t="str">
        <f t="shared" ca="1" si="238"/>
        <v/>
      </c>
      <c r="Z1449" s="494" t="s">
        <v>183</v>
      </c>
      <c r="AA1449" s="547" t="str">
        <f t="shared" ca="1" si="239"/>
        <v/>
      </c>
      <c r="AB1449" s="494" t="s">
        <v>168</v>
      </c>
      <c r="AC1449" s="547" t="str">
        <f t="shared" ca="1" si="240"/>
        <v/>
      </c>
      <c r="AD1449" s="557"/>
      <c r="AE1449" s="958"/>
    </row>
    <row r="1450" spans="1:31" ht="15" customHeight="1">
      <c r="A1450" s="957" t="str">
        <f t="shared" ca="1" si="243"/>
        <v>27/30</v>
      </c>
      <c r="B1450" s="566" t="s">
        <v>1293</v>
      </c>
      <c r="C1450" s="567" t="str">
        <f t="shared" ca="1" si="244"/>
        <v>Green Star - Multi Unit Residential</v>
      </c>
      <c r="D1450" s="958">
        <v>1</v>
      </c>
      <c r="E1450" s="959" t="s">
        <v>254</v>
      </c>
      <c r="F1450" s="558" t="s">
        <v>1444</v>
      </c>
      <c r="G1450" s="558">
        <v>256</v>
      </c>
      <c r="H1450" s="558" t="s">
        <v>1273</v>
      </c>
      <c r="I1450" s="559" t="s">
        <v>1178</v>
      </c>
      <c r="J1450" s="567" t="s">
        <v>1638</v>
      </c>
      <c r="K1450" s="961" t="s">
        <v>1568</v>
      </c>
      <c r="L1450" s="555" t="str">
        <f t="shared" ca="1" si="235"/>
        <v/>
      </c>
      <c r="M1450" s="494" t="s">
        <v>1569</v>
      </c>
      <c r="N1450" s="555" t="str">
        <f t="shared" ca="1" si="236"/>
        <v/>
      </c>
      <c r="O1450" s="494" t="s">
        <v>1570</v>
      </c>
      <c r="P1450" s="555" t="str">
        <f t="shared" ca="1" si="237"/>
        <v/>
      </c>
      <c r="Q1450" s="494" t="s">
        <v>1639</v>
      </c>
      <c r="R1450" s="494" t="str">
        <f t="shared" ref="R1450:R1461" si="246">CONCATENATE("I",ROW(J1450))</f>
        <v>I1450</v>
      </c>
      <c r="S1450" s="494" t="s">
        <v>1642</v>
      </c>
      <c r="T1450" s="494">
        <v>6</v>
      </c>
      <c r="U1450" s="556" t="str">
        <f t="shared" ca="1" si="233"/>
        <v/>
      </c>
      <c r="V1450" s="494">
        <v>7</v>
      </c>
      <c r="W1450" s="556" t="str">
        <f t="shared" ca="1" si="234"/>
        <v/>
      </c>
      <c r="X1450" s="494" t="s">
        <v>1641</v>
      </c>
      <c r="Y1450" s="547" t="str">
        <f t="shared" ca="1" si="238"/>
        <v/>
      </c>
      <c r="Z1450" s="494" t="s">
        <v>183</v>
      </c>
      <c r="AA1450" s="547" t="str">
        <f t="shared" ca="1" si="239"/>
        <v/>
      </c>
      <c r="AB1450" s="494" t="s">
        <v>168</v>
      </c>
      <c r="AC1450" s="547" t="str">
        <f t="shared" ca="1" si="240"/>
        <v/>
      </c>
      <c r="AD1450" s="557"/>
      <c r="AE1450" s="958"/>
    </row>
    <row r="1451" spans="1:31" ht="15" customHeight="1">
      <c r="A1451" s="957" t="str">
        <f t="shared" ca="1" si="243"/>
        <v>27/30</v>
      </c>
      <c r="B1451" s="566" t="s">
        <v>1293</v>
      </c>
      <c r="C1451" s="567" t="str">
        <f t="shared" ca="1" si="244"/>
        <v>Green Star - Multi Unit Residential</v>
      </c>
      <c r="D1451" s="958">
        <v>1</v>
      </c>
      <c r="E1451" s="959" t="s">
        <v>254</v>
      </c>
      <c r="F1451" s="558" t="s">
        <v>1444</v>
      </c>
      <c r="G1451" s="558">
        <v>256</v>
      </c>
      <c r="H1451" s="558" t="s">
        <v>1273</v>
      </c>
      <c r="I1451" s="559" t="s">
        <v>1294</v>
      </c>
      <c r="J1451" s="567" t="s">
        <v>1638</v>
      </c>
      <c r="K1451" s="961" t="s">
        <v>1568</v>
      </c>
      <c r="L1451" s="555" t="str">
        <f t="shared" ca="1" si="235"/>
        <v/>
      </c>
      <c r="M1451" s="494" t="s">
        <v>1569</v>
      </c>
      <c r="N1451" s="555" t="str">
        <f t="shared" ca="1" si="236"/>
        <v/>
      </c>
      <c r="O1451" s="494" t="s">
        <v>1570</v>
      </c>
      <c r="P1451" s="555" t="str">
        <f t="shared" ca="1" si="237"/>
        <v/>
      </c>
      <c r="Q1451" s="494" t="s">
        <v>1639</v>
      </c>
      <c r="R1451" s="494" t="str">
        <f t="shared" si="246"/>
        <v>I1451</v>
      </c>
      <c r="S1451" s="494" t="s">
        <v>1642</v>
      </c>
      <c r="T1451" s="494">
        <v>6</v>
      </c>
      <c r="U1451" s="556" t="str">
        <f t="shared" ca="1" si="233"/>
        <v/>
      </c>
      <c r="V1451" s="494">
        <v>7</v>
      </c>
      <c r="W1451" s="556" t="str">
        <f t="shared" ca="1" si="234"/>
        <v/>
      </c>
      <c r="X1451" s="494" t="s">
        <v>1641</v>
      </c>
      <c r="Y1451" s="547" t="str">
        <f t="shared" ca="1" si="238"/>
        <v/>
      </c>
      <c r="Z1451" s="494" t="s">
        <v>183</v>
      </c>
      <c r="AA1451" s="547" t="str">
        <f t="shared" ca="1" si="239"/>
        <v/>
      </c>
      <c r="AB1451" s="494" t="s">
        <v>168</v>
      </c>
      <c r="AC1451" s="547" t="str">
        <f t="shared" ca="1" si="240"/>
        <v/>
      </c>
      <c r="AD1451" s="557"/>
      <c r="AE1451" s="958"/>
    </row>
    <row r="1452" spans="1:31" ht="15" customHeight="1">
      <c r="A1452" s="957" t="str">
        <f t="shared" ca="1" si="243"/>
        <v>27/30</v>
      </c>
      <c r="B1452" s="566" t="s">
        <v>1293</v>
      </c>
      <c r="C1452" s="567" t="str">
        <f t="shared" ca="1" si="244"/>
        <v>Green Star - Multi Unit Residential</v>
      </c>
      <c r="D1452" s="958">
        <v>1</v>
      </c>
      <c r="E1452" s="959" t="s">
        <v>254</v>
      </c>
      <c r="F1452" s="558" t="s">
        <v>1444</v>
      </c>
      <c r="G1452" s="558">
        <v>256</v>
      </c>
      <c r="H1452" s="558" t="s">
        <v>1273</v>
      </c>
      <c r="I1452" s="559" t="s">
        <v>1295</v>
      </c>
      <c r="J1452" s="567" t="s">
        <v>1638</v>
      </c>
      <c r="K1452" s="961" t="s">
        <v>1568</v>
      </c>
      <c r="L1452" s="555" t="str">
        <f t="shared" ca="1" si="235"/>
        <v/>
      </c>
      <c r="M1452" s="494" t="s">
        <v>1569</v>
      </c>
      <c r="N1452" s="555" t="str">
        <f t="shared" ca="1" si="236"/>
        <v/>
      </c>
      <c r="O1452" s="494" t="s">
        <v>1570</v>
      </c>
      <c r="P1452" s="555" t="str">
        <f t="shared" ca="1" si="237"/>
        <v/>
      </c>
      <c r="Q1452" s="494" t="s">
        <v>1639</v>
      </c>
      <c r="R1452" s="494" t="str">
        <f t="shared" si="246"/>
        <v>I1452</v>
      </c>
      <c r="S1452" s="494" t="s">
        <v>1642</v>
      </c>
      <c r="T1452" s="494">
        <v>6</v>
      </c>
      <c r="U1452" s="556" t="str">
        <f t="shared" ca="1" si="233"/>
        <v/>
      </c>
      <c r="V1452" s="494">
        <v>7</v>
      </c>
      <c r="W1452" s="556" t="str">
        <f t="shared" ca="1" si="234"/>
        <v/>
      </c>
      <c r="X1452" s="494" t="s">
        <v>1641</v>
      </c>
      <c r="Y1452" s="547" t="str">
        <f t="shared" ca="1" si="238"/>
        <v/>
      </c>
      <c r="Z1452" s="494" t="s">
        <v>183</v>
      </c>
      <c r="AA1452" s="547" t="str">
        <f t="shared" ca="1" si="239"/>
        <v/>
      </c>
      <c r="AB1452" s="494" t="s">
        <v>168</v>
      </c>
      <c r="AC1452" s="547" t="str">
        <f t="shared" ca="1" si="240"/>
        <v/>
      </c>
      <c r="AD1452" s="557"/>
      <c r="AE1452" s="958"/>
    </row>
    <row r="1453" spans="1:31" ht="15" customHeight="1">
      <c r="A1453" s="957" t="str">
        <f t="shared" ca="1" si="243"/>
        <v>27/30</v>
      </c>
      <c r="B1453" s="566" t="s">
        <v>1293</v>
      </c>
      <c r="C1453" s="567" t="str">
        <f t="shared" ca="1" si="244"/>
        <v>Green Star - Multi Unit Residential</v>
      </c>
      <c r="D1453" s="958">
        <v>1</v>
      </c>
      <c r="E1453" s="959" t="s">
        <v>306</v>
      </c>
      <c r="F1453" s="558" t="s">
        <v>1454</v>
      </c>
      <c r="G1453" s="558">
        <v>44</v>
      </c>
      <c r="H1453" s="558" t="s">
        <v>1122</v>
      </c>
      <c r="I1453" s="559" t="s">
        <v>326</v>
      </c>
      <c r="J1453" s="567" t="s">
        <v>1638</v>
      </c>
      <c r="K1453" s="961" t="s">
        <v>1568</v>
      </c>
      <c r="L1453" s="555" t="str">
        <f t="shared" ca="1" si="235"/>
        <v/>
      </c>
      <c r="M1453" s="494" t="s">
        <v>1569</v>
      </c>
      <c r="N1453" s="555" t="str">
        <f t="shared" ca="1" si="236"/>
        <v/>
      </c>
      <c r="O1453" s="494" t="s">
        <v>1570</v>
      </c>
      <c r="P1453" s="555" t="str">
        <f t="shared" ca="1" si="237"/>
        <v/>
      </c>
      <c r="Q1453" s="494" t="s">
        <v>1639</v>
      </c>
      <c r="R1453" s="494" t="str">
        <f t="shared" si="246"/>
        <v>I1453</v>
      </c>
      <c r="S1453" s="494" t="s">
        <v>1640</v>
      </c>
      <c r="T1453" s="494">
        <v>6</v>
      </c>
      <c r="U1453" s="556" t="str">
        <f t="shared" ca="1" si="233"/>
        <v/>
      </c>
      <c r="V1453" s="494">
        <v>7</v>
      </c>
      <c r="W1453" s="556" t="str">
        <f t="shared" ca="1" si="234"/>
        <v/>
      </c>
      <c r="X1453" s="494" t="s">
        <v>1641</v>
      </c>
      <c r="Y1453" s="547" t="str">
        <f t="shared" ca="1" si="238"/>
        <v/>
      </c>
      <c r="Z1453" s="494" t="s">
        <v>183</v>
      </c>
      <c r="AA1453" s="547" t="str">
        <f t="shared" ca="1" si="239"/>
        <v/>
      </c>
      <c r="AB1453" s="494" t="s">
        <v>168</v>
      </c>
      <c r="AC1453" s="547" t="str">
        <f t="shared" ca="1" si="240"/>
        <v/>
      </c>
      <c r="AD1453" s="557"/>
      <c r="AE1453" s="958"/>
    </row>
    <row r="1454" spans="1:31" ht="15" customHeight="1">
      <c r="A1454" s="957" t="str">
        <f t="shared" ca="1" si="243"/>
        <v>27/30</v>
      </c>
      <c r="B1454" s="566" t="s">
        <v>1293</v>
      </c>
      <c r="C1454" s="567" t="str">
        <f t="shared" ca="1" si="244"/>
        <v>Green Star - Multi Unit Residential</v>
      </c>
      <c r="D1454" s="958">
        <v>1</v>
      </c>
      <c r="E1454" s="959" t="s">
        <v>306</v>
      </c>
      <c r="F1454" s="558" t="s">
        <v>1454</v>
      </c>
      <c r="G1454" s="558">
        <v>73</v>
      </c>
      <c r="H1454" s="558" t="s">
        <v>1123</v>
      </c>
      <c r="I1454" s="559" t="s">
        <v>332</v>
      </c>
      <c r="J1454" s="567" t="s">
        <v>1638</v>
      </c>
      <c r="K1454" s="961" t="s">
        <v>1568</v>
      </c>
      <c r="L1454" s="555" t="str">
        <f t="shared" ca="1" si="235"/>
        <v/>
      </c>
      <c r="M1454" s="494" t="s">
        <v>1569</v>
      </c>
      <c r="N1454" s="555" t="str">
        <f t="shared" ca="1" si="236"/>
        <v/>
      </c>
      <c r="O1454" s="494" t="s">
        <v>1570</v>
      </c>
      <c r="P1454" s="555" t="str">
        <f t="shared" ca="1" si="237"/>
        <v/>
      </c>
      <c r="Q1454" s="494" t="s">
        <v>1639</v>
      </c>
      <c r="R1454" s="494" t="str">
        <f t="shared" si="246"/>
        <v>I1454</v>
      </c>
      <c r="S1454" s="494" t="s">
        <v>1640</v>
      </c>
      <c r="T1454" s="494">
        <v>6</v>
      </c>
      <c r="U1454" s="556" t="str">
        <f t="shared" ca="1" si="233"/>
        <v/>
      </c>
      <c r="V1454" s="494">
        <v>7</v>
      </c>
      <c r="W1454" s="556" t="str">
        <f t="shared" ca="1" si="234"/>
        <v/>
      </c>
      <c r="X1454" s="494" t="s">
        <v>1641</v>
      </c>
      <c r="Y1454" s="547" t="str">
        <f t="shared" ca="1" si="238"/>
        <v/>
      </c>
      <c r="Z1454" s="494" t="s">
        <v>183</v>
      </c>
      <c r="AA1454" s="547" t="str">
        <f t="shared" ca="1" si="239"/>
        <v/>
      </c>
      <c r="AB1454" s="494" t="s">
        <v>168</v>
      </c>
      <c r="AC1454" s="547" t="str">
        <f t="shared" ca="1" si="240"/>
        <v/>
      </c>
      <c r="AD1454" s="557"/>
      <c r="AE1454" s="958"/>
    </row>
    <row r="1455" spans="1:31" ht="15" customHeight="1">
      <c r="A1455" s="957" t="str">
        <f t="shared" ca="1" si="243"/>
        <v>27/30</v>
      </c>
      <c r="B1455" s="566" t="s">
        <v>1293</v>
      </c>
      <c r="C1455" s="567" t="str">
        <f t="shared" ca="1" si="244"/>
        <v>Green Star - Multi Unit Residential</v>
      </c>
      <c r="D1455" s="958">
        <v>1</v>
      </c>
      <c r="E1455" s="959" t="s">
        <v>306</v>
      </c>
      <c r="F1455" s="558" t="s">
        <v>1454</v>
      </c>
      <c r="G1455" s="558">
        <v>134</v>
      </c>
      <c r="H1455" s="558" t="s">
        <v>1124</v>
      </c>
      <c r="I1455" s="559" t="s">
        <v>597</v>
      </c>
      <c r="J1455" s="567" t="s">
        <v>1638</v>
      </c>
      <c r="K1455" s="961" t="s">
        <v>1568</v>
      </c>
      <c r="L1455" s="555" t="str">
        <f t="shared" ca="1" si="235"/>
        <v/>
      </c>
      <c r="M1455" s="494" t="s">
        <v>1569</v>
      </c>
      <c r="N1455" s="555" t="str">
        <f t="shared" ca="1" si="236"/>
        <v/>
      </c>
      <c r="O1455" s="494" t="s">
        <v>1570</v>
      </c>
      <c r="P1455" s="555" t="str">
        <f t="shared" ca="1" si="237"/>
        <v/>
      </c>
      <c r="Q1455" s="494" t="s">
        <v>1639</v>
      </c>
      <c r="R1455" s="494" t="str">
        <f t="shared" si="246"/>
        <v>I1455</v>
      </c>
      <c r="S1455" s="494" t="s">
        <v>1640</v>
      </c>
      <c r="T1455" s="494">
        <v>6</v>
      </c>
      <c r="U1455" s="556" t="str">
        <f t="shared" ca="1" si="233"/>
        <v/>
      </c>
      <c r="V1455" s="494">
        <v>7</v>
      </c>
      <c r="W1455" s="556" t="str">
        <f t="shared" ca="1" si="234"/>
        <v/>
      </c>
      <c r="X1455" s="494" t="s">
        <v>1641</v>
      </c>
      <c r="Y1455" s="547" t="str">
        <f t="shared" ca="1" si="238"/>
        <v/>
      </c>
      <c r="Z1455" s="494" t="s">
        <v>183</v>
      </c>
      <c r="AA1455" s="547" t="str">
        <f t="shared" ca="1" si="239"/>
        <v/>
      </c>
      <c r="AB1455" s="494" t="s">
        <v>168</v>
      </c>
      <c r="AC1455" s="547" t="str">
        <f t="shared" ca="1" si="240"/>
        <v/>
      </c>
      <c r="AD1455" s="557"/>
      <c r="AE1455" s="958"/>
    </row>
    <row r="1456" spans="1:31" ht="15" customHeight="1">
      <c r="A1456" s="957" t="str">
        <f t="shared" ca="1" si="243"/>
        <v>27/30</v>
      </c>
      <c r="B1456" s="566" t="s">
        <v>1293</v>
      </c>
      <c r="C1456" s="567" t="str">
        <f t="shared" ca="1" si="244"/>
        <v>Green Star - Multi Unit Residential</v>
      </c>
      <c r="D1456" s="958">
        <v>1</v>
      </c>
      <c r="E1456" s="959" t="s">
        <v>306</v>
      </c>
      <c r="F1456" s="558" t="s">
        <v>1454</v>
      </c>
      <c r="G1456" s="558">
        <v>109</v>
      </c>
      <c r="H1456" s="558" t="s">
        <v>1125</v>
      </c>
      <c r="I1456" s="559" t="s">
        <v>314</v>
      </c>
      <c r="J1456" s="567" t="s">
        <v>1638</v>
      </c>
      <c r="K1456" s="961" t="s">
        <v>1568</v>
      </c>
      <c r="L1456" s="555" t="str">
        <f t="shared" ca="1" si="235"/>
        <v/>
      </c>
      <c r="M1456" s="494" t="s">
        <v>1569</v>
      </c>
      <c r="N1456" s="555" t="str">
        <f t="shared" ca="1" si="236"/>
        <v/>
      </c>
      <c r="O1456" s="494" t="s">
        <v>1570</v>
      </c>
      <c r="P1456" s="555" t="str">
        <f t="shared" ca="1" si="237"/>
        <v/>
      </c>
      <c r="Q1456" s="494" t="s">
        <v>1639</v>
      </c>
      <c r="R1456" s="494" t="str">
        <f t="shared" si="246"/>
        <v>I1456</v>
      </c>
      <c r="S1456" s="494" t="s">
        <v>1640</v>
      </c>
      <c r="T1456" s="494">
        <v>6</v>
      </c>
      <c r="U1456" s="556" t="str">
        <f t="shared" ca="1" si="233"/>
        <v/>
      </c>
      <c r="V1456" s="494">
        <v>7</v>
      </c>
      <c r="W1456" s="556" t="str">
        <f t="shared" ca="1" si="234"/>
        <v/>
      </c>
      <c r="X1456" s="494" t="s">
        <v>1641</v>
      </c>
      <c r="Y1456" s="547" t="str">
        <f t="shared" ca="1" si="238"/>
        <v/>
      </c>
      <c r="Z1456" s="494" t="s">
        <v>183</v>
      </c>
      <c r="AA1456" s="547" t="str">
        <f t="shared" ca="1" si="239"/>
        <v/>
      </c>
      <c r="AB1456" s="494" t="s">
        <v>168</v>
      </c>
      <c r="AC1456" s="547" t="str">
        <f t="shared" ca="1" si="240"/>
        <v/>
      </c>
      <c r="AD1456" s="557"/>
      <c r="AE1456" s="958"/>
    </row>
    <row r="1457" spans="1:31" ht="15" customHeight="1">
      <c r="A1457" s="957" t="str">
        <f t="shared" ca="1" si="243"/>
        <v>27/30</v>
      </c>
      <c r="B1457" s="566" t="s">
        <v>1293</v>
      </c>
      <c r="C1457" s="567" t="str">
        <f t="shared" ca="1" si="244"/>
        <v>Green Star - Multi Unit Residential</v>
      </c>
      <c r="D1457" s="958">
        <v>1</v>
      </c>
      <c r="E1457" s="959" t="s">
        <v>306</v>
      </c>
      <c r="F1457" s="558" t="s">
        <v>1454</v>
      </c>
      <c r="G1457" s="558">
        <v>110</v>
      </c>
      <c r="H1457" s="558" t="s">
        <v>1126</v>
      </c>
      <c r="I1457" s="559" t="s">
        <v>1128</v>
      </c>
      <c r="J1457" s="567" t="s">
        <v>1638</v>
      </c>
      <c r="K1457" s="961" t="s">
        <v>1568</v>
      </c>
      <c r="L1457" s="555" t="str">
        <f t="shared" ca="1" si="235"/>
        <v/>
      </c>
      <c r="M1457" s="494" t="s">
        <v>1569</v>
      </c>
      <c r="N1457" s="555" t="str">
        <f t="shared" ca="1" si="236"/>
        <v/>
      </c>
      <c r="O1457" s="494" t="s">
        <v>1570</v>
      </c>
      <c r="P1457" s="555" t="str">
        <f t="shared" ca="1" si="237"/>
        <v/>
      </c>
      <c r="Q1457" s="494" t="s">
        <v>1639</v>
      </c>
      <c r="R1457" s="494" t="str">
        <f t="shared" si="246"/>
        <v>I1457</v>
      </c>
      <c r="S1457" s="494" t="s">
        <v>1642</v>
      </c>
      <c r="T1457" s="494">
        <v>6</v>
      </c>
      <c r="U1457" s="556" t="str">
        <f t="shared" ca="1" si="233"/>
        <v/>
      </c>
      <c r="V1457" s="494">
        <v>7</v>
      </c>
      <c r="W1457" s="556" t="str">
        <f t="shared" ca="1" si="234"/>
        <v/>
      </c>
      <c r="X1457" s="494" t="s">
        <v>1641</v>
      </c>
      <c r="Y1457" s="547" t="str">
        <f t="shared" ca="1" si="238"/>
        <v/>
      </c>
      <c r="Z1457" s="494" t="s">
        <v>183</v>
      </c>
      <c r="AA1457" s="547" t="str">
        <f t="shared" ca="1" si="239"/>
        <v/>
      </c>
      <c r="AB1457" s="494" t="s">
        <v>168</v>
      </c>
      <c r="AC1457" s="547" t="str">
        <f t="shared" ca="1" si="240"/>
        <v/>
      </c>
      <c r="AD1457" s="557"/>
      <c r="AE1457" s="958"/>
    </row>
    <row r="1458" spans="1:31" ht="15" customHeight="1">
      <c r="A1458" s="957" t="str">
        <f t="shared" ca="1" si="243"/>
        <v>27/30</v>
      </c>
      <c r="B1458" s="566" t="s">
        <v>1293</v>
      </c>
      <c r="C1458" s="567" t="str">
        <f t="shared" ca="1" si="244"/>
        <v>Green Star - Multi Unit Residential</v>
      </c>
      <c r="D1458" s="958">
        <v>1</v>
      </c>
      <c r="E1458" s="959" t="s">
        <v>306</v>
      </c>
      <c r="F1458" s="558" t="s">
        <v>1454</v>
      </c>
      <c r="G1458" s="558">
        <v>110</v>
      </c>
      <c r="H1458" s="558" t="s">
        <v>1126</v>
      </c>
      <c r="I1458" s="559" t="s">
        <v>1129</v>
      </c>
      <c r="J1458" s="567" t="s">
        <v>1638</v>
      </c>
      <c r="K1458" s="961" t="s">
        <v>1568</v>
      </c>
      <c r="L1458" s="555" t="str">
        <f t="shared" ca="1" si="235"/>
        <v/>
      </c>
      <c r="M1458" s="494" t="s">
        <v>1569</v>
      </c>
      <c r="N1458" s="555" t="str">
        <f t="shared" ca="1" si="236"/>
        <v/>
      </c>
      <c r="O1458" s="494" t="s">
        <v>1570</v>
      </c>
      <c r="P1458" s="555" t="str">
        <f t="shared" ca="1" si="237"/>
        <v/>
      </c>
      <c r="Q1458" s="494" t="s">
        <v>1639</v>
      </c>
      <c r="R1458" s="494" t="str">
        <f t="shared" si="246"/>
        <v>I1458</v>
      </c>
      <c r="S1458" s="494" t="s">
        <v>1642</v>
      </c>
      <c r="T1458" s="494">
        <v>6</v>
      </c>
      <c r="U1458" s="556" t="str">
        <f t="shared" ca="1" si="233"/>
        <v/>
      </c>
      <c r="V1458" s="494">
        <v>7</v>
      </c>
      <c r="W1458" s="556" t="str">
        <f t="shared" ca="1" si="234"/>
        <v/>
      </c>
      <c r="X1458" s="494" t="s">
        <v>1641</v>
      </c>
      <c r="Y1458" s="547" t="str">
        <f t="shared" ca="1" si="238"/>
        <v/>
      </c>
      <c r="Z1458" s="494" t="s">
        <v>183</v>
      </c>
      <c r="AA1458" s="547" t="str">
        <f t="shared" ca="1" si="239"/>
        <v/>
      </c>
      <c r="AB1458" s="494" t="s">
        <v>168</v>
      </c>
      <c r="AC1458" s="547" t="str">
        <f t="shared" ca="1" si="240"/>
        <v/>
      </c>
      <c r="AD1458" s="557"/>
      <c r="AE1458" s="958"/>
    </row>
    <row r="1459" spans="1:31" ht="15" customHeight="1">
      <c r="A1459" s="957" t="str">
        <f t="shared" ca="1" si="243"/>
        <v>27/30</v>
      </c>
      <c r="B1459" s="566" t="s">
        <v>1293</v>
      </c>
      <c r="C1459" s="567" t="str">
        <f t="shared" ca="1" si="244"/>
        <v>Green Star - Multi Unit Residential</v>
      </c>
      <c r="D1459" s="958">
        <v>1</v>
      </c>
      <c r="E1459" s="959" t="s">
        <v>306</v>
      </c>
      <c r="F1459" s="558" t="s">
        <v>1454</v>
      </c>
      <c r="G1459" s="558">
        <v>110</v>
      </c>
      <c r="H1459" s="558" t="s">
        <v>1126</v>
      </c>
      <c r="I1459" s="559" t="s">
        <v>1130</v>
      </c>
      <c r="J1459" s="567" t="s">
        <v>1638</v>
      </c>
      <c r="K1459" s="961" t="s">
        <v>1568</v>
      </c>
      <c r="L1459" s="555" t="str">
        <f t="shared" ca="1" si="235"/>
        <v/>
      </c>
      <c r="M1459" s="494" t="s">
        <v>1569</v>
      </c>
      <c r="N1459" s="555" t="str">
        <f t="shared" ca="1" si="236"/>
        <v/>
      </c>
      <c r="O1459" s="494" t="s">
        <v>1570</v>
      </c>
      <c r="P1459" s="555" t="str">
        <f t="shared" ca="1" si="237"/>
        <v/>
      </c>
      <c r="Q1459" s="494" t="s">
        <v>1639</v>
      </c>
      <c r="R1459" s="494" t="str">
        <f t="shared" si="246"/>
        <v>I1459</v>
      </c>
      <c r="S1459" s="494" t="s">
        <v>1642</v>
      </c>
      <c r="T1459" s="494">
        <v>6</v>
      </c>
      <c r="U1459" s="556" t="str">
        <f t="shared" ca="1" si="233"/>
        <v/>
      </c>
      <c r="V1459" s="494">
        <v>7</v>
      </c>
      <c r="W1459" s="556" t="str">
        <f t="shared" ca="1" si="234"/>
        <v/>
      </c>
      <c r="X1459" s="494" t="s">
        <v>1641</v>
      </c>
      <c r="Y1459" s="547" t="str">
        <f t="shared" ca="1" si="238"/>
        <v/>
      </c>
      <c r="Z1459" s="494" t="s">
        <v>183</v>
      </c>
      <c r="AA1459" s="547" t="str">
        <f t="shared" ca="1" si="239"/>
        <v/>
      </c>
      <c r="AB1459" s="494" t="s">
        <v>168</v>
      </c>
      <c r="AC1459" s="547" t="str">
        <f t="shared" ca="1" si="240"/>
        <v/>
      </c>
      <c r="AD1459" s="557"/>
      <c r="AE1459" s="958"/>
    </row>
    <row r="1460" spans="1:31" ht="15" customHeight="1">
      <c r="A1460" s="957" t="str">
        <f t="shared" ca="1" si="243"/>
        <v>27/30</v>
      </c>
      <c r="B1460" s="566" t="s">
        <v>1293</v>
      </c>
      <c r="C1460" s="567" t="str">
        <f t="shared" ca="1" si="244"/>
        <v>Green Star - Multi Unit Residential</v>
      </c>
      <c r="D1460" s="958">
        <v>1</v>
      </c>
      <c r="E1460" s="959" t="s">
        <v>306</v>
      </c>
      <c r="F1460" s="558" t="s">
        <v>1454</v>
      </c>
      <c r="G1460" s="558">
        <v>110</v>
      </c>
      <c r="H1460" s="558" t="s">
        <v>1126</v>
      </c>
      <c r="I1460" s="559" t="s">
        <v>991</v>
      </c>
      <c r="J1460" s="567" t="s">
        <v>1638</v>
      </c>
      <c r="K1460" s="961" t="s">
        <v>1568</v>
      </c>
      <c r="L1460" s="555" t="str">
        <f t="shared" ca="1" si="235"/>
        <v/>
      </c>
      <c r="M1460" s="494" t="s">
        <v>1569</v>
      </c>
      <c r="N1460" s="555" t="str">
        <f t="shared" ca="1" si="236"/>
        <v/>
      </c>
      <c r="O1460" s="494" t="s">
        <v>1570</v>
      </c>
      <c r="P1460" s="555" t="str">
        <f t="shared" ca="1" si="237"/>
        <v/>
      </c>
      <c r="Q1460" s="494" t="s">
        <v>1639</v>
      </c>
      <c r="R1460" s="494" t="str">
        <f t="shared" si="246"/>
        <v>I1460</v>
      </c>
      <c r="S1460" s="494" t="s">
        <v>1642</v>
      </c>
      <c r="T1460" s="494">
        <v>6</v>
      </c>
      <c r="U1460" s="556" t="str">
        <f t="shared" ca="1" si="233"/>
        <v/>
      </c>
      <c r="V1460" s="494">
        <v>7</v>
      </c>
      <c r="W1460" s="556" t="str">
        <f t="shared" ca="1" si="234"/>
        <v/>
      </c>
      <c r="X1460" s="494" t="s">
        <v>1641</v>
      </c>
      <c r="Y1460" s="547" t="str">
        <f t="shared" ca="1" si="238"/>
        <v/>
      </c>
      <c r="Z1460" s="494" t="s">
        <v>183</v>
      </c>
      <c r="AA1460" s="547" t="str">
        <f t="shared" ca="1" si="239"/>
        <v/>
      </c>
      <c r="AB1460" s="494" t="s">
        <v>168</v>
      </c>
      <c r="AC1460" s="547" t="str">
        <f t="shared" ca="1" si="240"/>
        <v/>
      </c>
      <c r="AD1460" s="557"/>
      <c r="AE1460" s="958"/>
    </row>
    <row r="1461" spans="1:31" ht="15" customHeight="1">
      <c r="A1461" s="957" t="str">
        <f t="shared" ca="1" si="243"/>
        <v>27/30</v>
      </c>
      <c r="B1461" s="566" t="s">
        <v>1293</v>
      </c>
      <c r="C1461" s="567" t="str">
        <f t="shared" ca="1" si="244"/>
        <v>Green Star - Multi Unit Residential</v>
      </c>
      <c r="D1461" s="958">
        <v>1</v>
      </c>
      <c r="E1461" s="959" t="s">
        <v>306</v>
      </c>
      <c r="F1461" s="558" t="s">
        <v>1454</v>
      </c>
      <c r="G1461" s="558">
        <v>111</v>
      </c>
      <c r="H1461" s="558" t="s">
        <v>1132</v>
      </c>
      <c r="I1461" s="559" t="s">
        <v>1133</v>
      </c>
      <c r="J1461" s="567" t="s">
        <v>1638</v>
      </c>
      <c r="K1461" s="961" t="s">
        <v>1568</v>
      </c>
      <c r="L1461" s="555" t="str">
        <f t="shared" ca="1" si="235"/>
        <v/>
      </c>
      <c r="M1461" s="494" t="s">
        <v>1569</v>
      </c>
      <c r="N1461" s="555" t="str">
        <f t="shared" ca="1" si="236"/>
        <v/>
      </c>
      <c r="O1461" s="494" t="s">
        <v>1570</v>
      </c>
      <c r="P1461" s="555" t="str">
        <f t="shared" ca="1" si="237"/>
        <v/>
      </c>
      <c r="Q1461" s="494" t="s">
        <v>1639</v>
      </c>
      <c r="R1461" s="494" t="str">
        <f t="shared" si="246"/>
        <v>I1461</v>
      </c>
      <c r="S1461" s="494" t="s">
        <v>1640</v>
      </c>
      <c r="T1461" s="494">
        <v>6</v>
      </c>
      <c r="U1461" s="556" t="str">
        <f t="shared" ca="1" si="233"/>
        <v/>
      </c>
      <c r="V1461" s="494">
        <v>7</v>
      </c>
      <c r="W1461" s="556" t="str">
        <f t="shared" ca="1" si="234"/>
        <v/>
      </c>
      <c r="X1461" s="494" t="s">
        <v>1641</v>
      </c>
      <c r="Y1461" s="547" t="str">
        <f t="shared" ca="1" si="238"/>
        <v/>
      </c>
      <c r="Z1461" s="494" t="s">
        <v>183</v>
      </c>
      <c r="AA1461" s="547" t="str">
        <f t="shared" ca="1" si="239"/>
        <v/>
      </c>
      <c r="AB1461" s="494" t="s">
        <v>168</v>
      </c>
      <c r="AC1461" s="547" t="str">
        <f t="shared" ca="1" si="240"/>
        <v/>
      </c>
      <c r="AD1461" s="557"/>
      <c r="AE1461" s="958"/>
    </row>
    <row r="1462" spans="1:31" ht="15" customHeight="1">
      <c r="A1462" s="957" t="str">
        <f t="shared" ca="1" si="243"/>
        <v>27/30</v>
      </c>
      <c r="B1462" s="566" t="s">
        <v>1293</v>
      </c>
      <c r="C1462" s="567" t="str">
        <f t="shared" ca="1" si="244"/>
        <v>Green Star - Multi Unit Residential</v>
      </c>
      <c r="D1462" s="958">
        <v>1</v>
      </c>
      <c r="E1462" s="959" t="s">
        <v>306</v>
      </c>
      <c r="F1462" s="558" t="s">
        <v>1454</v>
      </c>
      <c r="G1462" s="558">
        <v>104</v>
      </c>
      <c r="H1462" s="558" t="s">
        <v>1140</v>
      </c>
      <c r="I1462" s="559" t="s">
        <v>1141</v>
      </c>
      <c r="J1462" s="567" t="s">
        <v>1638</v>
      </c>
      <c r="K1462" s="961" t="s">
        <v>1568</v>
      </c>
      <c r="L1462" s="555" t="str">
        <f t="shared" ca="1" si="235"/>
        <v/>
      </c>
      <c r="M1462" s="494" t="s">
        <v>1569</v>
      </c>
      <c r="N1462" s="555" t="str">
        <f t="shared" ca="1" si="236"/>
        <v/>
      </c>
      <c r="O1462" s="494" t="s">
        <v>1570</v>
      </c>
      <c r="P1462" s="555" t="str">
        <f t="shared" ca="1" si="237"/>
        <v/>
      </c>
      <c r="Q1462" s="494" t="s">
        <v>1639</v>
      </c>
      <c r="R1462" s="494" t="str">
        <f t="shared" si="245"/>
        <v>I1462</v>
      </c>
      <c r="S1462" s="494" t="s">
        <v>1640</v>
      </c>
      <c r="T1462" s="494">
        <v>6</v>
      </c>
      <c r="U1462" s="556" t="str">
        <f t="shared" ca="1" si="233"/>
        <v/>
      </c>
      <c r="V1462" s="494">
        <v>7</v>
      </c>
      <c r="W1462" s="556" t="str">
        <f t="shared" ca="1" si="234"/>
        <v/>
      </c>
      <c r="X1462" s="494" t="s">
        <v>1641</v>
      </c>
      <c r="Y1462" s="547" t="str">
        <f t="shared" ca="1" si="238"/>
        <v/>
      </c>
      <c r="Z1462" s="494" t="s">
        <v>183</v>
      </c>
      <c r="AA1462" s="547" t="str">
        <f t="shared" ca="1" si="239"/>
        <v/>
      </c>
      <c r="AB1462" s="494" t="s">
        <v>168</v>
      </c>
      <c r="AC1462" s="547" t="str">
        <f t="shared" ca="1" si="240"/>
        <v/>
      </c>
      <c r="AD1462" s="557"/>
      <c r="AE1462" s="958"/>
    </row>
    <row r="1463" spans="1:31" ht="15" customHeight="1">
      <c r="A1463" s="957" t="str">
        <f t="shared" ca="1" si="243"/>
        <v>27/30</v>
      </c>
      <c r="B1463" s="566" t="s">
        <v>1293</v>
      </c>
      <c r="C1463" s="567" t="str">
        <f t="shared" ca="1" si="244"/>
        <v>Green Star - Multi Unit Residential</v>
      </c>
      <c r="D1463" s="958">
        <v>1</v>
      </c>
      <c r="E1463" s="959" t="s">
        <v>306</v>
      </c>
      <c r="F1463" s="558" t="s">
        <v>1454</v>
      </c>
      <c r="G1463" s="558">
        <v>157</v>
      </c>
      <c r="H1463" s="558" t="s">
        <v>1296</v>
      </c>
      <c r="I1463" s="559" t="s">
        <v>1297</v>
      </c>
      <c r="J1463" s="567" t="s">
        <v>1638</v>
      </c>
      <c r="K1463" s="961" t="s">
        <v>1568</v>
      </c>
      <c r="L1463" s="555" t="str">
        <f t="shared" ca="1" si="235"/>
        <v/>
      </c>
      <c r="M1463" s="494" t="s">
        <v>1569</v>
      </c>
      <c r="N1463" s="555" t="str">
        <f t="shared" ca="1" si="236"/>
        <v/>
      </c>
      <c r="O1463" s="494" t="s">
        <v>1570</v>
      </c>
      <c r="P1463" s="555" t="str">
        <f t="shared" ca="1" si="237"/>
        <v/>
      </c>
      <c r="Q1463" s="494" t="s">
        <v>1639</v>
      </c>
      <c r="R1463" s="494" t="str">
        <f t="shared" si="245"/>
        <v>I1463</v>
      </c>
      <c r="S1463" s="494" t="s">
        <v>1640</v>
      </c>
      <c r="T1463" s="494">
        <v>6</v>
      </c>
      <c r="U1463" s="556" t="str">
        <f t="shared" ca="1" si="233"/>
        <v/>
      </c>
      <c r="V1463" s="494">
        <v>7</v>
      </c>
      <c r="W1463" s="556" t="str">
        <f t="shared" ca="1" si="234"/>
        <v/>
      </c>
      <c r="X1463" s="494" t="s">
        <v>1641</v>
      </c>
      <c r="Y1463" s="547" t="str">
        <f t="shared" ca="1" si="238"/>
        <v/>
      </c>
      <c r="Z1463" s="494" t="s">
        <v>183</v>
      </c>
      <c r="AA1463" s="547" t="str">
        <f t="shared" ca="1" si="239"/>
        <v/>
      </c>
      <c r="AB1463" s="494" t="s">
        <v>168</v>
      </c>
      <c r="AC1463" s="547" t="str">
        <f t="shared" ca="1" si="240"/>
        <v/>
      </c>
      <c r="AD1463" s="557"/>
      <c r="AE1463" s="958"/>
    </row>
    <row r="1464" spans="1:31" ht="15" customHeight="1">
      <c r="A1464" s="957" t="str">
        <f t="shared" ca="1" si="243"/>
        <v>27/30</v>
      </c>
      <c r="B1464" s="566" t="s">
        <v>1293</v>
      </c>
      <c r="C1464" s="567" t="str">
        <f t="shared" ca="1" si="244"/>
        <v>Green Star - Multi Unit Residential</v>
      </c>
      <c r="D1464" s="958">
        <v>1</v>
      </c>
      <c r="E1464" s="959" t="s">
        <v>306</v>
      </c>
      <c r="F1464" s="558" t="s">
        <v>1454</v>
      </c>
      <c r="G1464" s="558">
        <v>257</v>
      </c>
      <c r="H1464" s="558" t="s">
        <v>1298</v>
      </c>
      <c r="I1464" s="559" t="s">
        <v>1300</v>
      </c>
      <c r="J1464" s="567" t="s">
        <v>1638</v>
      </c>
      <c r="K1464" s="961" t="s">
        <v>1568</v>
      </c>
      <c r="L1464" s="555" t="str">
        <f t="shared" ca="1" si="235"/>
        <v/>
      </c>
      <c r="M1464" s="494" t="s">
        <v>1569</v>
      </c>
      <c r="N1464" s="555" t="str">
        <f t="shared" ca="1" si="236"/>
        <v/>
      </c>
      <c r="O1464" s="494" t="s">
        <v>1570</v>
      </c>
      <c r="P1464" s="555" t="str">
        <f t="shared" ca="1" si="237"/>
        <v/>
      </c>
      <c r="Q1464" s="494" t="s">
        <v>1639</v>
      </c>
      <c r="R1464" s="494" t="str">
        <f t="shared" si="245"/>
        <v>I1464</v>
      </c>
      <c r="S1464" s="494" t="s">
        <v>1642</v>
      </c>
      <c r="T1464" s="494">
        <v>6</v>
      </c>
      <c r="U1464" s="556" t="str">
        <f t="shared" ca="1" si="233"/>
        <v/>
      </c>
      <c r="V1464" s="494">
        <v>7</v>
      </c>
      <c r="W1464" s="556" t="str">
        <f t="shared" ca="1" si="234"/>
        <v/>
      </c>
      <c r="X1464" s="494" t="s">
        <v>1641</v>
      </c>
      <c r="Y1464" s="547" t="str">
        <f t="shared" ca="1" si="238"/>
        <v/>
      </c>
      <c r="Z1464" s="494" t="s">
        <v>183</v>
      </c>
      <c r="AA1464" s="547" t="str">
        <f t="shared" ca="1" si="239"/>
        <v/>
      </c>
      <c r="AB1464" s="494" t="s">
        <v>168</v>
      </c>
      <c r="AC1464" s="547" t="str">
        <f t="shared" ca="1" si="240"/>
        <v/>
      </c>
      <c r="AD1464" s="557"/>
      <c r="AE1464" s="958"/>
    </row>
    <row r="1465" spans="1:31" ht="15" customHeight="1">
      <c r="A1465" s="957" t="str">
        <f t="shared" ca="1" si="243"/>
        <v>27/30</v>
      </c>
      <c r="B1465" s="566" t="s">
        <v>1293</v>
      </c>
      <c r="C1465" s="567" t="str">
        <f t="shared" ca="1" si="244"/>
        <v>Green Star - Multi Unit Residential</v>
      </c>
      <c r="D1465" s="958">
        <v>1</v>
      </c>
      <c r="E1465" s="959" t="s">
        <v>306</v>
      </c>
      <c r="F1465" s="558" t="s">
        <v>1454</v>
      </c>
      <c r="G1465" s="558">
        <v>257</v>
      </c>
      <c r="H1465" s="558" t="s">
        <v>1298</v>
      </c>
      <c r="I1465" s="559" t="s">
        <v>1301</v>
      </c>
      <c r="J1465" s="567" t="s">
        <v>1638</v>
      </c>
      <c r="K1465" s="961" t="s">
        <v>1568</v>
      </c>
      <c r="L1465" s="555" t="str">
        <f t="shared" ca="1" si="235"/>
        <v/>
      </c>
      <c r="M1465" s="494" t="s">
        <v>1569</v>
      </c>
      <c r="N1465" s="555" t="str">
        <f t="shared" ca="1" si="236"/>
        <v/>
      </c>
      <c r="O1465" s="494" t="s">
        <v>1570</v>
      </c>
      <c r="P1465" s="555" t="str">
        <f t="shared" ca="1" si="237"/>
        <v/>
      </c>
      <c r="Q1465" s="494" t="s">
        <v>1639</v>
      </c>
      <c r="R1465" s="494" t="str">
        <f t="shared" si="245"/>
        <v>I1465</v>
      </c>
      <c r="S1465" s="494" t="s">
        <v>1642</v>
      </c>
      <c r="T1465" s="494">
        <v>6</v>
      </c>
      <c r="U1465" s="556" t="str">
        <f t="shared" ca="1" si="233"/>
        <v/>
      </c>
      <c r="V1465" s="494">
        <v>7</v>
      </c>
      <c r="W1465" s="556" t="str">
        <f t="shared" ca="1" si="234"/>
        <v/>
      </c>
      <c r="X1465" s="494" t="s">
        <v>1641</v>
      </c>
      <c r="Y1465" s="547" t="str">
        <f t="shared" ca="1" si="238"/>
        <v/>
      </c>
      <c r="Z1465" s="494" t="s">
        <v>183</v>
      </c>
      <c r="AA1465" s="547" t="str">
        <f t="shared" ca="1" si="239"/>
        <v/>
      </c>
      <c r="AB1465" s="494" t="s">
        <v>168</v>
      </c>
      <c r="AC1465" s="547" t="str">
        <f t="shared" ca="1" si="240"/>
        <v/>
      </c>
      <c r="AD1465" s="557"/>
      <c r="AE1465" s="958"/>
    </row>
    <row r="1466" spans="1:31" ht="15" customHeight="1">
      <c r="A1466" s="957" t="str">
        <f t="shared" ca="1" si="243"/>
        <v>27/30</v>
      </c>
      <c r="B1466" s="566" t="s">
        <v>1293</v>
      </c>
      <c r="C1466" s="567" t="str">
        <f t="shared" ca="1" si="244"/>
        <v>Green Star - Multi Unit Residential</v>
      </c>
      <c r="D1466" s="958">
        <v>1</v>
      </c>
      <c r="E1466" s="959" t="s">
        <v>306</v>
      </c>
      <c r="F1466" s="558" t="s">
        <v>1454</v>
      </c>
      <c r="G1466" s="558">
        <v>258</v>
      </c>
      <c r="H1466" s="558" t="s">
        <v>1302</v>
      </c>
      <c r="I1466" s="559" t="s">
        <v>1304</v>
      </c>
      <c r="J1466" s="567" t="s">
        <v>1638</v>
      </c>
      <c r="K1466" s="961" t="s">
        <v>1568</v>
      </c>
      <c r="L1466" s="555" t="str">
        <f t="shared" ca="1" si="235"/>
        <v/>
      </c>
      <c r="M1466" s="494" t="s">
        <v>1569</v>
      </c>
      <c r="N1466" s="555" t="str">
        <f t="shared" ca="1" si="236"/>
        <v/>
      </c>
      <c r="O1466" s="494" t="s">
        <v>1570</v>
      </c>
      <c r="P1466" s="555" t="str">
        <f t="shared" ca="1" si="237"/>
        <v/>
      </c>
      <c r="Q1466" s="494" t="s">
        <v>1639</v>
      </c>
      <c r="R1466" s="494" t="str">
        <f t="shared" si="245"/>
        <v>I1466</v>
      </c>
      <c r="S1466" s="494" t="s">
        <v>1642</v>
      </c>
      <c r="T1466" s="494">
        <v>6</v>
      </c>
      <c r="U1466" s="556" t="str">
        <f t="shared" ca="1" si="233"/>
        <v/>
      </c>
      <c r="V1466" s="494">
        <v>7</v>
      </c>
      <c r="W1466" s="556" t="str">
        <f t="shared" ca="1" si="234"/>
        <v/>
      </c>
      <c r="X1466" s="494" t="s">
        <v>1641</v>
      </c>
      <c r="Y1466" s="547" t="str">
        <f t="shared" ca="1" si="238"/>
        <v/>
      </c>
      <c r="Z1466" s="494" t="s">
        <v>183</v>
      </c>
      <c r="AA1466" s="547" t="str">
        <f t="shared" ca="1" si="239"/>
        <v/>
      </c>
      <c r="AB1466" s="494" t="s">
        <v>168</v>
      </c>
      <c r="AC1466" s="547" t="str">
        <f t="shared" ca="1" si="240"/>
        <v/>
      </c>
      <c r="AD1466" s="557"/>
      <c r="AE1466" s="958"/>
    </row>
    <row r="1467" spans="1:31" ht="15" customHeight="1">
      <c r="A1467" s="957" t="str">
        <f t="shared" ca="1" si="243"/>
        <v>27/30</v>
      </c>
      <c r="B1467" s="566" t="s">
        <v>1293</v>
      </c>
      <c r="C1467" s="567" t="str">
        <f t="shared" ca="1" si="244"/>
        <v>Green Star - Multi Unit Residential</v>
      </c>
      <c r="D1467" s="958">
        <v>1</v>
      </c>
      <c r="E1467" s="959" t="s">
        <v>306</v>
      </c>
      <c r="F1467" s="558" t="s">
        <v>1454</v>
      </c>
      <c r="G1467" s="558">
        <v>258</v>
      </c>
      <c r="H1467" s="558" t="s">
        <v>1302</v>
      </c>
      <c r="I1467" s="559" t="s">
        <v>1305</v>
      </c>
      <c r="J1467" s="567" t="s">
        <v>1638</v>
      </c>
      <c r="K1467" s="961" t="s">
        <v>1568</v>
      </c>
      <c r="L1467" s="555" t="str">
        <f t="shared" ca="1" si="235"/>
        <v/>
      </c>
      <c r="M1467" s="494" t="s">
        <v>1569</v>
      </c>
      <c r="N1467" s="555" t="str">
        <f t="shared" ca="1" si="236"/>
        <v/>
      </c>
      <c r="O1467" s="494" t="s">
        <v>1570</v>
      </c>
      <c r="P1467" s="555" t="str">
        <f t="shared" ca="1" si="237"/>
        <v/>
      </c>
      <c r="Q1467" s="494" t="s">
        <v>1639</v>
      </c>
      <c r="R1467" s="494" t="str">
        <f t="shared" si="245"/>
        <v>I1467</v>
      </c>
      <c r="S1467" s="494" t="s">
        <v>1642</v>
      </c>
      <c r="T1467" s="494">
        <v>6</v>
      </c>
      <c r="U1467" s="556" t="str">
        <f t="shared" ca="1" si="233"/>
        <v/>
      </c>
      <c r="V1467" s="494">
        <v>7</v>
      </c>
      <c r="W1467" s="556" t="str">
        <f t="shared" ca="1" si="234"/>
        <v/>
      </c>
      <c r="X1467" s="494" t="s">
        <v>1641</v>
      </c>
      <c r="Y1467" s="547" t="str">
        <f t="shared" ca="1" si="238"/>
        <v/>
      </c>
      <c r="Z1467" s="494" t="s">
        <v>183</v>
      </c>
      <c r="AA1467" s="547" t="str">
        <f t="shared" ca="1" si="239"/>
        <v/>
      </c>
      <c r="AB1467" s="494" t="s">
        <v>168</v>
      </c>
      <c r="AC1467" s="547" t="str">
        <f t="shared" ca="1" si="240"/>
        <v/>
      </c>
      <c r="AD1467" s="557"/>
      <c r="AE1467" s="958"/>
    </row>
    <row r="1468" spans="1:31" ht="15" customHeight="1">
      <c r="A1468" s="957" t="str">
        <f t="shared" ca="1" si="243"/>
        <v>27/30</v>
      </c>
      <c r="B1468" s="566" t="s">
        <v>1293</v>
      </c>
      <c r="C1468" s="567" t="str">
        <f t="shared" ca="1" si="244"/>
        <v>Green Star - Multi Unit Residential</v>
      </c>
      <c r="D1468" s="958">
        <v>1</v>
      </c>
      <c r="E1468" s="959" t="s">
        <v>335</v>
      </c>
      <c r="F1468" s="558" t="s">
        <v>1455</v>
      </c>
      <c r="G1468" s="558">
        <v>154</v>
      </c>
      <c r="H1468" s="558" t="s">
        <v>1152</v>
      </c>
      <c r="I1468" s="559" t="s">
        <v>338</v>
      </c>
      <c r="J1468" s="567" t="s">
        <v>1638</v>
      </c>
      <c r="K1468" s="961" t="s">
        <v>1568</v>
      </c>
      <c r="L1468" s="555" t="str">
        <f t="shared" ca="1" si="235"/>
        <v/>
      </c>
      <c r="M1468" s="494" t="s">
        <v>1569</v>
      </c>
      <c r="N1468" s="555" t="str">
        <f t="shared" ca="1" si="236"/>
        <v/>
      </c>
      <c r="O1468" s="494" t="s">
        <v>1570</v>
      </c>
      <c r="P1468" s="555" t="str">
        <f t="shared" ca="1" si="237"/>
        <v/>
      </c>
      <c r="Q1468" s="494" t="s">
        <v>1639</v>
      </c>
      <c r="R1468" s="494" t="str">
        <f>CONCATENATE("I",ROW(J1468))</f>
        <v>I1468</v>
      </c>
      <c r="S1468" s="494" t="s">
        <v>1640</v>
      </c>
      <c r="T1468" s="494">
        <v>6</v>
      </c>
      <c r="U1468" s="556" t="str">
        <f t="shared" ca="1" si="233"/>
        <v/>
      </c>
      <c r="V1468" s="494">
        <v>7</v>
      </c>
      <c r="W1468" s="556" t="str">
        <f t="shared" ca="1" si="234"/>
        <v/>
      </c>
      <c r="X1468" s="494" t="s">
        <v>1641</v>
      </c>
      <c r="Y1468" s="547" t="str">
        <f t="shared" ca="1" si="238"/>
        <v/>
      </c>
      <c r="Z1468" s="494" t="s">
        <v>183</v>
      </c>
      <c r="AA1468" s="547" t="str">
        <f t="shared" ca="1" si="239"/>
        <v/>
      </c>
      <c r="AB1468" s="494" t="s">
        <v>168</v>
      </c>
      <c r="AC1468" s="547" t="str">
        <f t="shared" ca="1" si="240"/>
        <v/>
      </c>
      <c r="AD1468" s="557"/>
      <c r="AE1468" s="958"/>
    </row>
    <row r="1469" spans="1:31" ht="15" customHeight="1">
      <c r="A1469" s="957" t="str">
        <f t="shared" ca="1" si="243"/>
        <v>27/30</v>
      </c>
      <c r="B1469" s="566" t="s">
        <v>1293</v>
      </c>
      <c r="C1469" s="567" t="str">
        <f t="shared" ca="1" si="244"/>
        <v>Green Star - Multi Unit Residential</v>
      </c>
      <c r="D1469" s="958">
        <v>1</v>
      </c>
      <c r="E1469" s="959" t="s">
        <v>335</v>
      </c>
      <c r="F1469" s="558" t="s">
        <v>1455</v>
      </c>
      <c r="G1469" s="558">
        <v>130</v>
      </c>
      <c r="H1469" s="558" t="s">
        <v>1153</v>
      </c>
      <c r="I1469" s="559" t="s">
        <v>336</v>
      </c>
      <c r="J1469" s="567" t="s">
        <v>1638</v>
      </c>
      <c r="K1469" s="961" t="s">
        <v>1568</v>
      </c>
      <c r="L1469" s="555" t="str">
        <f t="shared" ca="1" si="235"/>
        <v/>
      </c>
      <c r="M1469" s="494" t="s">
        <v>1569</v>
      </c>
      <c r="N1469" s="555" t="str">
        <f t="shared" ca="1" si="236"/>
        <v/>
      </c>
      <c r="O1469" s="494" t="s">
        <v>1570</v>
      </c>
      <c r="P1469" s="555" t="str">
        <f t="shared" ca="1" si="237"/>
        <v/>
      </c>
      <c r="Q1469" s="494" t="s">
        <v>1639</v>
      </c>
      <c r="R1469" s="494" t="str">
        <f t="shared" si="245"/>
        <v>I1469</v>
      </c>
      <c r="S1469" s="494" t="s">
        <v>1640</v>
      </c>
      <c r="T1469" s="494">
        <v>6</v>
      </c>
      <c r="U1469" s="556" t="str">
        <f t="shared" ca="1" si="233"/>
        <v/>
      </c>
      <c r="V1469" s="494">
        <v>7</v>
      </c>
      <c r="W1469" s="556" t="str">
        <f t="shared" ca="1" si="234"/>
        <v/>
      </c>
      <c r="X1469" s="494" t="s">
        <v>1641</v>
      </c>
      <c r="Y1469" s="547" t="str">
        <f t="shared" ca="1" si="238"/>
        <v/>
      </c>
      <c r="Z1469" s="494" t="s">
        <v>183</v>
      </c>
      <c r="AA1469" s="547" t="str">
        <f t="shared" ca="1" si="239"/>
        <v/>
      </c>
      <c r="AB1469" s="494" t="s">
        <v>168</v>
      </c>
      <c r="AC1469" s="547" t="str">
        <f t="shared" ca="1" si="240"/>
        <v/>
      </c>
      <c r="AD1469" s="557"/>
      <c r="AE1469" s="958"/>
    </row>
    <row r="1470" spans="1:31" ht="15" customHeight="1">
      <c r="A1470" s="957" t="str">
        <f t="shared" ca="1" si="243"/>
        <v>27/30</v>
      </c>
      <c r="B1470" s="566" t="s">
        <v>1293</v>
      </c>
      <c r="C1470" s="567" t="str">
        <f t="shared" ca="1" si="244"/>
        <v>Green Star - Multi Unit Residential</v>
      </c>
      <c r="D1470" s="958">
        <v>1</v>
      </c>
      <c r="E1470" s="959" t="s">
        <v>335</v>
      </c>
      <c r="F1470" s="558" t="s">
        <v>1455</v>
      </c>
      <c r="G1470" s="558">
        <v>173</v>
      </c>
      <c r="H1470" s="558" t="s">
        <v>1263</v>
      </c>
      <c r="I1470" s="559" t="s">
        <v>1306</v>
      </c>
      <c r="J1470" s="567" t="s">
        <v>1638</v>
      </c>
      <c r="K1470" s="961" t="s">
        <v>1568</v>
      </c>
      <c r="L1470" s="555" t="str">
        <f t="shared" ca="1" si="235"/>
        <v/>
      </c>
      <c r="M1470" s="494" t="s">
        <v>1569</v>
      </c>
      <c r="N1470" s="555" t="str">
        <f t="shared" ca="1" si="236"/>
        <v/>
      </c>
      <c r="O1470" s="494" t="s">
        <v>1570</v>
      </c>
      <c r="P1470" s="555" t="str">
        <f t="shared" ca="1" si="237"/>
        <v/>
      </c>
      <c r="Q1470" s="494" t="s">
        <v>1639</v>
      </c>
      <c r="R1470" s="494" t="str">
        <f t="shared" si="245"/>
        <v>I1470</v>
      </c>
      <c r="S1470" s="494" t="s">
        <v>1642</v>
      </c>
      <c r="T1470" s="494">
        <v>6</v>
      </c>
      <c r="U1470" s="556" t="str">
        <f t="shared" ca="1" si="233"/>
        <v/>
      </c>
      <c r="V1470" s="494">
        <v>7</v>
      </c>
      <c r="W1470" s="556" t="str">
        <f t="shared" ca="1" si="234"/>
        <v/>
      </c>
      <c r="X1470" s="494" t="s">
        <v>1641</v>
      </c>
      <c r="Y1470" s="547" t="str">
        <f t="shared" ca="1" si="238"/>
        <v/>
      </c>
      <c r="Z1470" s="494" t="s">
        <v>183</v>
      </c>
      <c r="AA1470" s="547" t="str">
        <f t="shared" ca="1" si="239"/>
        <v/>
      </c>
      <c r="AB1470" s="494" t="s">
        <v>168</v>
      </c>
      <c r="AC1470" s="547" t="str">
        <f t="shared" ca="1" si="240"/>
        <v/>
      </c>
      <c r="AD1470" s="557"/>
      <c r="AE1470" s="958"/>
    </row>
    <row r="1471" spans="1:31" ht="15" customHeight="1">
      <c r="A1471" s="957" t="str">
        <f t="shared" ca="1" si="243"/>
        <v>27/30</v>
      </c>
      <c r="B1471" s="566" t="s">
        <v>1293</v>
      </c>
      <c r="C1471" s="567" t="str">
        <f t="shared" ca="1" si="244"/>
        <v>Green Star - Multi Unit Residential</v>
      </c>
      <c r="D1471" s="958">
        <v>1</v>
      </c>
      <c r="E1471" s="959" t="s">
        <v>335</v>
      </c>
      <c r="F1471" s="558" t="s">
        <v>1455</v>
      </c>
      <c r="G1471" s="558">
        <v>173</v>
      </c>
      <c r="H1471" s="558" t="s">
        <v>1263</v>
      </c>
      <c r="I1471" s="559" t="s">
        <v>1307</v>
      </c>
      <c r="J1471" s="567" t="s">
        <v>1638</v>
      </c>
      <c r="K1471" s="961" t="s">
        <v>1568</v>
      </c>
      <c r="L1471" s="555" t="str">
        <f t="shared" ca="1" si="235"/>
        <v/>
      </c>
      <c r="M1471" s="494" t="s">
        <v>1569</v>
      </c>
      <c r="N1471" s="555" t="str">
        <f t="shared" ca="1" si="236"/>
        <v/>
      </c>
      <c r="O1471" s="494" t="s">
        <v>1570</v>
      </c>
      <c r="P1471" s="555" t="str">
        <f t="shared" ca="1" si="237"/>
        <v/>
      </c>
      <c r="Q1471" s="494" t="s">
        <v>1639</v>
      </c>
      <c r="R1471" s="494" t="str">
        <f t="shared" si="245"/>
        <v>I1471</v>
      </c>
      <c r="S1471" s="494" t="s">
        <v>1642</v>
      </c>
      <c r="T1471" s="494">
        <v>6</v>
      </c>
      <c r="U1471" s="556" t="str">
        <f t="shared" ref="U1471:U1534" ca="1" si="247">IF(AND($B1471=INDIRECT(CONCATENATE($J1471,$K1471,5)),ISBLANK(INDEX(INDIRECT(CONCATENATE($J1471,$Q1471)),MATCH(INDIRECT($R1471),INDIRECT(CONCATENATE($J1471,$S1471)),0),T1471))=FALSE),INDEX(INDIRECT(CONCATENATE($J1471,$Q1471)),MATCH(INDIRECT($R1471),INDIRECT(CONCATENATE($J1471,$S1471)),0),T1471),"")</f>
        <v/>
      </c>
      <c r="V1471" s="494">
        <v>7</v>
      </c>
      <c r="W1471" s="556" t="str">
        <f t="shared" ref="W1471:W1534" ca="1" si="248">IF(AND($B1471=INDIRECT(CONCATENATE($J1471,$K1471,5)),ISBLANK(INDEX(INDIRECT(CONCATENATE($J1471,$Q1471)),MATCH(INDIRECT($R1471),INDIRECT(CONCATENATE($J1471,$S1471)),0),V1471))=FALSE),INDEX(INDIRECT(CONCATENATE($J1471,$Q1471)),MATCH(INDIRECT($R1471),INDIRECT(CONCATENATE($J1471,$S1471)),0),V1471),"")</f>
        <v/>
      </c>
      <c r="X1471" s="494" t="s">
        <v>1641</v>
      </c>
      <c r="Y1471" s="547" t="str">
        <f t="shared" ca="1" si="238"/>
        <v/>
      </c>
      <c r="Z1471" s="494" t="s">
        <v>183</v>
      </c>
      <c r="AA1471" s="547" t="str">
        <f t="shared" ca="1" si="239"/>
        <v/>
      </c>
      <c r="AB1471" s="494" t="s">
        <v>168</v>
      </c>
      <c r="AC1471" s="547" t="str">
        <f t="shared" ca="1" si="240"/>
        <v/>
      </c>
      <c r="AD1471" s="557"/>
      <c r="AE1471" s="958"/>
    </row>
    <row r="1472" spans="1:31" ht="15" customHeight="1">
      <c r="A1472" s="957" t="str">
        <f t="shared" ca="1" si="243"/>
        <v>27/30</v>
      </c>
      <c r="B1472" s="566" t="s">
        <v>1293</v>
      </c>
      <c r="C1472" s="567" t="str">
        <f t="shared" ca="1" si="244"/>
        <v>Green Star - Multi Unit Residential</v>
      </c>
      <c r="D1472" s="958">
        <v>1</v>
      </c>
      <c r="E1472" s="959" t="s">
        <v>335</v>
      </c>
      <c r="F1472" s="558" t="s">
        <v>1455</v>
      </c>
      <c r="G1472" s="558">
        <v>159</v>
      </c>
      <c r="H1472" s="558" t="s">
        <v>1308</v>
      </c>
      <c r="I1472" s="559" t="s">
        <v>1309</v>
      </c>
      <c r="J1472" s="567" t="s">
        <v>1638</v>
      </c>
      <c r="K1472" s="961" t="s">
        <v>1568</v>
      </c>
      <c r="L1472" s="555" t="str">
        <f t="shared" ca="1" si="235"/>
        <v/>
      </c>
      <c r="M1472" s="494" t="s">
        <v>1569</v>
      </c>
      <c r="N1472" s="555" t="str">
        <f t="shared" ca="1" si="236"/>
        <v/>
      </c>
      <c r="O1472" s="494" t="s">
        <v>1570</v>
      </c>
      <c r="P1472" s="555" t="str">
        <f t="shared" ca="1" si="237"/>
        <v/>
      </c>
      <c r="Q1472" s="494" t="s">
        <v>1639</v>
      </c>
      <c r="R1472" s="494" t="str">
        <f>CONCATENATE("I",ROW(J1472))</f>
        <v>I1472</v>
      </c>
      <c r="S1472" s="494" t="s">
        <v>1642</v>
      </c>
      <c r="T1472" s="494">
        <v>6</v>
      </c>
      <c r="U1472" s="556" t="str">
        <f t="shared" ca="1" si="247"/>
        <v/>
      </c>
      <c r="V1472" s="494">
        <v>7</v>
      </c>
      <c r="W1472" s="556" t="str">
        <f t="shared" ca="1" si="248"/>
        <v/>
      </c>
      <c r="X1472" s="494" t="s">
        <v>1641</v>
      </c>
      <c r="Y1472" s="547" t="str">
        <f t="shared" ca="1" si="238"/>
        <v/>
      </c>
      <c r="Z1472" s="494" t="s">
        <v>183</v>
      </c>
      <c r="AA1472" s="547" t="str">
        <f t="shared" ca="1" si="239"/>
        <v/>
      </c>
      <c r="AB1472" s="494" t="s">
        <v>168</v>
      </c>
      <c r="AC1472" s="547" t="str">
        <f t="shared" ca="1" si="240"/>
        <v/>
      </c>
      <c r="AD1472" s="557"/>
      <c r="AE1472" s="958"/>
    </row>
    <row r="1473" spans="1:31" ht="15" customHeight="1">
      <c r="A1473" s="957" t="str">
        <f t="shared" ca="1" si="243"/>
        <v>27/30</v>
      </c>
      <c r="B1473" s="566" t="s">
        <v>1293</v>
      </c>
      <c r="C1473" s="567" t="str">
        <f t="shared" ca="1" si="244"/>
        <v>Green Star - Multi Unit Residential</v>
      </c>
      <c r="D1473" s="958">
        <v>1</v>
      </c>
      <c r="E1473" s="959" t="s">
        <v>335</v>
      </c>
      <c r="F1473" s="558" t="s">
        <v>1455</v>
      </c>
      <c r="G1473" s="558">
        <v>159</v>
      </c>
      <c r="H1473" s="558" t="s">
        <v>1308</v>
      </c>
      <c r="I1473" s="559" t="s">
        <v>1310</v>
      </c>
      <c r="J1473" s="567" t="s">
        <v>1638</v>
      </c>
      <c r="K1473" s="961" t="s">
        <v>1568</v>
      </c>
      <c r="L1473" s="555" t="str">
        <f t="shared" ca="1" si="235"/>
        <v/>
      </c>
      <c r="M1473" s="494" t="s">
        <v>1569</v>
      </c>
      <c r="N1473" s="555" t="str">
        <f t="shared" ca="1" si="236"/>
        <v/>
      </c>
      <c r="O1473" s="494" t="s">
        <v>1570</v>
      </c>
      <c r="P1473" s="555" t="str">
        <f t="shared" ca="1" si="237"/>
        <v/>
      </c>
      <c r="Q1473" s="494" t="s">
        <v>1639</v>
      </c>
      <c r="R1473" s="494" t="str">
        <f>CONCATENATE("I",ROW(J1473))</f>
        <v>I1473</v>
      </c>
      <c r="S1473" s="494" t="s">
        <v>1642</v>
      </c>
      <c r="T1473" s="494">
        <v>6</v>
      </c>
      <c r="U1473" s="556" t="str">
        <f t="shared" ca="1" si="247"/>
        <v/>
      </c>
      <c r="V1473" s="494">
        <v>7</v>
      </c>
      <c r="W1473" s="556" t="str">
        <f t="shared" ca="1" si="248"/>
        <v/>
      </c>
      <c r="X1473" s="494" t="s">
        <v>1641</v>
      </c>
      <c r="Y1473" s="547" t="str">
        <f t="shared" ca="1" si="238"/>
        <v/>
      </c>
      <c r="Z1473" s="494" t="s">
        <v>183</v>
      </c>
      <c r="AA1473" s="547" t="str">
        <f t="shared" ca="1" si="239"/>
        <v/>
      </c>
      <c r="AB1473" s="494" t="s">
        <v>168</v>
      </c>
      <c r="AC1473" s="547" t="str">
        <f t="shared" ca="1" si="240"/>
        <v/>
      </c>
      <c r="AD1473" s="557"/>
      <c r="AE1473" s="958"/>
    </row>
    <row r="1474" spans="1:31" ht="15" customHeight="1">
      <c r="A1474" s="957" t="str">
        <f t="shared" ca="1" si="243"/>
        <v>27/30</v>
      </c>
      <c r="B1474" s="566" t="s">
        <v>1293</v>
      </c>
      <c r="C1474" s="567" t="str">
        <f t="shared" ca="1" si="244"/>
        <v>Green Star - Multi Unit Residential</v>
      </c>
      <c r="D1474" s="958">
        <v>1</v>
      </c>
      <c r="E1474" s="959" t="s">
        <v>335</v>
      </c>
      <c r="F1474" s="558" t="s">
        <v>1455</v>
      </c>
      <c r="G1474" s="558">
        <v>259</v>
      </c>
      <c r="H1474" s="558" t="s">
        <v>1311</v>
      </c>
      <c r="I1474" s="559" t="s">
        <v>340</v>
      </c>
      <c r="J1474" s="567" t="s">
        <v>1638</v>
      </c>
      <c r="K1474" s="961" t="s">
        <v>1568</v>
      </c>
      <c r="L1474" s="555" t="str">
        <f t="shared" ref="L1474:L1537" ca="1" si="249">IF(AND(INDIRECT(CONCATENATE($J1474,$K1474,5))=$B1474,ISNUMBER(SEARCH("Please",INDIRECT(CONCATENATE($J1474,$K1474,2)),1))=FALSE),SUMPRODUCT(MID(0&amp;INDIRECT(CONCATENATE($J1474,$K1474,2)), LARGE(INDEX(ISNUMBER(--MID(INDIRECT(CONCATENATE($J1474,$K1474,2)), ROW(INDIRECT("1:"&amp;LEN(INDIRECT(CONCATENATE($J1474,$K1474,2))))),1))*ROW(INDIRECT("1:"&amp;LEN(INDIRECT(CONCATENATE($J1474,$K1474,2))))),0), ROW(INDIRECT("1:"&amp;LEN(INDIRECT(CONCATENATE($J1474,$K1474,2))))))+1,1)*10^ROW(INDIRECT("1:"&amp;LEN(INDIRECT(CONCATENATE($J1474,$K1474,2)))))/10),"")</f>
        <v/>
      </c>
      <c r="M1474" s="494" t="s">
        <v>1569</v>
      </c>
      <c r="N1474" s="555" t="str">
        <f t="shared" ref="N1474:N1537" ca="1" si="250">IF(AND(INDIRECT(CONCATENATE($J1474,$K1474,5))=$B1474,ISNUMBER(SEARCH("Select",INDIRECT(CONCATENATE($J1474,$M1474,6)),1))=FALSE),INDIRECT(CONCATENATE($J1474,$M1474,6)),"")</f>
        <v/>
      </c>
      <c r="O1474" s="494" t="s">
        <v>1570</v>
      </c>
      <c r="P1474" s="555" t="str">
        <f t="shared" ref="P1474:P1537" ca="1" si="251">IF(AND(INDIRECT(CONCATENATE($J1474,$K1474,5))=$B1474,ISNUMBER(SEARCH("Select",INDIRECT(CONCATENATE($J1474,$O1474,6)),1))=FALSE),INDIRECT(CONCATENATE($J1474,$O1474,6)),"")</f>
        <v/>
      </c>
      <c r="Q1474" s="494" t="s">
        <v>1639</v>
      </c>
      <c r="R1474" s="494" t="str">
        <f>CONCATENATE("I",ROW(J1474))</f>
        <v>I1474</v>
      </c>
      <c r="S1474" s="494" t="s">
        <v>1640</v>
      </c>
      <c r="T1474" s="494">
        <v>6</v>
      </c>
      <c r="U1474" s="556" t="str">
        <f t="shared" ca="1" si="247"/>
        <v/>
      </c>
      <c r="V1474" s="494">
        <v>7</v>
      </c>
      <c r="W1474" s="556" t="str">
        <f t="shared" ca="1" si="248"/>
        <v/>
      </c>
      <c r="X1474" s="494" t="s">
        <v>1641</v>
      </c>
      <c r="Y1474" s="547" t="str">
        <f t="shared" ref="Y1474:Y1537" ca="1" si="252">IF(AND(INDIRECT(CONCATENATE($J1474,$K1474,5))=$B1474,ISBLANK(INDIRECT(CONCATENATE($J1474,X1474)))=FALSE),INDIRECT(CONCATENATE($J1474,X1474)),"")</f>
        <v/>
      </c>
      <c r="Z1474" s="494" t="s">
        <v>183</v>
      </c>
      <c r="AA1474" s="547" t="str">
        <f t="shared" ref="AA1474:AA1537" ca="1" si="253">IF(AND(INDIRECT(CONCATENATE($J1474,$K1474,"5"))=$B1474,ISBLANK(INDIRECT(CONCATENATE($J1474,Z1474)))=FALSE),INDIRECT(CONCATENATE($J1474,Z1474)),"")</f>
        <v/>
      </c>
      <c r="AB1474" s="494" t="s">
        <v>168</v>
      </c>
      <c r="AC1474" s="547" t="str">
        <f t="shared" ref="AC1474:AC1537" ca="1" si="254">IF(AND(INDIRECT(CONCATENATE($J1474,$K1474,"5"))=$B1474,ISBLANK(INDIRECT(CONCATENATE($J1474,AB1474)))=FALSE),INDIRECT(CONCATENATE($J1474,AB1474)),"")</f>
        <v/>
      </c>
      <c r="AD1474" s="557"/>
      <c r="AE1474" s="958"/>
    </row>
    <row r="1475" spans="1:31" ht="15" customHeight="1">
      <c r="A1475" s="957" t="str">
        <f t="shared" ca="1" si="243"/>
        <v>27/30</v>
      </c>
      <c r="B1475" s="566" t="s">
        <v>1293</v>
      </c>
      <c r="C1475" s="567" t="str">
        <f t="shared" ca="1" si="244"/>
        <v>Green Star - Multi Unit Residential</v>
      </c>
      <c r="D1475" s="958">
        <v>1</v>
      </c>
      <c r="E1475" s="959" t="s">
        <v>345</v>
      </c>
      <c r="F1475" s="558" t="s">
        <v>1484</v>
      </c>
      <c r="G1475" s="558">
        <v>50</v>
      </c>
      <c r="H1475" s="558" t="s">
        <v>1164</v>
      </c>
      <c r="I1475" s="559" t="s">
        <v>1165</v>
      </c>
      <c r="J1475" s="567" t="s">
        <v>1638</v>
      </c>
      <c r="K1475" s="961" t="s">
        <v>1568</v>
      </c>
      <c r="L1475" s="555" t="str">
        <f t="shared" ca="1" si="249"/>
        <v/>
      </c>
      <c r="M1475" s="494" t="s">
        <v>1569</v>
      </c>
      <c r="N1475" s="555" t="str">
        <f t="shared" ca="1" si="250"/>
        <v/>
      </c>
      <c r="O1475" s="494" t="s">
        <v>1570</v>
      </c>
      <c r="P1475" s="555" t="str">
        <f t="shared" ca="1" si="251"/>
        <v/>
      </c>
      <c r="Q1475" s="494" t="s">
        <v>1639</v>
      </c>
      <c r="R1475" s="494" t="str">
        <f t="shared" si="245"/>
        <v>I1475</v>
      </c>
      <c r="S1475" s="494" t="s">
        <v>1640</v>
      </c>
      <c r="T1475" s="494">
        <v>6</v>
      </c>
      <c r="U1475" s="556" t="str">
        <f t="shared" ca="1" si="247"/>
        <v/>
      </c>
      <c r="V1475" s="494">
        <v>7</v>
      </c>
      <c r="W1475" s="556" t="str">
        <f t="shared" ca="1" si="248"/>
        <v/>
      </c>
      <c r="X1475" s="494" t="s">
        <v>1641</v>
      </c>
      <c r="Y1475" s="547" t="str">
        <f t="shared" ca="1" si="252"/>
        <v/>
      </c>
      <c r="Z1475" s="494" t="s">
        <v>183</v>
      </c>
      <c r="AA1475" s="547" t="str">
        <f t="shared" ca="1" si="253"/>
        <v/>
      </c>
      <c r="AB1475" s="494" t="s">
        <v>168</v>
      </c>
      <c r="AC1475" s="547" t="str">
        <f t="shared" ca="1" si="254"/>
        <v/>
      </c>
      <c r="AD1475" s="557"/>
      <c r="AE1475" s="958"/>
    </row>
    <row r="1476" spans="1:31" ht="15" customHeight="1">
      <c r="A1476" s="957" t="str">
        <f t="shared" ca="1" si="243"/>
        <v>27/30</v>
      </c>
      <c r="B1476" s="566" t="s">
        <v>1293</v>
      </c>
      <c r="C1476" s="567" t="str">
        <f t="shared" ca="1" si="244"/>
        <v>Green Star - Multi Unit Residential</v>
      </c>
      <c r="D1476" s="958">
        <v>1</v>
      </c>
      <c r="E1476" s="959" t="s">
        <v>345</v>
      </c>
      <c r="F1476" s="558" t="s">
        <v>1484</v>
      </c>
      <c r="G1476" s="558">
        <v>138</v>
      </c>
      <c r="H1476" s="558" t="s">
        <v>1166</v>
      </c>
      <c r="I1476" s="559" t="s">
        <v>1312</v>
      </c>
      <c r="J1476" s="567" t="s">
        <v>1638</v>
      </c>
      <c r="K1476" s="961" t="s">
        <v>1568</v>
      </c>
      <c r="L1476" s="555" t="str">
        <f t="shared" ca="1" si="249"/>
        <v/>
      </c>
      <c r="M1476" s="494" t="s">
        <v>1569</v>
      </c>
      <c r="N1476" s="555" t="str">
        <f t="shared" ca="1" si="250"/>
        <v/>
      </c>
      <c r="O1476" s="494" t="s">
        <v>1570</v>
      </c>
      <c r="P1476" s="555" t="str">
        <f t="shared" ca="1" si="251"/>
        <v/>
      </c>
      <c r="Q1476" s="494" t="s">
        <v>1639</v>
      </c>
      <c r="R1476" s="494" t="str">
        <f t="shared" si="245"/>
        <v>I1476</v>
      </c>
      <c r="S1476" s="494" t="s">
        <v>1642</v>
      </c>
      <c r="T1476" s="494">
        <v>6</v>
      </c>
      <c r="U1476" s="556" t="str">
        <f t="shared" ca="1" si="247"/>
        <v/>
      </c>
      <c r="V1476" s="494">
        <v>7</v>
      </c>
      <c r="W1476" s="556" t="str">
        <f t="shared" ca="1" si="248"/>
        <v/>
      </c>
      <c r="X1476" s="494" t="s">
        <v>1641</v>
      </c>
      <c r="Y1476" s="547" t="str">
        <f t="shared" ca="1" si="252"/>
        <v/>
      </c>
      <c r="Z1476" s="494" t="s">
        <v>183</v>
      </c>
      <c r="AA1476" s="547" t="str">
        <f t="shared" ca="1" si="253"/>
        <v/>
      </c>
      <c r="AB1476" s="494" t="s">
        <v>168</v>
      </c>
      <c r="AC1476" s="547" t="str">
        <f t="shared" ca="1" si="254"/>
        <v/>
      </c>
      <c r="AD1476" s="557"/>
      <c r="AE1476" s="958"/>
    </row>
    <row r="1477" spans="1:31" ht="15" customHeight="1">
      <c r="A1477" s="957" t="str">
        <f t="shared" ca="1" si="243"/>
        <v>27/30</v>
      </c>
      <c r="B1477" s="566" t="s">
        <v>1293</v>
      </c>
      <c r="C1477" s="567" t="str">
        <f t="shared" ca="1" si="244"/>
        <v>Green Star - Multi Unit Residential</v>
      </c>
      <c r="D1477" s="958">
        <v>1</v>
      </c>
      <c r="E1477" s="959" t="s">
        <v>345</v>
      </c>
      <c r="F1477" s="558" t="s">
        <v>1484</v>
      </c>
      <c r="G1477" s="558">
        <v>138</v>
      </c>
      <c r="H1477" s="558" t="s">
        <v>1166</v>
      </c>
      <c r="I1477" s="559" t="s">
        <v>1313</v>
      </c>
      <c r="J1477" s="567" t="s">
        <v>1638</v>
      </c>
      <c r="K1477" s="961" t="s">
        <v>1568</v>
      </c>
      <c r="L1477" s="555" t="str">
        <f t="shared" ca="1" si="249"/>
        <v/>
      </c>
      <c r="M1477" s="494" t="s">
        <v>1569</v>
      </c>
      <c r="N1477" s="555" t="str">
        <f t="shared" ca="1" si="250"/>
        <v/>
      </c>
      <c r="O1477" s="494" t="s">
        <v>1570</v>
      </c>
      <c r="P1477" s="555" t="str">
        <f t="shared" ca="1" si="251"/>
        <v/>
      </c>
      <c r="Q1477" s="494" t="s">
        <v>1639</v>
      </c>
      <c r="R1477" s="494" t="str">
        <f t="shared" si="245"/>
        <v>I1477</v>
      </c>
      <c r="S1477" s="494" t="s">
        <v>1642</v>
      </c>
      <c r="T1477" s="494">
        <v>6</v>
      </c>
      <c r="U1477" s="556" t="str">
        <f t="shared" ca="1" si="247"/>
        <v/>
      </c>
      <c r="V1477" s="494">
        <v>7</v>
      </c>
      <c r="W1477" s="556" t="str">
        <f t="shared" ca="1" si="248"/>
        <v/>
      </c>
      <c r="X1477" s="494" t="s">
        <v>1641</v>
      </c>
      <c r="Y1477" s="547" t="str">
        <f t="shared" ca="1" si="252"/>
        <v/>
      </c>
      <c r="Z1477" s="494" t="s">
        <v>183</v>
      </c>
      <c r="AA1477" s="547" t="str">
        <f t="shared" ca="1" si="253"/>
        <v/>
      </c>
      <c r="AB1477" s="494" t="s">
        <v>168</v>
      </c>
      <c r="AC1477" s="547" t="str">
        <f t="shared" ca="1" si="254"/>
        <v/>
      </c>
      <c r="AD1477" s="557"/>
      <c r="AE1477" s="958"/>
    </row>
    <row r="1478" spans="1:31" ht="15" customHeight="1">
      <c r="A1478" s="957" t="str">
        <f t="shared" ca="1" si="243"/>
        <v>27/30</v>
      </c>
      <c r="B1478" s="566" t="s">
        <v>1293</v>
      </c>
      <c r="C1478" s="567" t="str">
        <f t="shared" ca="1" si="244"/>
        <v>Green Star - Multi Unit Residential</v>
      </c>
      <c r="D1478" s="958">
        <v>1</v>
      </c>
      <c r="E1478" s="959" t="s">
        <v>345</v>
      </c>
      <c r="F1478" s="558" t="s">
        <v>1484</v>
      </c>
      <c r="G1478" s="558">
        <v>53</v>
      </c>
      <c r="H1478" s="558" t="s">
        <v>1168</v>
      </c>
      <c r="I1478" s="559" t="s">
        <v>1314</v>
      </c>
      <c r="J1478" s="567" t="s">
        <v>1638</v>
      </c>
      <c r="K1478" s="961" t="s">
        <v>1568</v>
      </c>
      <c r="L1478" s="555" t="str">
        <f t="shared" ca="1" si="249"/>
        <v/>
      </c>
      <c r="M1478" s="494" t="s">
        <v>1569</v>
      </c>
      <c r="N1478" s="555" t="str">
        <f t="shared" ca="1" si="250"/>
        <v/>
      </c>
      <c r="O1478" s="494" t="s">
        <v>1570</v>
      </c>
      <c r="P1478" s="555" t="str">
        <f t="shared" ca="1" si="251"/>
        <v/>
      </c>
      <c r="Q1478" s="494" t="s">
        <v>1639</v>
      </c>
      <c r="R1478" s="494" t="str">
        <f t="shared" si="245"/>
        <v>I1478</v>
      </c>
      <c r="S1478" s="494" t="s">
        <v>1642</v>
      </c>
      <c r="T1478" s="494">
        <v>6</v>
      </c>
      <c r="U1478" s="556" t="str">
        <f t="shared" ca="1" si="247"/>
        <v/>
      </c>
      <c r="V1478" s="494">
        <v>7</v>
      </c>
      <c r="W1478" s="556" t="str">
        <f t="shared" ca="1" si="248"/>
        <v/>
      </c>
      <c r="X1478" s="494" t="s">
        <v>1641</v>
      </c>
      <c r="Y1478" s="547" t="str">
        <f t="shared" ca="1" si="252"/>
        <v/>
      </c>
      <c r="Z1478" s="494" t="s">
        <v>183</v>
      </c>
      <c r="AA1478" s="547" t="str">
        <f t="shared" ca="1" si="253"/>
        <v/>
      </c>
      <c r="AB1478" s="494" t="s">
        <v>168</v>
      </c>
      <c r="AC1478" s="547" t="str">
        <f t="shared" ca="1" si="254"/>
        <v/>
      </c>
      <c r="AD1478" s="557"/>
      <c r="AE1478" s="958"/>
    </row>
    <row r="1479" spans="1:31" ht="15" customHeight="1">
      <c r="A1479" s="957" t="str">
        <f t="shared" ca="1" si="243"/>
        <v>27/30</v>
      </c>
      <c r="B1479" s="566" t="s">
        <v>1293</v>
      </c>
      <c r="C1479" s="567" t="str">
        <f t="shared" ca="1" si="244"/>
        <v>Green Star - Multi Unit Residential</v>
      </c>
      <c r="D1479" s="958">
        <v>1</v>
      </c>
      <c r="E1479" s="959" t="s">
        <v>345</v>
      </c>
      <c r="F1479" s="558" t="s">
        <v>1484</v>
      </c>
      <c r="G1479" s="558">
        <v>53</v>
      </c>
      <c r="H1479" s="558" t="s">
        <v>1168</v>
      </c>
      <c r="I1479" s="559" t="s">
        <v>1315</v>
      </c>
      <c r="J1479" s="567" t="s">
        <v>1638</v>
      </c>
      <c r="K1479" s="961" t="s">
        <v>1568</v>
      </c>
      <c r="L1479" s="555" t="str">
        <f t="shared" ca="1" si="249"/>
        <v/>
      </c>
      <c r="M1479" s="494" t="s">
        <v>1569</v>
      </c>
      <c r="N1479" s="555" t="str">
        <f t="shared" ca="1" si="250"/>
        <v/>
      </c>
      <c r="O1479" s="494" t="s">
        <v>1570</v>
      </c>
      <c r="P1479" s="555" t="str">
        <f t="shared" ca="1" si="251"/>
        <v/>
      </c>
      <c r="Q1479" s="494" t="s">
        <v>1639</v>
      </c>
      <c r="R1479" s="494" t="str">
        <f t="shared" si="245"/>
        <v>I1479</v>
      </c>
      <c r="S1479" s="494" t="s">
        <v>1642</v>
      </c>
      <c r="T1479" s="494">
        <v>6</v>
      </c>
      <c r="U1479" s="556" t="str">
        <f t="shared" ca="1" si="247"/>
        <v/>
      </c>
      <c r="V1479" s="494">
        <v>7</v>
      </c>
      <c r="W1479" s="556" t="str">
        <f t="shared" ca="1" si="248"/>
        <v/>
      </c>
      <c r="X1479" s="494" t="s">
        <v>1641</v>
      </c>
      <c r="Y1479" s="547" t="str">
        <f t="shared" ca="1" si="252"/>
        <v/>
      </c>
      <c r="Z1479" s="494" t="s">
        <v>183</v>
      </c>
      <c r="AA1479" s="547" t="str">
        <f t="shared" ca="1" si="253"/>
        <v/>
      </c>
      <c r="AB1479" s="494" t="s">
        <v>168</v>
      </c>
      <c r="AC1479" s="547" t="str">
        <f t="shared" ca="1" si="254"/>
        <v/>
      </c>
      <c r="AD1479" s="557"/>
      <c r="AE1479" s="958"/>
    </row>
    <row r="1480" spans="1:31" ht="15" customHeight="1">
      <c r="A1480" s="957" t="str">
        <f t="shared" ca="1" si="243"/>
        <v>27/30</v>
      </c>
      <c r="B1480" s="566" t="s">
        <v>1293</v>
      </c>
      <c r="C1480" s="567" t="str">
        <f t="shared" ca="1" si="244"/>
        <v>Green Star - Multi Unit Residential</v>
      </c>
      <c r="D1480" s="958">
        <v>1</v>
      </c>
      <c r="E1480" s="959" t="s">
        <v>345</v>
      </c>
      <c r="F1480" s="558" t="s">
        <v>1484</v>
      </c>
      <c r="G1480" s="558">
        <v>139</v>
      </c>
      <c r="H1480" s="558" t="s">
        <v>1172</v>
      </c>
      <c r="I1480" s="559" t="s">
        <v>985</v>
      </c>
      <c r="J1480" s="567" t="s">
        <v>1638</v>
      </c>
      <c r="K1480" s="961" t="s">
        <v>1568</v>
      </c>
      <c r="L1480" s="555" t="str">
        <f t="shared" ca="1" si="249"/>
        <v/>
      </c>
      <c r="M1480" s="494" t="s">
        <v>1569</v>
      </c>
      <c r="N1480" s="555" t="str">
        <f t="shared" ca="1" si="250"/>
        <v/>
      </c>
      <c r="O1480" s="494" t="s">
        <v>1570</v>
      </c>
      <c r="P1480" s="555" t="str">
        <f t="shared" ca="1" si="251"/>
        <v/>
      </c>
      <c r="Q1480" s="494" t="s">
        <v>1639</v>
      </c>
      <c r="R1480" s="494" t="str">
        <f t="shared" si="245"/>
        <v>I1480</v>
      </c>
      <c r="S1480" s="494" t="s">
        <v>1640</v>
      </c>
      <c r="T1480" s="494">
        <v>6</v>
      </c>
      <c r="U1480" s="556" t="str">
        <f t="shared" ca="1" si="247"/>
        <v/>
      </c>
      <c r="V1480" s="494">
        <v>7</v>
      </c>
      <c r="W1480" s="556" t="str">
        <f t="shared" ca="1" si="248"/>
        <v/>
      </c>
      <c r="X1480" s="494" t="s">
        <v>1641</v>
      </c>
      <c r="Y1480" s="547" t="str">
        <f t="shared" ca="1" si="252"/>
        <v/>
      </c>
      <c r="Z1480" s="494" t="s">
        <v>183</v>
      </c>
      <c r="AA1480" s="547" t="str">
        <f t="shared" ca="1" si="253"/>
        <v/>
      </c>
      <c r="AB1480" s="494" t="s">
        <v>168</v>
      </c>
      <c r="AC1480" s="547" t="str">
        <f t="shared" ca="1" si="254"/>
        <v/>
      </c>
      <c r="AD1480" s="557"/>
      <c r="AE1480" s="958"/>
    </row>
    <row r="1481" spans="1:31" ht="15" customHeight="1">
      <c r="A1481" s="957" t="str">
        <f t="shared" ca="1" si="243"/>
        <v>27/30</v>
      </c>
      <c r="B1481" s="566" t="s">
        <v>1293</v>
      </c>
      <c r="C1481" s="567" t="str">
        <f t="shared" ca="1" si="244"/>
        <v>Green Star - Multi Unit Residential</v>
      </c>
      <c r="D1481" s="958">
        <v>1</v>
      </c>
      <c r="E1481" s="959" t="s">
        <v>345</v>
      </c>
      <c r="F1481" s="558" t="s">
        <v>1484</v>
      </c>
      <c r="G1481" s="558">
        <v>161</v>
      </c>
      <c r="H1481" s="558" t="s">
        <v>1341</v>
      </c>
      <c r="I1481" s="559" t="s">
        <v>1286</v>
      </c>
      <c r="J1481" s="567" t="s">
        <v>1638</v>
      </c>
      <c r="K1481" s="961" t="s">
        <v>1568</v>
      </c>
      <c r="L1481" s="555" t="str">
        <f t="shared" ca="1" si="249"/>
        <v/>
      </c>
      <c r="M1481" s="494" t="s">
        <v>1569</v>
      </c>
      <c r="N1481" s="555" t="str">
        <f t="shared" ca="1" si="250"/>
        <v/>
      </c>
      <c r="O1481" s="494" t="s">
        <v>1570</v>
      </c>
      <c r="P1481" s="555" t="str">
        <f t="shared" ca="1" si="251"/>
        <v/>
      </c>
      <c r="Q1481" s="494" t="s">
        <v>1639</v>
      </c>
      <c r="R1481" s="494" t="str">
        <f t="shared" si="245"/>
        <v>I1481</v>
      </c>
      <c r="S1481" s="494" t="s">
        <v>1640</v>
      </c>
      <c r="T1481" s="494">
        <v>6</v>
      </c>
      <c r="U1481" s="556" t="str">
        <f t="shared" ca="1" si="247"/>
        <v/>
      </c>
      <c r="V1481" s="494">
        <v>7</v>
      </c>
      <c r="W1481" s="556" t="str">
        <f t="shared" ca="1" si="248"/>
        <v/>
      </c>
      <c r="X1481" s="494" t="s">
        <v>1641</v>
      </c>
      <c r="Y1481" s="547" t="str">
        <f t="shared" ca="1" si="252"/>
        <v/>
      </c>
      <c r="Z1481" s="494" t="s">
        <v>183</v>
      </c>
      <c r="AA1481" s="547" t="str">
        <f t="shared" ca="1" si="253"/>
        <v/>
      </c>
      <c r="AB1481" s="494" t="s">
        <v>168</v>
      </c>
      <c r="AC1481" s="547" t="str">
        <f t="shared" ca="1" si="254"/>
        <v/>
      </c>
      <c r="AD1481" s="557"/>
      <c r="AE1481" s="958"/>
    </row>
    <row r="1482" spans="1:31" ht="15" customHeight="1">
      <c r="A1482" s="957" t="str">
        <f t="shared" ca="1" si="243"/>
        <v>27/30</v>
      </c>
      <c r="B1482" s="566" t="s">
        <v>1293</v>
      </c>
      <c r="C1482" s="567" t="str">
        <f t="shared" ca="1" si="244"/>
        <v>Green Star - Multi Unit Residential</v>
      </c>
      <c r="D1482" s="958">
        <v>1</v>
      </c>
      <c r="E1482" s="959" t="s">
        <v>353</v>
      </c>
      <c r="F1482" s="558" t="s">
        <v>1486</v>
      </c>
      <c r="G1482" s="558">
        <v>140</v>
      </c>
      <c r="H1482" s="558" t="s">
        <v>1175</v>
      </c>
      <c r="I1482" s="559" t="s">
        <v>1176</v>
      </c>
      <c r="J1482" s="567" t="s">
        <v>1638</v>
      </c>
      <c r="K1482" s="961" t="s">
        <v>1568</v>
      </c>
      <c r="L1482" s="555" t="str">
        <f t="shared" ca="1" si="249"/>
        <v/>
      </c>
      <c r="M1482" s="494" t="s">
        <v>1569</v>
      </c>
      <c r="N1482" s="555" t="str">
        <f t="shared" ca="1" si="250"/>
        <v/>
      </c>
      <c r="O1482" s="494" t="s">
        <v>1570</v>
      </c>
      <c r="P1482" s="555" t="str">
        <f t="shared" ca="1" si="251"/>
        <v/>
      </c>
      <c r="Q1482" s="494" t="s">
        <v>1639</v>
      </c>
      <c r="R1482" s="494" t="str">
        <f t="shared" si="245"/>
        <v>I1482</v>
      </c>
      <c r="S1482" s="494" t="s">
        <v>1640</v>
      </c>
      <c r="T1482" s="494">
        <v>6</v>
      </c>
      <c r="U1482" s="556" t="str">
        <f t="shared" ca="1" si="247"/>
        <v/>
      </c>
      <c r="V1482" s="494">
        <v>7</v>
      </c>
      <c r="W1482" s="556" t="str">
        <f t="shared" ca="1" si="248"/>
        <v/>
      </c>
      <c r="X1482" s="494" t="s">
        <v>1641</v>
      </c>
      <c r="Y1482" s="547" t="str">
        <f t="shared" ca="1" si="252"/>
        <v/>
      </c>
      <c r="Z1482" s="494" t="s">
        <v>183</v>
      </c>
      <c r="AA1482" s="547" t="str">
        <f t="shared" ca="1" si="253"/>
        <v/>
      </c>
      <c r="AB1482" s="494" t="s">
        <v>168</v>
      </c>
      <c r="AC1482" s="547" t="str">
        <f t="shared" ca="1" si="254"/>
        <v/>
      </c>
      <c r="AD1482" s="557"/>
      <c r="AE1482" s="958"/>
    </row>
    <row r="1483" spans="1:31" ht="15" customHeight="1">
      <c r="A1483" s="957" t="str">
        <f t="shared" ca="1" si="243"/>
        <v>27/30</v>
      </c>
      <c r="B1483" s="566" t="s">
        <v>1293</v>
      </c>
      <c r="C1483" s="567" t="str">
        <f t="shared" ca="1" si="244"/>
        <v>Green Star - Multi Unit Residential</v>
      </c>
      <c r="D1483" s="958">
        <v>1</v>
      </c>
      <c r="E1483" s="959" t="s">
        <v>353</v>
      </c>
      <c r="F1483" s="558" t="s">
        <v>1486</v>
      </c>
      <c r="G1483" s="558">
        <v>141</v>
      </c>
      <c r="H1483" s="558" t="s">
        <v>1179</v>
      </c>
      <c r="I1483" s="559" t="s">
        <v>364</v>
      </c>
      <c r="J1483" s="567" t="s">
        <v>1638</v>
      </c>
      <c r="K1483" s="961" t="s">
        <v>1568</v>
      </c>
      <c r="L1483" s="555" t="str">
        <f t="shared" ca="1" si="249"/>
        <v/>
      </c>
      <c r="M1483" s="494" t="s">
        <v>1569</v>
      </c>
      <c r="N1483" s="555" t="str">
        <f t="shared" ca="1" si="250"/>
        <v/>
      </c>
      <c r="O1483" s="494" t="s">
        <v>1570</v>
      </c>
      <c r="P1483" s="555" t="str">
        <f t="shared" ca="1" si="251"/>
        <v/>
      </c>
      <c r="Q1483" s="494" t="s">
        <v>1639</v>
      </c>
      <c r="R1483" s="494" t="str">
        <f t="shared" si="245"/>
        <v>I1483</v>
      </c>
      <c r="S1483" s="494" t="s">
        <v>1640</v>
      </c>
      <c r="T1483" s="494">
        <v>6</v>
      </c>
      <c r="U1483" s="556" t="str">
        <f t="shared" ca="1" si="247"/>
        <v/>
      </c>
      <c r="V1483" s="494">
        <v>7</v>
      </c>
      <c r="W1483" s="556" t="str">
        <f t="shared" ca="1" si="248"/>
        <v/>
      </c>
      <c r="X1483" s="494" t="s">
        <v>1641</v>
      </c>
      <c r="Y1483" s="547" t="str">
        <f t="shared" ca="1" si="252"/>
        <v/>
      </c>
      <c r="Z1483" s="494" t="s">
        <v>183</v>
      </c>
      <c r="AA1483" s="547" t="str">
        <f t="shared" ca="1" si="253"/>
        <v/>
      </c>
      <c r="AB1483" s="494" t="s">
        <v>168</v>
      </c>
      <c r="AC1483" s="547" t="str">
        <f t="shared" ca="1" si="254"/>
        <v/>
      </c>
      <c r="AD1483" s="557"/>
      <c r="AE1483" s="958"/>
    </row>
    <row r="1484" spans="1:31" ht="15" customHeight="1">
      <c r="A1484" s="957" t="str">
        <f t="shared" ca="1" si="243"/>
        <v>27/30</v>
      </c>
      <c r="B1484" s="566" t="s">
        <v>1293</v>
      </c>
      <c r="C1484" s="567" t="str">
        <f t="shared" ca="1" si="244"/>
        <v>Green Star - Multi Unit Residential</v>
      </c>
      <c r="D1484" s="958">
        <v>1</v>
      </c>
      <c r="E1484" s="959" t="s">
        <v>353</v>
      </c>
      <c r="F1484" s="558" t="s">
        <v>1486</v>
      </c>
      <c r="G1484" s="558">
        <v>142</v>
      </c>
      <c r="H1484" s="558" t="s">
        <v>1180</v>
      </c>
      <c r="I1484" s="559" t="s">
        <v>1181</v>
      </c>
      <c r="J1484" s="567" t="s">
        <v>1638</v>
      </c>
      <c r="K1484" s="961" t="s">
        <v>1568</v>
      </c>
      <c r="L1484" s="555" t="str">
        <f t="shared" ca="1" si="249"/>
        <v/>
      </c>
      <c r="M1484" s="494" t="s">
        <v>1569</v>
      </c>
      <c r="N1484" s="555" t="str">
        <f t="shared" ca="1" si="250"/>
        <v/>
      </c>
      <c r="O1484" s="494" t="s">
        <v>1570</v>
      </c>
      <c r="P1484" s="555" t="str">
        <f t="shared" ca="1" si="251"/>
        <v/>
      </c>
      <c r="Q1484" s="494" t="s">
        <v>1639</v>
      </c>
      <c r="R1484" s="494" t="str">
        <f t="shared" si="245"/>
        <v>I1484</v>
      </c>
      <c r="S1484" s="494" t="s">
        <v>1640</v>
      </c>
      <c r="T1484" s="494">
        <v>6</v>
      </c>
      <c r="U1484" s="556" t="str">
        <f t="shared" ca="1" si="247"/>
        <v/>
      </c>
      <c r="V1484" s="494">
        <v>7</v>
      </c>
      <c r="W1484" s="556" t="str">
        <f t="shared" ca="1" si="248"/>
        <v/>
      </c>
      <c r="X1484" s="494" t="s">
        <v>1641</v>
      </c>
      <c r="Y1484" s="547" t="str">
        <f t="shared" ca="1" si="252"/>
        <v/>
      </c>
      <c r="Z1484" s="494" t="s">
        <v>183</v>
      </c>
      <c r="AA1484" s="547" t="str">
        <f t="shared" ca="1" si="253"/>
        <v/>
      </c>
      <c r="AB1484" s="494" t="s">
        <v>168</v>
      </c>
      <c r="AC1484" s="547" t="str">
        <f t="shared" ca="1" si="254"/>
        <v/>
      </c>
      <c r="AD1484" s="557"/>
      <c r="AE1484" s="958"/>
    </row>
    <row r="1485" spans="1:31" ht="15" customHeight="1">
      <c r="A1485" s="957" t="str">
        <f t="shared" ca="1" si="243"/>
        <v>27/30</v>
      </c>
      <c r="B1485" s="566" t="s">
        <v>1293</v>
      </c>
      <c r="C1485" s="567" t="str">
        <f t="shared" ca="1" si="244"/>
        <v>Green Star - Multi Unit Residential</v>
      </c>
      <c r="D1485" s="958">
        <v>1</v>
      </c>
      <c r="E1485" s="959" t="s">
        <v>353</v>
      </c>
      <c r="F1485" s="558" t="s">
        <v>1486</v>
      </c>
      <c r="G1485" s="558">
        <v>213</v>
      </c>
      <c r="H1485" s="558" t="s">
        <v>1182</v>
      </c>
      <c r="I1485" s="559" t="s">
        <v>1316</v>
      </c>
      <c r="J1485" s="567" t="s">
        <v>1638</v>
      </c>
      <c r="K1485" s="961" t="s">
        <v>1568</v>
      </c>
      <c r="L1485" s="555" t="str">
        <f t="shared" ca="1" si="249"/>
        <v/>
      </c>
      <c r="M1485" s="494" t="s">
        <v>1569</v>
      </c>
      <c r="N1485" s="555" t="str">
        <f t="shared" ca="1" si="250"/>
        <v/>
      </c>
      <c r="O1485" s="494" t="s">
        <v>1570</v>
      </c>
      <c r="P1485" s="555" t="str">
        <f t="shared" ca="1" si="251"/>
        <v/>
      </c>
      <c r="Q1485" s="494" t="s">
        <v>1639</v>
      </c>
      <c r="R1485" s="494" t="str">
        <f t="shared" si="245"/>
        <v>I1485</v>
      </c>
      <c r="S1485" s="494" t="s">
        <v>1640</v>
      </c>
      <c r="T1485" s="494">
        <v>6</v>
      </c>
      <c r="U1485" s="556" t="str">
        <f t="shared" ca="1" si="247"/>
        <v/>
      </c>
      <c r="V1485" s="494">
        <v>7</v>
      </c>
      <c r="W1485" s="556" t="str">
        <f t="shared" ca="1" si="248"/>
        <v/>
      </c>
      <c r="X1485" s="494" t="s">
        <v>1641</v>
      </c>
      <c r="Y1485" s="547" t="str">
        <f t="shared" ca="1" si="252"/>
        <v/>
      </c>
      <c r="Z1485" s="494" t="s">
        <v>183</v>
      </c>
      <c r="AA1485" s="547" t="str">
        <f t="shared" ca="1" si="253"/>
        <v/>
      </c>
      <c r="AB1485" s="494" t="s">
        <v>168</v>
      </c>
      <c r="AC1485" s="547" t="str">
        <f t="shared" ca="1" si="254"/>
        <v/>
      </c>
      <c r="AD1485" s="557"/>
      <c r="AE1485" s="958"/>
    </row>
    <row r="1486" spans="1:31" ht="15" customHeight="1">
      <c r="A1486" s="957" t="str">
        <f t="shared" ca="1" si="243"/>
        <v>27/30</v>
      </c>
      <c r="B1486" s="566" t="s">
        <v>1293</v>
      </c>
      <c r="C1486" s="567" t="str">
        <f t="shared" ca="1" si="244"/>
        <v>Green Star - Multi Unit Residential</v>
      </c>
      <c r="D1486" s="958">
        <v>1</v>
      </c>
      <c r="E1486" s="959" t="s">
        <v>353</v>
      </c>
      <c r="F1486" s="558" t="s">
        <v>1486</v>
      </c>
      <c r="G1486" s="558">
        <v>260</v>
      </c>
      <c r="H1486" s="558" t="s">
        <v>1317</v>
      </c>
      <c r="I1486" s="559" t="s">
        <v>1318</v>
      </c>
      <c r="J1486" s="567" t="s">
        <v>1638</v>
      </c>
      <c r="K1486" s="961" t="s">
        <v>1568</v>
      </c>
      <c r="L1486" s="555" t="str">
        <f t="shared" ca="1" si="249"/>
        <v/>
      </c>
      <c r="M1486" s="494" t="s">
        <v>1569</v>
      </c>
      <c r="N1486" s="555" t="str">
        <f t="shared" ca="1" si="250"/>
        <v/>
      </c>
      <c r="O1486" s="494" t="s">
        <v>1570</v>
      </c>
      <c r="P1486" s="555" t="str">
        <f t="shared" ca="1" si="251"/>
        <v/>
      </c>
      <c r="Q1486" s="494" t="s">
        <v>1639</v>
      </c>
      <c r="R1486" s="494" t="str">
        <f>CONCATENATE("I",ROW(J1486))</f>
        <v>I1486</v>
      </c>
      <c r="S1486" s="494" t="s">
        <v>1640</v>
      </c>
      <c r="T1486" s="494">
        <v>6</v>
      </c>
      <c r="U1486" s="556" t="str">
        <f t="shared" ca="1" si="247"/>
        <v/>
      </c>
      <c r="V1486" s="494">
        <v>7</v>
      </c>
      <c r="W1486" s="556" t="str">
        <f t="shared" ca="1" si="248"/>
        <v/>
      </c>
      <c r="X1486" s="494" t="s">
        <v>1641</v>
      </c>
      <c r="Y1486" s="547" t="str">
        <f t="shared" ca="1" si="252"/>
        <v/>
      </c>
      <c r="Z1486" s="494" t="s">
        <v>183</v>
      </c>
      <c r="AA1486" s="547" t="str">
        <f t="shared" ca="1" si="253"/>
        <v/>
      </c>
      <c r="AB1486" s="494" t="s">
        <v>168</v>
      </c>
      <c r="AC1486" s="547" t="str">
        <f t="shared" ca="1" si="254"/>
        <v/>
      </c>
      <c r="AD1486" s="557"/>
      <c r="AE1486" s="958"/>
    </row>
    <row r="1487" spans="1:31" ht="15" customHeight="1">
      <c r="A1487" s="957" t="str">
        <f t="shared" ca="1" si="243"/>
        <v>27/30</v>
      </c>
      <c r="B1487" s="566" t="s">
        <v>1293</v>
      </c>
      <c r="C1487" s="567" t="str">
        <f t="shared" ca="1" si="244"/>
        <v>Green Star - Multi Unit Residential</v>
      </c>
      <c r="D1487" s="958">
        <v>1</v>
      </c>
      <c r="E1487" s="959" t="s">
        <v>353</v>
      </c>
      <c r="F1487" s="558" t="s">
        <v>1486</v>
      </c>
      <c r="G1487" s="558">
        <v>163</v>
      </c>
      <c r="H1487" s="558" t="s">
        <v>1319</v>
      </c>
      <c r="I1487" s="559" t="s">
        <v>1320</v>
      </c>
      <c r="J1487" s="567" t="s">
        <v>1638</v>
      </c>
      <c r="K1487" s="961" t="s">
        <v>1568</v>
      </c>
      <c r="L1487" s="555" t="str">
        <f t="shared" ca="1" si="249"/>
        <v/>
      </c>
      <c r="M1487" s="494" t="s">
        <v>1569</v>
      </c>
      <c r="N1487" s="555" t="str">
        <f t="shared" ca="1" si="250"/>
        <v/>
      </c>
      <c r="O1487" s="494" t="s">
        <v>1570</v>
      </c>
      <c r="P1487" s="555" t="str">
        <f t="shared" ca="1" si="251"/>
        <v/>
      </c>
      <c r="Q1487" s="494" t="s">
        <v>1639</v>
      </c>
      <c r="R1487" s="494" t="str">
        <f>CONCATENATE("I",ROW(J1487))</f>
        <v>I1487</v>
      </c>
      <c r="S1487" s="494" t="s">
        <v>1640</v>
      </c>
      <c r="T1487" s="494">
        <v>6</v>
      </c>
      <c r="U1487" s="556" t="str">
        <f t="shared" ca="1" si="247"/>
        <v/>
      </c>
      <c r="V1487" s="494">
        <v>7</v>
      </c>
      <c r="W1487" s="556" t="str">
        <f t="shared" ca="1" si="248"/>
        <v/>
      </c>
      <c r="X1487" s="494" t="s">
        <v>1641</v>
      </c>
      <c r="Y1487" s="547" t="str">
        <f t="shared" ca="1" si="252"/>
        <v/>
      </c>
      <c r="Z1487" s="494" t="s">
        <v>183</v>
      </c>
      <c r="AA1487" s="547" t="str">
        <f t="shared" ca="1" si="253"/>
        <v/>
      </c>
      <c r="AB1487" s="494" t="s">
        <v>168</v>
      </c>
      <c r="AC1487" s="547" t="str">
        <f t="shared" ca="1" si="254"/>
        <v/>
      </c>
      <c r="AD1487" s="557"/>
      <c r="AE1487" s="958"/>
    </row>
    <row r="1488" spans="1:31" ht="15" customHeight="1">
      <c r="A1488" s="957" t="str">
        <f t="shared" ca="1" si="243"/>
        <v>27/30</v>
      </c>
      <c r="B1488" s="566" t="s">
        <v>1293</v>
      </c>
      <c r="C1488" s="567" t="str">
        <f t="shared" ca="1" si="244"/>
        <v>Green Star - Multi Unit Residential</v>
      </c>
      <c r="D1488" s="958">
        <v>1</v>
      </c>
      <c r="E1488" s="959" t="s">
        <v>367</v>
      </c>
      <c r="F1488" s="558" t="s">
        <v>1488</v>
      </c>
      <c r="G1488" s="558">
        <v>46</v>
      </c>
      <c r="H1488" s="558" t="s">
        <v>1186</v>
      </c>
      <c r="I1488" s="559" t="s">
        <v>1187</v>
      </c>
      <c r="J1488" s="567" t="s">
        <v>1638</v>
      </c>
      <c r="K1488" s="961" t="s">
        <v>1568</v>
      </c>
      <c r="L1488" s="555" t="str">
        <f t="shared" ca="1" si="249"/>
        <v/>
      </c>
      <c r="M1488" s="494" t="s">
        <v>1569</v>
      </c>
      <c r="N1488" s="555" t="str">
        <f t="shared" ca="1" si="250"/>
        <v/>
      </c>
      <c r="O1488" s="494" t="s">
        <v>1570</v>
      </c>
      <c r="P1488" s="555" t="str">
        <f t="shared" ca="1" si="251"/>
        <v/>
      </c>
      <c r="Q1488" s="494" t="s">
        <v>1639</v>
      </c>
      <c r="R1488" s="494" t="str">
        <f t="shared" si="245"/>
        <v>I1488</v>
      </c>
      <c r="S1488" s="494" t="s">
        <v>1640</v>
      </c>
      <c r="T1488" s="494">
        <v>6</v>
      </c>
      <c r="U1488" s="556" t="str">
        <f t="shared" ca="1" si="247"/>
        <v/>
      </c>
      <c r="V1488" s="494">
        <v>7</v>
      </c>
      <c r="W1488" s="556" t="str">
        <f t="shared" ca="1" si="248"/>
        <v/>
      </c>
      <c r="X1488" s="494" t="s">
        <v>1641</v>
      </c>
      <c r="Y1488" s="547" t="str">
        <f t="shared" ca="1" si="252"/>
        <v/>
      </c>
      <c r="Z1488" s="494" t="s">
        <v>183</v>
      </c>
      <c r="AA1488" s="547" t="str">
        <f t="shared" ca="1" si="253"/>
        <v/>
      </c>
      <c r="AB1488" s="494" t="s">
        <v>168</v>
      </c>
      <c r="AC1488" s="547" t="str">
        <f t="shared" ca="1" si="254"/>
        <v/>
      </c>
      <c r="AD1488" s="557"/>
      <c r="AE1488" s="958"/>
    </row>
    <row r="1489" spans="1:31" ht="15" customHeight="1">
      <c r="A1489" s="957" t="str">
        <f t="shared" ca="1" si="243"/>
        <v>27/30</v>
      </c>
      <c r="B1489" s="566" t="s">
        <v>1293</v>
      </c>
      <c r="C1489" s="567" t="str">
        <f t="shared" ca="1" si="244"/>
        <v>Green Star - Multi Unit Residential</v>
      </c>
      <c r="D1489" s="958">
        <v>1</v>
      </c>
      <c r="E1489" s="959" t="s">
        <v>367</v>
      </c>
      <c r="F1489" s="558" t="s">
        <v>1488</v>
      </c>
      <c r="G1489" s="558">
        <v>143</v>
      </c>
      <c r="H1489" s="558" t="s">
        <v>1188</v>
      </c>
      <c r="I1489" s="559" t="s">
        <v>1189</v>
      </c>
      <c r="J1489" s="567" t="s">
        <v>1638</v>
      </c>
      <c r="K1489" s="961" t="s">
        <v>1568</v>
      </c>
      <c r="L1489" s="555" t="str">
        <f t="shared" ca="1" si="249"/>
        <v/>
      </c>
      <c r="M1489" s="494" t="s">
        <v>1569</v>
      </c>
      <c r="N1489" s="555" t="str">
        <f t="shared" ca="1" si="250"/>
        <v/>
      </c>
      <c r="O1489" s="494" t="s">
        <v>1570</v>
      </c>
      <c r="P1489" s="555" t="str">
        <f t="shared" ca="1" si="251"/>
        <v/>
      </c>
      <c r="Q1489" s="494" t="s">
        <v>1639</v>
      </c>
      <c r="R1489" s="494" t="str">
        <f t="shared" si="245"/>
        <v>I1489</v>
      </c>
      <c r="S1489" s="494" t="s">
        <v>1642</v>
      </c>
      <c r="T1489" s="494">
        <v>6</v>
      </c>
      <c r="U1489" s="556" t="str">
        <f t="shared" ca="1" si="247"/>
        <v/>
      </c>
      <c r="V1489" s="494">
        <v>7</v>
      </c>
      <c r="W1489" s="556" t="str">
        <f t="shared" ca="1" si="248"/>
        <v/>
      </c>
      <c r="X1489" s="494" t="s">
        <v>1641</v>
      </c>
      <c r="Y1489" s="547" t="str">
        <f t="shared" ca="1" si="252"/>
        <v/>
      </c>
      <c r="Z1489" s="494" t="s">
        <v>183</v>
      </c>
      <c r="AA1489" s="547" t="str">
        <f t="shared" ca="1" si="253"/>
        <v/>
      </c>
      <c r="AB1489" s="494" t="s">
        <v>168</v>
      </c>
      <c r="AC1489" s="547" t="str">
        <f t="shared" ca="1" si="254"/>
        <v/>
      </c>
      <c r="AD1489" s="557"/>
      <c r="AE1489" s="958"/>
    </row>
    <row r="1490" spans="1:31" ht="15" customHeight="1">
      <c r="A1490" s="957" t="str">
        <f t="shared" ca="1" si="243"/>
        <v>27/30</v>
      </c>
      <c r="B1490" s="566" t="s">
        <v>1293</v>
      </c>
      <c r="C1490" s="567" t="str">
        <f t="shared" ca="1" si="244"/>
        <v>Green Star - Multi Unit Residential</v>
      </c>
      <c r="D1490" s="958">
        <v>1</v>
      </c>
      <c r="E1490" s="959" t="s">
        <v>367</v>
      </c>
      <c r="F1490" s="558" t="s">
        <v>1488</v>
      </c>
      <c r="G1490" s="558">
        <v>143</v>
      </c>
      <c r="H1490" s="558" t="s">
        <v>1188</v>
      </c>
      <c r="I1490" s="559" t="s">
        <v>1190</v>
      </c>
      <c r="J1490" s="567" t="s">
        <v>1638</v>
      </c>
      <c r="K1490" s="961" t="s">
        <v>1568</v>
      </c>
      <c r="L1490" s="555" t="str">
        <f t="shared" ca="1" si="249"/>
        <v/>
      </c>
      <c r="M1490" s="494" t="s">
        <v>1569</v>
      </c>
      <c r="N1490" s="555" t="str">
        <f t="shared" ca="1" si="250"/>
        <v/>
      </c>
      <c r="O1490" s="494" t="s">
        <v>1570</v>
      </c>
      <c r="P1490" s="555" t="str">
        <f t="shared" ca="1" si="251"/>
        <v/>
      </c>
      <c r="Q1490" s="494" t="s">
        <v>1639</v>
      </c>
      <c r="R1490" s="494" t="str">
        <f t="shared" si="245"/>
        <v>I1490</v>
      </c>
      <c r="S1490" s="494" t="s">
        <v>1642</v>
      </c>
      <c r="T1490" s="494">
        <v>6</v>
      </c>
      <c r="U1490" s="556" t="str">
        <f t="shared" ca="1" si="247"/>
        <v/>
      </c>
      <c r="V1490" s="494">
        <v>7</v>
      </c>
      <c r="W1490" s="556" t="str">
        <f t="shared" ca="1" si="248"/>
        <v/>
      </c>
      <c r="X1490" s="494" t="s">
        <v>1641</v>
      </c>
      <c r="Y1490" s="547" t="str">
        <f t="shared" ca="1" si="252"/>
        <v/>
      </c>
      <c r="Z1490" s="494" t="s">
        <v>183</v>
      </c>
      <c r="AA1490" s="547" t="str">
        <f t="shared" ca="1" si="253"/>
        <v/>
      </c>
      <c r="AB1490" s="494" t="s">
        <v>168</v>
      </c>
      <c r="AC1490" s="547" t="str">
        <f t="shared" ca="1" si="254"/>
        <v/>
      </c>
      <c r="AD1490" s="557"/>
      <c r="AE1490" s="958"/>
    </row>
    <row r="1491" spans="1:31" ht="15" customHeight="1">
      <c r="A1491" s="957" t="str">
        <f t="shared" ca="1" si="243"/>
        <v>27/30</v>
      </c>
      <c r="B1491" s="566" t="s">
        <v>1293</v>
      </c>
      <c r="C1491" s="567" t="str">
        <f t="shared" ca="1" si="244"/>
        <v>Green Star - Multi Unit Residential</v>
      </c>
      <c r="D1491" s="958">
        <v>1</v>
      </c>
      <c r="E1491" s="959" t="s">
        <v>367</v>
      </c>
      <c r="F1491" s="558" t="s">
        <v>1488</v>
      </c>
      <c r="G1491" s="558">
        <v>182</v>
      </c>
      <c r="H1491" s="558" t="s">
        <v>1191</v>
      </c>
      <c r="I1491" s="559" t="s">
        <v>1192</v>
      </c>
      <c r="J1491" s="567" t="s">
        <v>1638</v>
      </c>
      <c r="K1491" s="961" t="s">
        <v>1568</v>
      </c>
      <c r="L1491" s="555" t="str">
        <f t="shared" ca="1" si="249"/>
        <v/>
      </c>
      <c r="M1491" s="494" t="s">
        <v>1569</v>
      </c>
      <c r="N1491" s="555" t="str">
        <f t="shared" ca="1" si="250"/>
        <v/>
      </c>
      <c r="O1491" s="494" t="s">
        <v>1570</v>
      </c>
      <c r="P1491" s="555" t="str">
        <f t="shared" ca="1" si="251"/>
        <v/>
      </c>
      <c r="Q1491" s="494" t="s">
        <v>1639</v>
      </c>
      <c r="R1491" s="494" t="str">
        <f t="shared" si="245"/>
        <v>I1491</v>
      </c>
      <c r="S1491" s="494" t="s">
        <v>1640</v>
      </c>
      <c r="T1491" s="494">
        <v>6</v>
      </c>
      <c r="U1491" s="556" t="str">
        <f t="shared" ca="1" si="247"/>
        <v/>
      </c>
      <c r="V1491" s="494">
        <v>7</v>
      </c>
      <c r="W1491" s="556" t="str">
        <f t="shared" ca="1" si="248"/>
        <v/>
      </c>
      <c r="X1491" s="494" t="s">
        <v>1641</v>
      </c>
      <c r="Y1491" s="547" t="str">
        <f t="shared" ca="1" si="252"/>
        <v/>
      </c>
      <c r="Z1491" s="494" t="s">
        <v>183</v>
      </c>
      <c r="AA1491" s="547" t="str">
        <f t="shared" ca="1" si="253"/>
        <v/>
      </c>
      <c r="AB1491" s="494" t="s">
        <v>168</v>
      </c>
      <c r="AC1491" s="547" t="str">
        <f t="shared" ca="1" si="254"/>
        <v/>
      </c>
      <c r="AD1491" s="557"/>
      <c r="AE1491" s="958"/>
    </row>
    <row r="1492" spans="1:31" ht="15" customHeight="1">
      <c r="A1492" s="957" t="str">
        <f t="shared" ca="1" si="243"/>
        <v>27/30</v>
      </c>
      <c r="B1492" s="566" t="s">
        <v>1293</v>
      </c>
      <c r="C1492" s="567" t="str">
        <f t="shared" ca="1" si="244"/>
        <v>Green Star - Multi Unit Residential</v>
      </c>
      <c r="D1492" s="958">
        <v>1</v>
      </c>
      <c r="E1492" s="959" t="s">
        <v>367</v>
      </c>
      <c r="F1492" s="558" t="s">
        <v>1488</v>
      </c>
      <c r="G1492" s="558">
        <v>145</v>
      </c>
      <c r="H1492" s="558" t="s">
        <v>1193</v>
      </c>
      <c r="I1492" s="559" t="s">
        <v>1195</v>
      </c>
      <c r="J1492" s="567" t="s">
        <v>1638</v>
      </c>
      <c r="K1492" s="961" t="s">
        <v>1568</v>
      </c>
      <c r="L1492" s="555" t="str">
        <f t="shared" ca="1" si="249"/>
        <v/>
      </c>
      <c r="M1492" s="494" t="s">
        <v>1569</v>
      </c>
      <c r="N1492" s="555" t="str">
        <f t="shared" ca="1" si="250"/>
        <v/>
      </c>
      <c r="O1492" s="494" t="s">
        <v>1570</v>
      </c>
      <c r="P1492" s="555" t="str">
        <f t="shared" ca="1" si="251"/>
        <v/>
      </c>
      <c r="Q1492" s="494" t="s">
        <v>1639</v>
      </c>
      <c r="R1492" s="494" t="str">
        <f t="shared" si="245"/>
        <v>I1492</v>
      </c>
      <c r="S1492" s="494" t="s">
        <v>1642</v>
      </c>
      <c r="T1492" s="494">
        <v>6</v>
      </c>
      <c r="U1492" s="556" t="str">
        <f t="shared" ca="1" si="247"/>
        <v/>
      </c>
      <c r="V1492" s="494">
        <v>7</v>
      </c>
      <c r="W1492" s="556" t="str">
        <f t="shared" ca="1" si="248"/>
        <v/>
      </c>
      <c r="X1492" s="494" t="s">
        <v>1641</v>
      </c>
      <c r="Y1492" s="547" t="str">
        <f t="shared" ca="1" si="252"/>
        <v/>
      </c>
      <c r="Z1492" s="494" t="s">
        <v>183</v>
      </c>
      <c r="AA1492" s="547" t="str">
        <f t="shared" ca="1" si="253"/>
        <v/>
      </c>
      <c r="AB1492" s="494" t="s">
        <v>168</v>
      </c>
      <c r="AC1492" s="547" t="str">
        <f t="shared" ca="1" si="254"/>
        <v/>
      </c>
      <c r="AD1492" s="557"/>
      <c r="AE1492" s="958"/>
    </row>
    <row r="1493" spans="1:31" ht="15" customHeight="1">
      <c r="A1493" s="957" t="str">
        <f t="shared" ca="1" si="243"/>
        <v>27/30</v>
      </c>
      <c r="B1493" s="566" t="s">
        <v>1293</v>
      </c>
      <c r="C1493" s="567" t="str">
        <f t="shared" ca="1" si="244"/>
        <v>Green Star - Multi Unit Residential</v>
      </c>
      <c r="D1493" s="958">
        <v>1</v>
      </c>
      <c r="E1493" s="959" t="s">
        <v>367</v>
      </c>
      <c r="F1493" s="558" t="s">
        <v>1488</v>
      </c>
      <c r="G1493" s="558">
        <v>145</v>
      </c>
      <c r="H1493" s="558" t="s">
        <v>1193</v>
      </c>
      <c r="I1493" s="559" t="s">
        <v>1196</v>
      </c>
      <c r="J1493" s="567" t="s">
        <v>1638</v>
      </c>
      <c r="K1493" s="961" t="s">
        <v>1568</v>
      </c>
      <c r="L1493" s="555" t="str">
        <f t="shared" ca="1" si="249"/>
        <v/>
      </c>
      <c r="M1493" s="494" t="s">
        <v>1569</v>
      </c>
      <c r="N1493" s="555" t="str">
        <f t="shared" ca="1" si="250"/>
        <v/>
      </c>
      <c r="O1493" s="494" t="s">
        <v>1570</v>
      </c>
      <c r="P1493" s="555" t="str">
        <f t="shared" ca="1" si="251"/>
        <v/>
      </c>
      <c r="Q1493" s="494" t="s">
        <v>1639</v>
      </c>
      <c r="R1493" s="494" t="str">
        <f t="shared" si="245"/>
        <v>I1493</v>
      </c>
      <c r="S1493" s="494" t="s">
        <v>1642</v>
      </c>
      <c r="T1493" s="494">
        <v>6</v>
      </c>
      <c r="U1493" s="556" t="str">
        <f t="shared" ca="1" si="247"/>
        <v/>
      </c>
      <c r="V1493" s="494">
        <v>7</v>
      </c>
      <c r="W1493" s="556" t="str">
        <f t="shared" ca="1" si="248"/>
        <v/>
      </c>
      <c r="X1493" s="494" t="s">
        <v>1641</v>
      </c>
      <c r="Y1493" s="547" t="str">
        <f t="shared" ca="1" si="252"/>
        <v/>
      </c>
      <c r="Z1493" s="494" t="s">
        <v>183</v>
      </c>
      <c r="AA1493" s="547" t="str">
        <f t="shared" ca="1" si="253"/>
        <v/>
      </c>
      <c r="AB1493" s="494" t="s">
        <v>168</v>
      </c>
      <c r="AC1493" s="547" t="str">
        <f t="shared" ca="1" si="254"/>
        <v/>
      </c>
      <c r="AD1493" s="557"/>
      <c r="AE1493" s="958"/>
    </row>
    <row r="1494" spans="1:31" ht="15" customHeight="1">
      <c r="A1494" s="957" t="str">
        <f t="shared" ca="1" si="243"/>
        <v>27/30</v>
      </c>
      <c r="B1494" s="566" t="s">
        <v>1293</v>
      </c>
      <c r="C1494" s="567" t="str">
        <f t="shared" ca="1" si="244"/>
        <v>Green Star - Multi Unit Residential</v>
      </c>
      <c r="D1494" s="958">
        <v>1</v>
      </c>
      <c r="E1494" s="959" t="s">
        <v>367</v>
      </c>
      <c r="F1494" s="558" t="s">
        <v>1488</v>
      </c>
      <c r="G1494" s="558">
        <v>146</v>
      </c>
      <c r="H1494" s="558" t="s">
        <v>1197</v>
      </c>
      <c r="I1494" s="559" t="s">
        <v>1199</v>
      </c>
      <c r="J1494" s="567" t="s">
        <v>1638</v>
      </c>
      <c r="K1494" s="961" t="s">
        <v>1568</v>
      </c>
      <c r="L1494" s="555" t="str">
        <f t="shared" ca="1" si="249"/>
        <v/>
      </c>
      <c r="M1494" s="494" t="s">
        <v>1569</v>
      </c>
      <c r="N1494" s="555" t="str">
        <f t="shared" ca="1" si="250"/>
        <v/>
      </c>
      <c r="O1494" s="494" t="s">
        <v>1570</v>
      </c>
      <c r="P1494" s="555" t="str">
        <f t="shared" ca="1" si="251"/>
        <v/>
      </c>
      <c r="Q1494" s="494" t="s">
        <v>1639</v>
      </c>
      <c r="R1494" s="494" t="str">
        <f t="shared" si="245"/>
        <v>I1494</v>
      </c>
      <c r="S1494" s="494" t="s">
        <v>1642</v>
      </c>
      <c r="T1494" s="494">
        <v>6</v>
      </c>
      <c r="U1494" s="556" t="str">
        <f t="shared" ca="1" si="247"/>
        <v/>
      </c>
      <c r="V1494" s="494">
        <v>7</v>
      </c>
      <c r="W1494" s="556" t="str">
        <f t="shared" ca="1" si="248"/>
        <v/>
      </c>
      <c r="X1494" s="494" t="s">
        <v>1641</v>
      </c>
      <c r="Y1494" s="547" t="str">
        <f t="shared" ca="1" si="252"/>
        <v/>
      </c>
      <c r="Z1494" s="494" t="s">
        <v>183</v>
      </c>
      <c r="AA1494" s="547" t="str">
        <f t="shared" ca="1" si="253"/>
        <v/>
      </c>
      <c r="AB1494" s="494" t="s">
        <v>168</v>
      </c>
      <c r="AC1494" s="547" t="str">
        <f t="shared" ca="1" si="254"/>
        <v/>
      </c>
      <c r="AD1494" s="557"/>
      <c r="AE1494" s="958"/>
    </row>
    <row r="1495" spans="1:31" ht="15" customHeight="1">
      <c r="A1495" s="957" t="str">
        <f t="shared" ca="1" si="243"/>
        <v>27/30</v>
      </c>
      <c r="B1495" s="566" t="s">
        <v>1293</v>
      </c>
      <c r="C1495" s="567" t="str">
        <f t="shared" ca="1" si="244"/>
        <v>Green Star - Multi Unit Residential</v>
      </c>
      <c r="D1495" s="958">
        <v>1</v>
      </c>
      <c r="E1495" s="959" t="s">
        <v>367</v>
      </c>
      <c r="F1495" s="558" t="s">
        <v>1488</v>
      </c>
      <c r="G1495" s="558">
        <v>146</v>
      </c>
      <c r="H1495" s="558" t="s">
        <v>1197</v>
      </c>
      <c r="I1495" s="559" t="s">
        <v>1200</v>
      </c>
      <c r="J1495" s="567" t="s">
        <v>1638</v>
      </c>
      <c r="K1495" s="961" t="s">
        <v>1568</v>
      </c>
      <c r="L1495" s="555" t="str">
        <f t="shared" ca="1" si="249"/>
        <v/>
      </c>
      <c r="M1495" s="494" t="s">
        <v>1569</v>
      </c>
      <c r="N1495" s="555" t="str">
        <f t="shared" ca="1" si="250"/>
        <v/>
      </c>
      <c r="O1495" s="494" t="s">
        <v>1570</v>
      </c>
      <c r="P1495" s="555" t="str">
        <f t="shared" ca="1" si="251"/>
        <v/>
      </c>
      <c r="Q1495" s="494" t="s">
        <v>1639</v>
      </c>
      <c r="R1495" s="494" t="str">
        <f t="shared" si="245"/>
        <v>I1495</v>
      </c>
      <c r="S1495" s="494" t="s">
        <v>1642</v>
      </c>
      <c r="T1495" s="494">
        <v>6</v>
      </c>
      <c r="U1495" s="556" t="str">
        <f t="shared" ca="1" si="247"/>
        <v/>
      </c>
      <c r="V1495" s="494">
        <v>7</v>
      </c>
      <c r="W1495" s="556" t="str">
        <f t="shared" ca="1" si="248"/>
        <v/>
      </c>
      <c r="X1495" s="494" t="s">
        <v>1641</v>
      </c>
      <c r="Y1495" s="547" t="str">
        <f t="shared" ca="1" si="252"/>
        <v/>
      </c>
      <c r="Z1495" s="494" t="s">
        <v>183</v>
      </c>
      <c r="AA1495" s="547" t="str">
        <f t="shared" ca="1" si="253"/>
        <v/>
      </c>
      <c r="AB1495" s="494" t="s">
        <v>168</v>
      </c>
      <c r="AC1495" s="547" t="str">
        <f t="shared" ca="1" si="254"/>
        <v/>
      </c>
      <c r="AD1495" s="557"/>
      <c r="AE1495" s="958"/>
    </row>
    <row r="1496" spans="1:31" ht="15" customHeight="1">
      <c r="A1496" s="957" t="str">
        <f t="shared" ca="1" si="243"/>
        <v>27/30</v>
      </c>
      <c r="B1496" s="566" t="s">
        <v>1293</v>
      </c>
      <c r="C1496" s="567" t="str">
        <f t="shared" ca="1" si="244"/>
        <v>Green Star - Multi Unit Residential</v>
      </c>
      <c r="D1496" s="958">
        <v>1</v>
      </c>
      <c r="E1496" s="959" t="s">
        <v>367</v>
      </c>
      <c r="F1496" s="558" t="s">
        <v>1488</v>
      </c>
      <c r="G1496" s="558">
        <v>63</v>
      </c>
      <c r="H1496" s="558" t="s">
        <v>1201</v>
      </c>
      <c r="I1496" s="559" t="s">
        <v>1202</v>
      </c>
      <c r="J1496" s="567" t="s">
        <v>1638</v>
      </c>
      <c r="K1496" s="961" t="s">
        <v>1568</v>
      </c>
      <c r="L1496" s="555" t="str">
        <f t="shared" ca="1" si="249"/>
        <v/>
      </c>
      <c r="M1496" s="494" t="s">
        <v>1569</v>
      </c>
      <c r="N1496" s="555" t="str">
        <f t="shared" ca="1" si="250"/>
        <v/>
      </c>
      <c r="O1496" s="494" t="s">
        <v>1570</v>
      </c>
      <c r="P1496" s="555" t="str">
        <f t="shared" ca="1" si="251"/>
        <v/>
      </c>
      <c r="Q1496" s="494" t="s">
        <v>1639</v>
      </c>
      <c r="R1496" s="494" t="str">
        <f t="shared" si="245"/>
        <v>I1496</v>
      </c>
      <c r="S1496" s="494" t="s">
        <v>1640</v>
      </c>
      <c r="T1496" s="494">
        <v>6</v>
      </c>
      <c r="U1496" s="556" t="str">
        <f t="shared" ca="1" si="247"/>
        <v/>
      </c>
      <c r="V1496" s="494">
        <v>7</v>
      </c>
      <c r="W1496" s="556" t="str">
        <f t="shared" ca="1" si="248"/>
        <v/>
      </c>
      <c r="X1496" s="494" t="s">
        <v>1641</v>
      </c>
      <c r="Y1496" s="547" t="str">
        <f t="shared" ca="1" si="252"/>
        <v/>
      </c>
      <c r="Z1496" s="494" t="s">
        <v>183</v>
      </c>
      <c r="AA1496" s="547" t="str">
        <f t="shared" ca="1" si="253"/>
        <v/>
      </c>
      <c r="AB1496" s="494" t="s">
        <v>168</v>
      </c>
      <c r="AC1496" s="547" t="str">
        <f t="shared" ca="1" si="254"/>
        <v/>
      </c>
      <c r="AD1496" s="557"/>
      <c r="AE1496" s="958"/>
    </row>
    <row r="1497" spans="1:31" ht="15" customHeight="1">
      <c r="A1497" s="957" t="str">
        <f t="shared" ca="1" si="243"/>
        <v>27/30</v>
      </c>
      <c r="B1497" s="566" t="s">
        <v>1293</v>
      </c>
      <c r="C1497" s="567" t="str">
        <f t="shared" ca="1" si="244"/>
        <v>Green Star - Multi Unit Residential</v>
      </c>
      <c r="D1497" s="958">
        <v>1</v>
      </c>
      <c r="E1497" s="959" t="s">
        <v>367</v>
      </c>
      <c r="F1497" s="558" t="s">
        <v>1488</v>
      </c>
      <c r="G1497" s="558">
        <v>64</v>
      </c>
      <c r="H1497" s="558" t="s">
        <v>1203</v>
      </c>
      <c r="I1497" s="559" t="s">
        <v>1204</v>
      </c>
      <c r="J1497" s="567" t="s">
        <v>1638</v>
      </c>
      <c r="K1497" s="961" t="s">
        <v>1568</v>
      </c>
      <c r="L1497" s="555" t="str">
        <f t="shared" ca="1" si="249"/>
        <v/>
      </c>
      <c r="M1497" s="494" t="s">
        <v>1569</v>
      </c>
      <c r="N1497" s="555" t="str">
        <f t="shared" ca="1" si="250"/>
        <v/>
      </c>
      <c r="O1497" s="494" t="s">
        <v>1570</v>
      </c>
      <c r="P1497" s="555" t="str">
        <f t="shared" ca="1" si="251"/>
        <v/>
      </c>
      <c r="Q1497" s="494" t="s">
        <v>1639</v>
      </c>
      <c r="R1497" s="494" t="str">
        <f t="shared" si="245"/>
        <v>I1497</v>
      </c>
      <c r="S1497" s="494" t="s">
        <v>1640</v>
      </c>
      <c r="T1497" s="494">
        <v>6</v>
      </c>
      <c r="U1497" s="556" t="str">
        <f t="shared" ca="1" si="247"/>
        <v/>
      </c>
      <c r="V1497" s="494">
        <v>7</v>
      </c>
      <c r="W1497" s="556" t="str">
        <f t="shared" ca="1" si="248"/>
        <v/>
      </c>
      <c r="X1497" s="494" t="s">
        <v>1641</v>
      </c>
      <c r="Y1497" s="547" t="str">
        <f t="shared" ca="1" si="252"/>
        <v/>
      </c>
      <c r="Z1497" s="494" t="s">
        <v>183</v>
      </c>
      <c r="AA1497" s="547" t="str">
        <f t="shared" ca="1" si="253"/>
        <v/>
      </c>
      <c r="AB1497" s="494" t="s">
        <v>168</v>
      </c>
      <c r="AC1497" s="547" t="str">
        <f t="shared" ca="1" si="254"/>
        <v/>
      </c>
      <c r="AD1497" s="557"/>
      <c r="AE1497" s="958"/>
    </row>
    <row r="1498" spans="1:31" ht="15" customHeight="1">
      <c r="A1498" s="957" t="str">
        <f t="shared" ca="1" si="243"/>
        <v>27/30</v>
      </c>
      <c r="B1498" s="566" t="s">
        <v>1293</v>
      </c>
      <c r="C1498" s="567" t="str">
        <f t="shared" ca="1" si="244"/>
        <v>Green Star - Multi Unit Residential</v>
      </c>
      <c r="D1498" s="958">
        <v>1</v>
      </c>
      <c r="E1498" s="959" t="s">
        <v>367</v>
      </c>
      <c r="F1498" s="558" t="s">
        <v>1488</v>
      </c>
      <c r="G1498" s="558">
        <v>147</v>
      </c>
      <c r="H1498" s="558" t="s">
        <v>1205</v>
      </c>
      <c r="I1498" s="559" t="s">
        <v>1206</v>
      </c>
      <c r="J1498" s="567" t="s">
        <v>1638</v>
      </c>
      <c r="K1498" s="961" t="s">
        <v>1568</v>
      </c>
      <c r="L1498" s="555" t="str">
        <f t="shared" ca="1" si="249"/>
        <v/>
      </c>
      <c r="M1498" s="494" t="s">
        <v>1569</v>
      </c>
      <c r="N1498" s="555" t="str">
        <f t="shared" ca="1" si="250"/>
        <v/>
      </c>
      <c r="O1498" s="494" t="s">
        <v>1570</v>
      </c>
      <c r="P1498" s="555" t="str">
        <f t="shared" ca="1" si="251"/>
        <v/>
      </c>
      <c r="Q1498" s="494" t="s">
        <v>1639</v>
      </c>
      <c r="R1498" s="494" t="str">
        <f t="shared" si="245"/>
        <v>I1498</v>
      </c>
      <c r="S1498" s="494" t="s">
        <v>1640</v>
      </c>
      <c r="T1498" s="494">
        <v>6</v>
      </c>
      <c r="U1498" s="556" t="str">
        <f t="shared" ca="1" si="247"/>
        <v/>
      </c>
      <c r="V1498" s="494">
        <v>7</v>
      </c>
      <c r="W1498" s="556" t="str">
        <f t="shared" ca="1" si="248"/>
        <v/>
      </c>
      <c r="X1498" s="494" t="s">
        <v>1641</v>
      </c>
      <c r="Y1498" s="547" t="str">
        <f t="shared" ca="1" si="252"/>
        <v/>
      </c>
      <c r="Z1498" s="494" t="s">
        <v>183</v>
      </c>
      <c r="AA1498" s="547" t="str">
        <f t="shared" ca="1" si="253"/>
        <v/>
      </c>
      <c r="AB1498" s="494" t="s">
        <v>168</v>
      </c>
      <c r="AC1498" s="547" t="str">
        <f t="shared" ca="1" si="254"/>
        <v/>
      </c>
      <c r="AD1498" s="557"/>
      <c r="AE1498" s="958"/>
    </row>
    <row r="1499" spans="1:31" ht="15" customHeight="1">
      <c r="A1499" s="957" t="str">
        <f t="shared" ca="1" si="243"/>
        <v>27/30</v>
      </c>
      <c r="B1499" s="566" t="s">
        <v>1293</v>
      </c>
      <c r="C1499" s="567" t="str">
        <f t="shared" ca="1" si="244"/>
        <v>Green Star - Multi Unit Residential</v>
      </c>
      <c r="D1499" s="958">
        <v>1</v>
      </c>
      <c r="E1499" s="959" t="s">
        <v>367</v>
      </c>
      <c r="F1499" s="558" t="s">
        <v>1488</v>
      </c>
      <c r="G1499" s="558">
        <v>148</v>
      </c>
      <c r="H1499" s="558" t="s">
        <v>1207</v>
      </c>
      <c r="I1499" s="559" t="s">
        <v>1208</v>
      </c>
      <c r="J1499" s="567" t="s">
        <v>1638</v>
      </c>
      <c r="K1499" s="961" t="s">
        <v>1568</v>
      </c>
      <c r="L1499" s="555" t="str">
        <f t="shared" ca="1" si="249"/>
        <v/>
      </c>
      <c r="M1499" s="494" t="s">
        <v>1569</v>
      </c>
      <c r="N1499" s="555" t="str">
        <f t="shared" ca="1" si="250"/>
        <v/>
      </c>
      <c r="O1499" s="494" t="s">
        <v>1570</v>
      </c>
      <c r="P1499" s="555" t="str">
        <f t="shared" ca="1" si="251"/>
        <v/>
      </c>
      <c r="Q1499" s="494" t="s">
        <v>1639</v>
      </c>
      <c r="R1499" s="494" t="str">
        <f t="shared" si="245"/>
        <v>I1499</v>
      </c>
      <c r="S1499" s="494" t="s">
        <v>1640</v>
      </c>
      <c r="T1499" s="494">
        <v>6</v>
      </c>
      <c r="U1499" s="556" t="str">
        <f t="shared" ca="1" si="247"/>
        <v/>
      </c>
      <c r="V1499" s="494">
        <v>7</v>
      </c>
      <c r="W1499" s="556" t="str">
        <f t="shared" ca="1" si="248"/>
        <v/>
      </c>
      <c r="X1499" s="494" t="s">
        <v>1641</v>
      </c>
      <c r="Y1499" s="547" t="str">
        <f t="shared" ca="1" si="252"/>
        <v/>
      </c>
      <c r="Z1499" s="494" t="s">
        <v>183</v>
      </c>
      <c r="AA1499" s="547" t="str">
        <f t="shared" ca="1" si="253"/>
        <v/>
      </c>
      <c r="AB1499" s="494" t="s">
        <v>168</v>
      </c>
      <c r="AC1499" s="547" t="str">
        <f t="shared" ca="1" si="254"/>
        <v/>
      </c>
      <c r="AD1499" s="557"/>
      <c r="AE1499" s="958"/>
    </row>
    <row r="1500" spans="1:31" ht="15" customHeight="1">
      <c r="A1500" s="957" t="str">
        <f t="shared" ca="1" si="243"/>
        <v>27/30</v>
      </c>
      <c r="B1500" s="566" t="s">
        <v>1293</v>
      </c>
      <c r="C1500" s="567" t="str">
        <f t="shared" ca="1" si="244"/>
        <v>Green Star - Multi Unit Residential</v>
      </c>
      <c r="D1500" s="958">
        <v>1</v>
      </c>
      <c r="E1500" s="959" t="s">
        <v>367</v>
      </c>
      <c r="F1500" s="558" t="s">
        <v>1488</v>
      </c>
      <c r="G1500" s="558">
        <v>89</v>
      </c>
      <c r="H1500" s="558" t="s">
        <v>1211</v>
      </c>
      <c r="I1500" s="559" t="s">
        <v>991</v>
      </c>
      <c r="J1500" s="567" t="s">
        <v>1638</v>
      </c>
      <c r="K1500" s="961" t="s">
        <v>1568</v>
      </c>
      <c r="L1500" s="555" t="str">
        <f t="shared" ca="1" si="249"/>
        <v/>
      </c>
      <c r="M1500" s="494" t="s">
        <v>1569</v>
      </c>
      <c r="N1500" s="555" t="str">
        <f t="shared" ca="1" si="250"/>
        <v/>
      </c>
      <c r="O1500" s="494" t="s">
        <v>1570</v>
      </c>
      <c r="P1500" s="555" t="str">
        <f t="shared" ca="1" si="251"/>
        <v/>
      </c>
      <c r="Q1500" s="494" t="s">
        <v>1639</v>
      </c>
      <c r="R1500" s="494" t="str">
        <f>CONCATENATE("I",ROW(J1500))</f>
        <v>I1500</v>
      </c>
      <c r="S1500" s="494" t="s">
        <v>1640</v>
      </c>
      <c r="T1500" s="494">
        <v>6</v>
      </c>
      <c r="U1500" s="556" t="str">
        <f t="shared" ca="1" si="247"/>
        <v/>
      </c>
      <c r="V1500" s="494">
        <v>7</v>
      </c>
      <c r="W1500" s="556" t="str">
        <f t="shared" ca="1" si="248"/>
        <v/>
      </c>
      <c r="X1500" s="494" t="s">
        <v>1641</v>
      </c>
      <c r="Y1500" s="547" t="str">
        <f t="shared" ca="1" si="252"/>
        <v/>
      </c>
      <c r="Z1500" s="494" t="s">
        <v>183</v>
      </c>
      <c r="AA1500" s="547" t="str">
        <f t="shared" ca="1" si="253"/>
        <v/>
      </c>
      <c r="AB1500" s="494" t="s">
        <v>168</v>
      </c>
      <c r="AC1500" s="547" t="str">
        <f t="shared" ca="1" si="254"/>
        <v/>
      </c>
      <c r="AD1500" s="557"/>
      <c r="AE1500" s="958"/>
    </row>
    <row r="1501" spans="1:31" ht="15" customHeight="1">
      <c r="A1501" s="957" t="str">
        <f t="shared" ca="1" si="243"/>
        <v>27/30</v>
      </c>
      <c r="B1501" s="566" t="s">
        <v>1293</v>
      </c>
      <c r="C1501" s="567" t="str">
        <f t="shared" ca="1" si="244"/>
        <v>Green Star - Multi Unit Residential</v>
      </c>
      <c r="D1501" s="958">
        <v>1</v>
      </c>
      <c r="E1501" s="959" t="s">
        <v>367</v>
      </c>
      <c r="F1501" s="558" t="s">
        <v>1488</v>
      </c>
      <c r="G1501" s="558">
        <v>96</v>
      </c>
      <c r="H1501" s="558" t="s">
        <v>1212</v>
      </c>
      <c r="I1501" s="559" t="s">
        <v>1213</v>
      </c>
      <c r="J1501" s="567" t="s">
        <v>1638</v>
      </c>
      <c r="K1501" s="961" t="s">
        <v>1568</v>
      </c>
      <c r="L1501" s="555" t="str">
        <f t="shared" ca="1" si="249"/>
        <v/>
      </c>
      <c r="M1501" s="494" t="s">
        <v>1569</v>
      </c>
      <c r="N1501" s="555" t="str">
        <f t="shared" ca="1" si="250"/>
        <v/>
      </c>
      <c r="O1501" s="494" t="s">
        <v>1570</v>
      </c>
      <c r="P1501" s="555" t="str">
        <f t="shared" ca="1" si="251"/>
        <v/>
      </c>
      <c r="Q1501" s="494" t="s">
        <v>1639</v>
      </c>
      <c r="R1501" s="494" t="str">
        <f>CONCATENATE("I",ROW(J1501))</f>
        <v>I1501</v>
      </c>
      <c r="S1501" s="494" t="s">
        <v>1640</v>
      </c>
      <c r="T1501" s="494">
        <v>6</v>
      </c>
      <c r="U1501" s="556" t="str">
        <f t="shared" ca="1" si="247"/>
        <v/>
      </c>
      <c r="V1501" s="494">
        <v>7</v>
      </c>
      <c r="W1501" s="556" t="str">
        <f t="shared" ca="1" si="248"/>
        <v/>
      </c>
      <c r="X1501" s="494" t="s">
        <v>1641</v>
      </c>
      <c r="Y1501" s="547" t="str">
        <f t="shared" ca="1" si="252"/>
        <v/>
      </c>
      <c r="Z1501" s="494" t="s">
        <v>183</v>
      </c>
      <c r="AA1501" s="547" t="str">
        <f t="shared" ca="1" si="253"/>
        <v/>
      </c>
      <c r="AB1501" s="494" t="s">
        <v>168</v>
      </c>
      <c r="AC1501" s="547" t="str">
        <f t="shared" ca="1" si="254"/>
        <v/>
      </c>
      <c r="AD1501" s="557"/>
      <c r="AE1501" s="958"/>
    </row>
    <row r="1502" spans="1:31" ht="15" customHeight="1">
      <c r="A1502" s="957" t="str">
        <f t="shared" ca="1" si="243"/>
        <v>27/30</v>
      </c>
      <c r="B1502" s="566" t="s">
        <v>1293</v>
      </c>
      <c r="C1502" s="567" t="str">
        <f t="shared" ca="1" si="244"/>
        <v>Green Star - Multi Unit Residential</v>
      </c>
      <c r="D1502" s="958">
        <v>1</v>
      </c>
      <c r="E1502" s="959" t="s">
        <v>367</v>
      </c>
      <c r="F1502" s="558" t="s">
        <v>1488</v>
      </c>
      <c r="G1502" s="558">
        <v>261</v>
      </c>
      <c r="H1502" s="558" t="s">
        <v>1216</v>
      </c>
      <c r="I1502" s="559" t="s">
        <v>1321</v>
      </c>
      <c r="J1502" s="567" t="s">
        <v>1638</v>
      </c>
      <c r="K1502" s="961" t="s">
        <v>1568</v>
      </c>
      <c r="L1502" s="555" t="str">
        <f t="shared" ca="1" si="249"/>
        <v/>
      </c>
      <c r="M1502" s="494" t="s">
        <v>1569</v>
      </c>
      <c r="N1502" s="555" t="str">
        <f t="shared" ca="1" si="250"/>
        <v/>
      </c>
      <c r="O1502" s="494" t="s">
        <v>1570</v>
      </c>
      <c r="P1502" s="555" t="str">
        <f t="shared" ca="1" si="251"/>
        <v/>
      </c>
      <c r="Q1502" s="494" t="s">
        <v>1639</v>
      </c>
      <c r="R1502" s="494" t="str">
        <f>CONCATENATE("I",ROW(J1502))</f>
        <v>I1502</v>
      </c>
      <c r="S1502" s="494" t="s">
        <v>1640</v>
      </c>
      <c r="T1502" s="494">
        <v>6</v>
      </c>
      <c r="U1502" s="556" t="str">
        <f t="shared" ca="1" si="247"/>
        <v/>
      </c>
      <c r="V1502" s="494">
        <v>7</v>
      </c>
      <c r="W1502" s="556" t="str">
        <f t="shared" ca="1" si="248"/>
        <v/>
      </c>
      <c r="X1502" s="494" t="s">
        <v>1641</v>
      </c>
      <c r="Y1502" s="547" t="str">
        <f t="shared" ca="1" si="252"/>
        <v/>
      </c>
      <c r="Z1502" s="494" t="s">
        <v>183</v>
      </c>
      <c r="AA1502" s="547" t="str">
        <f t="shared" ca="1" si="253"/>
        <v/>
      </c>
      <c r="AB1502" s="494" t="s">
        <v>168</v>
      </c>
      <c r="AC1502" s="547" t="str">
        <f t="shared" ca="1" si="254"/>
        <v/>
      </c>
      <c r="AD1502" s="557"/>
      <c r="AE1502" s="958"/>
    </row>
    <row r="1503" spans="1:31" ht="15" customHeight="1">
      <c r="A1503" s="957" t="str">
        <f t="shared" ca="1" si="243"/>
        <v>27/30</v>
      </c>
      <c r="B1503" s="566" t="s">
        <v>1293</v>
      </c>
      <c r="C1503" s="567" t="str">
        <f t="shared" ca="1" si="244"/>
        <v>Green Star - Multi Unit Residential</v>
      </c>
      <c r="D1503" s="958">
        <v>1</v>
      </c>
      <c r="E1503" s="959" t="s">
        <v>367</v>
      </c>
      <c r="F1503" s="558" t="s">
        <v>1488</v>
      </c>
      <c r="G1503" s="558">
        <v>166</v>
      </c>
      <c r="H1503" s="558" t="s">
        <v>1322</v>
      </c>
      <c r="I1503" s="559" t="s">
        <v>1323</v>
      </c>
      <c r="J1503" s="567" t="s">
        <v>1638</v>
      </c>
      <c r="K1503" s="961" t="s">
        <v>1568</v>
      </c>
      <c r="L1503" s="555" t="str">
        <f t="shared" ca="1" si="249"/>
        <v/>
      </c>
      <c r="M1503" s="494" t="s">
        <v>1569</v>
      </c>
      <c r="N1503" s="555" t="str">
        <f t="shared" ca="1" si="250"/>
        <v/>
      </c>
      <c r="O1503" s="494" t="s">
        <v>1570</v>
      </c>
      <c r="P1503" s="555" t="str">
        <f t="shared" ca="1" si="251"/>
        <v/>
      </c>
      <c r="Q1503" s="494" t="s">
        <v>1639</v>
      </c>
      <c r="R1503" s="494" t="str">
        <f>CONCATENATE("I",ROW(J1503))</f>
        <v>I1503</v>
      </c>
      <c r="S1503" s="494" t="s">
        <v>1640</v>
      </c>
      <c r="T1503" s="494">
        <v>6</v>
      </c>
      <c r="U1503" s="556" t="str">
        <f t="shared" ca="1" si="247"/>
        <v/>
      </c>
      <c r="V1503" s="494">
        <v>7</v>
      </c>
      <c r="W1503" s="556" t="str">
        <f t="shared" ca="1" si="248"/>
        <v/>
      </c>
      <c r="X1503" s="494" t="s">
        <v>1641</v>
      </c>
      <c r="Y1503" s="547" t="str">
        <f t="shared" ca="1" si="252"/>
        <v/>
      </c>
      <c r="Z1503" s="494" t="s">
        <v>183</v>
      </c>
      <c r="AA1503" s="547" t="str">
        <f t="shared" ca="1" si="253"/>
        <v/>
      </c>
      <c r="AB1503" s="494" t="s">
        <v>168</v>
      </c>
      <c r="AC1503" s="547" t="str">
        <f t="shared" ca="1" si="254"/>
        <v/>
      </c>
      <c r="AD1503" s="557"/>
      <c r="AE1503" s="958"/>
    </row>
    <row r="1504" spans="1:31" ht="15" customHeight="1">
      <c r="A1504" s="957" t="str">
        <f t="shared" ca="1" si="243"/>
        <v>27/30</v>
      </c>
      <c r="B1504" s="566" t="s">
        <v>1293</v>
      </c>
      <c r="C1504" s="567" t="str">
        <f t="shared" ca="1" si="244"/>
        <v>Green Star - Multi Unit Residential</v>
      </c>
      <c r="D1504" s="958">
        <v>1</v>
      </c>
      <c r="E1504" s="959" t="s">
        <v>396</v>
      </c>
      <c r="F1504" s="558" t="s">
        <v>1498</v>
      </c>
      <c r="G1504" s="558">
        <v>149</v>
      </c>
      <c r="H1504" s="558" t="s">
        <v>1577</v>
      </c>
      <c r="I1504" s="559" t="s">
        <v>1219</v>
      </c>
      <c r="J1504" s="567" t="s">
        <v>1638</v>
      </c>
      <c r="K1504" s="961" t="s">
        <v>1568</v>
      </c>
      <c r="L1504" s="555" t="str">
        <f t="shared" ca="1" si="249"/>
        <v/>
      </c>
      <c r="M1504" s="494" t="s">
        <v>1569</v>
      </c>
      <c r="N1504" s="555" t="str">
        <f t="shared" ca="1" si="250"/>
        <v/>
      </c>
      <c r="O1504" s="494" t="s">
        <v>1570</v>
      </c>
      <c r="P1504" s="555" t="str">
        <f t="shared" ca="1" si="251"/>
        <v/>
      </c>
      <c r="Q1504" s="494" t="s">
        <v>1639</v>
      </c>
      <c r="R1504" s="494" t="str">
        <f t="shared" si="245"/>
        <v>I1504</v>
      </c>
      <c r="S1504" s="494" t="s">
        <v>1640</v>
      </c>
      <c r="T1504" s="494">
        <v>6</v>
      </c>
      <c r="U1504" s="556" t="str">
        <f t="shared" ca="1" si="247"/>
        <v/>
      </c>
      <c r="V1504" s="494">
        <v>7</v>
      </c>
      <c r="W1504" s="556" t="str">
        <f t="shared" ca="1" si="248"/>
        <v/>
      </c>
      <c r="X1504" s="494" t="s">
        <v>1641</v>
      </c>
      <c r="Y1504" s="547" t="str">
        <f t="shared" ca="1" si="252"/>
        <v/>
      </c>
      <c r="Z1504" s="494" t="s">
        <v>183</v>
      </c>
      <c r="AA1504" s="547" t="str">
        <f t="shared" ca="1" si="253"/>
        <v/>
      </c>
      <c r="AB1504" s="494" t="s">
        <v>168</v>
      </c>
      <c r="AC1504" s="547" t="str">
        <f t="shared" ca="1" si="254"/>
        <v/>
      </c>
      <c r="AD1504" s="557"/>
      <c r="AE1504" s="958"/>
    </row>
    <row r="1505" spans="1:31" ht="15" customHeight="1">
      <c r="A1505" s="957" t="str">
        <f t="shared" ca="1" si="243"/>
        <v>27/30</v>
      </c>
      <c r="B1505" s="566" t="s">
        <v>1293</v>
      </c>
      <c r="C1505" s="567" t="str">
        <f t="shared" ca="1" si="244"/>
        <v>Green Star - Multi Unit Residential</v>
      </c>
      <c r="D1505" s="958">
        <v>1</v>
      </c>
      <c r="E1505" s="959" t="s">
        <v>396</v>
      </c>
      <c r="F1505" s="558" t="s">
        <v>1498</v>
      </c>
      <c r="G1505" s="558">
        <v>150</v>
      </c>
      <c r="H1505" s="558" t="s">
        <v>1039</v>
      </c>
      <c r="I1505" s="559" t="s">
        <v>1220</v>
      </c>
      <c r="J1505" s="567" t="s">
        <v>1638</v>
      </c>
      <c r="K1505" s="961" t="s">
        <v>1568</v>
      </c>
      <c r="L1505" s="555" t="str">
        <f t="shared" ca="1" si="249"/>
        <v/>
      </c>
      <c r="M1505" s="494" t="s">
        <v>1569</v>
      </c>
      <c r="N1505" s="555" t="str">
        <f t="shared" ca="1" si="250"/>
        <v/>
      </c>
      <c r="O1505" s="494" t="s">
        <v>1570</v>
      </c>
      <c r="P1505" s="555" t="str">
        <f t="shared" ca="1" si="251"/>
        <v/>
      </c>
      <c r="Q1505" s="494" t="s">
        <v>1639</v>
      </c>
      <c r="R1505" s="494" t="str">
        <f t="shared" si="245"/>
        <v>I1505</v>
      </c>
      <c r="S1505" s="494" t="s">
        <v>1640</v>
      </c>
      <c r="T1505" s="494">
        <v>6</v>
      </c>
      <c r="U1505" s="556" t="str">
        <f t="shared" ca="1" si="247"/>
        <v/>
      </c>
      <c r="V1505" s="494">
        <v>7</v>
      </c>
      <c r="W1505" s="556" t="str">
        <f t="shared" ca="1" si="248"/>
        <v/>
      </c>
      <c r="X1505" s="494" t="s">
        <v>1641</v>
      </c>
      <c r="Y1505" s="547" t="str">
        <f t="shared" ca="1" si="252"/>
        <v/>
      </c>
      <c r="Z1505" s="494" t="s">
        <v>183</v>
      </c>
      <c r="AA1505" s="547" t="str">
        <f t="shared" ca="1" si="253"/>
        <v/>
      </c>
      <c r="AB1505" s="494" t="s">
        <v>168</v>
      </c>
      <c r="AC1505" s="547" t="str">
        <f t="shared" ca="1" si="254"/>
        <v/>
      </c>
      <c r="AD1505" s="557"/>
      <c r="AE1505" s="958"/>
    </row>
    <row r="1506" spans="1:31" ht="15" customHeight="1">
      <c r="A1506" s="957" t="str">
        <f t="shared" ref="A1506:A1521" ca="1" si="255">IF(N1506="Design Review",27,IF(N1506="As Built",28,"27/30"))</f>
        <v>27/30</v>
      </c>
      <c r="B1506" s="566" t="s">
        <v>1293</v>
      </c>
      <c r="C1506" s="567" t="str">
        <f t="shared" ref="C1506:C1521" ca="1" si="256">IF(N1506="Design Review","Green Star - Multi Unit Residential Design",IF(N1506="As Built","Green Star - Multi Unit Residential As Built","Green Star - Multi Unit Residential"))</f>
        <v>Green Star - Multi Unit Residential</v>
      </c>
      <c r="D1506" s="958">
        <v>1</v>
      </c>
      <c r="E1506" s="959" t="s">
        <v>396</v>
      </c>
      <c r="F1506" s="558" t="s">
        <v>1498</v>
      </c>
      <c r="G1506" s="558">
        <v>35</v>
      </c>
      <c r="H1506" s="558" t="s">
        <v>1045</v>
      </c>
      <c r="I1506" s="559" t="s">
        <v>1221</v>
      </c>
      <c r="J1506" s="567" t="s">
        <v>1638</v>
      </c>
      <c r="K1506" s="961" t="s">
        <v>1568</v>
      </c>
      <c r="L1506" s="555" t="str">
        <f t="shared" ca="1" si="249"/>
        <v/>
      </c>
      <c r="M1506" s="494" t="s">
        <v>1569</v>
      </c>
      <c r="N1506" s="555" t="str">
        <f t="shared" ca="1" si="250"/>
        <v/>
      </c>
      <c r="O1506" s="494" t="s">
        <v>1570</v>
      </c>
      <c r="P1506" s="555" t="str">
        <f t="shared" ca="1" si="251"/>
        <v/>
      </c>
      <c r="Q1506" s="494" t="s">
        <v>1639</v>
      </c>
      <c r="R1506" s="494" t="str">
        <f t="shared" si="245"/>
        <v>I1506</v>
      </c>
      <c r="S1506" s="494" t="s">
        <v>1640</v>
      </c>
      <c r="T1506" s="494">
        <v>6</v>
      </c>
      <c r="U1506" s="556" t="str">
        <f t="shared" ca="1" si="247"/>
        <v/>
      </c>
      <c r="V1506" s="494">
        <v>7</v>
      </c>
      <c r="W1506" s="556" t="str">
        <f t="shared" ca="1" si="248"/>
        <v/>
      </c>
      <c r="X1506" s="494" t="s">
        <v>1641</v>
      </c>
      <c r="Y1506" s="547" t="str">
        <f t="shared" ca="1" si="252"/>
        <v/>
      </c>
      <c r="Z1506" s="494" t="s">
        <v>183</v>
      </c>
      <c r="AA1506" s="547" t="str">
        <f t="shared" ca="1" si="253"/>
        <v/>
      </c>
      <c r="AB1506" s="494" t="s">
        <v>168</v>
      </c>
      <c r="AC1506" s="547" t="str">
        <f t="shared" ca="1" si="254"/>
        <v/>
      </c>
      <c r="AD1506" s="557"/>
      <c r="AE1506" s="958"/>
    </row>
    <row r="1507" spans="1:31" ht="15" customHeight="1">
      <c r="A1507" s="957" t="str">
        <f t="shared" ca="1" si="255"/>
        <v>27/30</v>
      </c>
      <c r="B1507" s="566" t="s">
        <v>1293</v>
      </c>
      <c r="C1507" s="567" t="str">
        <f t="shared" ca="1" si="256"/>
        <v>Green Star - Multi Unit Residential</v>
      </c>
      <c r="D1507" s="958">
        <v>1</v>
      </c>
      <c r="E1507" s="959" t="s">
        <v>396</v>
      </c>
      <c r="F1507" s="558" t="s">
        <v>1498</v>
      </c>
      <c r="G1507" s="558">
        <v>37</v>
      </c>
      <c r="H1507" s="558" t="s">
        <v>1046</v>
      </c>
      <c r="I1507" s="559" t="s">
        <v>1222</v>
      </c>
      <c r="J1507" s="567" t="s">
        <v>1638</v>
      </c>
      <c r="K1507" s="961" t="s">
        <v>1568</v>
      </c>
      <c r="L1507" s="555" t="str">
        <f t="shared" ca="1" si="249"/>
        <v/>
      </c>
      <c r="M1507" s="494" t="s">
        <v>1569</v>
      </c>
      <c r="N1507" s="555" t="str">
        <f t="shared" ca="1" si="250"/>
        <v/>
      </c>
      <c r="O1507" s="494" t="s">
        <v>1570</v>
      </c>
      <c r="P1507" s="555" t="str">
        <f t="shared" ca="1" si="251"/>
        <v/>
      </c>
      <c r="Q1507" s="494" t="s">
        <v>1639</v>
      </c>
      <c r="R1507" s="494" t="str">
        <f t="shared" si="245"/>
        <v>I1507</v>
      </c>
      <c r="S1507" s="494" t="s">
        <v>1640</v>
      </c>
      <c r="T1507" s="494">
        <v>6</v>
      </c>
      <c r="U1507" s="556" t="str">
        <f t="shared" ca="1" si="247"/>
        <v/>
      </c>
      <c r="V1507" s="494">
        <v>7</v>
      </c>
      <c r="W1507" s="556" t="str">
        <f t="shared" ca="1" si="248"/>
        <v/>
      </c>
      <c r="X1507" s="494" t="s">
        <v>1641</v>
      </c>
      <c r="Y1507" s="547" t="str">
        <f t="shared" ca="1" si="252"/>
        <v/>
      </c>
      <c r="Z1507" s="494" t="s">
        <v>183</v>
      </c>
      <c r="AA1507" s="547" t="str">
        <f t="shared" ca="1" si="253"/>
        <v/>
      </c>
      <c r="AB1507" s="494" t="s">
        <v>168</v>
      </c>
      <c r="AC1507" s="547" t="str">
        <f t="shared" ca="1" si="254"/>
        <v/>
      </c>
      <c r="AD1507" s="557"/>
      <c r="AE1507" s="958"/>
    </row>
    <row r="1508" spans="1:31" ht="15" customHeight="1">
      <c r="A1508" s="957" t="str">
        <f t="shared" ca="1" si="255"/>
        <v>27/30</v>
      </c>
      <c r="B1508" s="566" t="s">
        <v>1293</v>
      </c>
      <c r="C1508" s="567" t="str">
        <f t="shared" ca="1" si="256"/>
        <v>Green Star - Multi Unit Residential</v>
      </c>
      <c r="D1508" s="958">
        <v>1</v>
      </c>
      <c r="E1508" s="959" t="s">
        <v>396</v>
      </c>
      <c r="F1508" s="558" t="s">
        <v>1498</v>
      </c>
      <c r="G1508" s="558">
        <v>39</v>
      </c>
      <c r="H1508" s="558" t="s">
        <v>1047</v>
      </c>
      <c r="I1508" s="559" t="s">
        <v>783</v>
      </c>
      <c r="J1508" s="567" t="s">
        <v>1638</v>
      </c>
      <c r="K1508" s="961" t="s">
        <v>1568</v>
      </c>
      <c r="L1508" s="555" t="str">
        <f t="shared" ca="1" si="249"/>
        <v/>
      </c>
      <c r="M1508" s="494" t="s">
        <v>1569</v>
      </c>
      <c r="N1508" s="555" t="str">
        <f t="shared" ca="1" si="250"/>
        <v/>
      </c>
      <c r="O1508" s="494" t="s">
        <v>1570</v>
      </c>
      <c r="P1508" s="555" t="str">
        <f t="shared" ca="1" si="251"/>
        <v/>
      </c>
      <c r="Q1508" s="494" t="s">
        <v>1639</v>
      </c>
      <c r="R1508" s="494" t="str">
        <f t="shared" ref="R1508:R1518" si="257">CONCATENATE("I",ROW(J1508))</f>
        <v>I1508</v>
      </c>
      <c r="S1508" s="494" t="s">
        <v>1640</v>
      </c>
      <c r="T1508" s="494">
        <v>6</v>
      </c>
      <c r="U1508" s="556" t="str">
        <f t="shared" ca="1" si="247"/>
        <v/>
      </c>
      <c r="V1508" s="494">
        <v>7</v>
      </c>
      <c r="W1508" s="556" t="str">
        <f t="shared" ca="1" si="248"/>
        <v/>
      </c>
      <c r="X1508" s="494" t="s">
        <v>1641</v>
      </c>
      <c r="Y1508" s="547" t="str">
        <f t="shared" ca="1" si="252"/>
        <v/>
      </c>
      <c r="Z1508" s="494" t="s">
        <v>183</v>
      </c>
      <c r="AA1508" s="547" t="str">
        <f t="shared" ca="1" si="253"/>
        <v/>
      </c>
      <c r="AB1508" s="494" t="s">
        <v>168</v>
      </c>
      <c r="AC1508" s="547" t="str">
        <f t="shared" ca="1" si="254"/>
        <v/>
      </c>
      <c r="AD1508" s="557"/>
      <c r="AE1508" s="958"/>
    </row>
    <row r="1509" spans="1:31" ht="15" customHeight="1">
      <c r="A1509" s="957" t="str">
        <f t="shared" ca="1" si="255"/>
        <v>27/30</v>
      </c>
      <c r="B1509" s="566" t="s">
        <v>1293</v>
      </c>
      <c r="C1509" s="567" t="str">
        <f t="shared" ca="1" si="256"/>
        <v>Green Star - Multi Unit Residential</v>
      </c>
      <c r="D1509" s="958">
        <v>1</v>
      </c>
      <c r="E1509" s="959" t="s">
        <v>396</v>
      </c>
      <c r="F1509" s="558" t="s">
        <v>1498</v>
      </c>
      <c r="G1509" s="558">
        <v>262</v>
      </c>
      <c r="H1509" s="558" t="s">
        <v>1048</v>
      </c>
      <c r="I1509" s="559" t="s">
        <v>1324</v>
      </c>
      <c r="J1509" s="567" t="s">
        <v>1638</v>
      </c>
      <c r="K1509" s="961" t="s">
        <v>1568</v>
      </c>
      <c r="L1509" s="555" t="str">
        <f t="shared" ca="1" si="249"/>
        <v/>
      </c>
      <c r="M1509" s="494" t="s">
        <v>1569</v>
      </c>
      <c r="N1509" s="555" t="str">
        <f t="shared" ca="1" si="250"/>
        <v/>
      </c>
      <c r="O1509" s="494" t="s">
        <v>1570</v>
      </c>
      <c r="P1509" s="555" t="str">
        <f t="shared" ca="1" si="251"/>
        <v/>
      </c>
      <c r="Q1509" s="494" t="s">
        <v>1639</v>
      </c>
      <c r="R1509" s="494" t="str">
        <f t="shared" si="257"/>
        <v>I1509</v>
      </c>
      <c r="S1509" s="494" t="s">
        <v>1640</v>
      </c>
      <c r="T1509" s="494">
        <v>6</v>
      </c>
      <c r="U1509" s="556" t="str">
        <f t="shared" ca="1" si="247"/>
        <v/>
      </c>
      <c r="V1509" s="494">
        <v>7</v>
      </c>
      <c r="W1509" s="556" t="str">
        <f t="shared" ca="1" si="248"/>
        <v/>
      </c>
      <c r="X1509" s="494" t="s">
        <v>1641</v>
      </c>
      <c r="Y1509" s="547" t="str">
        <f t="shared" ca="1" si="252"/>
        <v/>
      </c>
      <c r="Z1509" s="494" t="s">
        <v>183</v>
      </c>
      <c r="AA1509" s="547" t="str">
        <f t="shared" ca="1" si="253"/>
        <v/>
      </c>
      <c r="AB1509" s="494" t="s">
        <v>168</v>
      </c>
      <c r="AC1509" s="547" t="str">
        <f t="shared" ca="1" si="254"/>
        <v/>
      </c>
      <c r="AD1509" s="557"/>
      <c r="AE1509" s="958"/>
    </row>
    <row r="1510" spans="1:31" ht="15" customHeight="1">
      <c r="A1510" s="957" t="str">
        <f t="shared" ca="1" si="255"/>
        <v>27/30</v>
      </c>
      <c r="B1510" s="566" t="s">
        <v>1293</v>
      </c>
      <c r="C1510" s="567" t="str">
        <f t="shared" ca="1" si="256"/>
        <v>Green Star - Multi Unit Residential</v>
      </c>
      <c r="D1510" s="958">
        <v>1</v>
      </c>
      <c r="E1510" s="959" t="s">
        <v>404</v>
      </c>
      <c r="F1510" s="558" t="s">
        <v>1499</v>
      </c>
      <c r="G1510" s="558">
        <v>13</v>
      </c>
      <c r="H1510" s="558" t="s">
        <v>1223</v>
      </c>
      <c r="I1510" s="559" t="s">
        <v>1224</v>
      </c>
      <c r="J1510" s="567" t="s">
        <v>1638</v>
      </c>
      <c r="K1510" s="961" t="s">
        <v>1568</v>
      </c>
      <c r="L1510" s="555" t="str">
        <f t="shared" ca="1" si="249"/>
        <v/>
      </c>
      <c r="M1510" s="494" t="s">
        <v>1569</v>
      </c>
      <c r="N1510" s="555" t="str">
        <f t="shared" ca="1" si="250"/>
        <v/>
      </c>
      <c r="O1510" s="494" t="s">
        <v>1570</v>
      </c>
      <c r="P1510" s="555" t="str">
        <f t="shared" ca="1" si="251"/>
        <v/>
      </c>
      <c r="Q1510" s="494" t="s">
        <v>1639</v>
      </c>
      <c r="R1510" s="494" t="str">
        <f t="shared" si="257"/>
        <v>I1510</v>
      </c>
      <c r="S1510" s="494" t="s">
        <v>1640</v>
      </c>
      <c r="T1510" s="494">
        <v>6</v>
      </c>
      <c r="U1510" s="556" t="str">
        <f t="shared" ca="1" si="247"/>
        <v/>
      </c>
      <c r="V1510" s="494">
        <v>7</v>
      </c>
      <c r="W1510" s="556" t="str">
        <f t="shared" ca="1" si="248"/>
        <v/>
      </c>
      <c r="X1510" s="494" t="s">
        <v>1641</v>
      </c>
      <c r="Y1510" s="547" t="str">
        <f t="shared" ca="1" si="252"/>
        <v/>
      </c>
      <c r="Z1510" s="494" t="s">
        <v>183</v>
      </c>
      <c r="AA1510" s="547" t="str">
        <f t="shared" ca="1" si="253"/>
        <v/>
      </c>
      <c r="AB1510" s="494" t="s">
        <v>168</v>
      </c>
      <c r="AC1510" s="547" t="str">
        <f t="shared" ca="1" si="254"/>
        <v/>
      </c>
      <c r="AD1510" s="557"/>
      <c r="AE1510" s="958"/>
    </row>
    <row r="1511" spans="1:31" ht="15" customHeight="1">
      <c r="A1511" s="957" t="str">
        <f t="shared" ca="1" si="255"/>
        <v>27/30</v>
      </c>
      <c r="B1511" s="566" t="s">
        <v>1293</v>
      </c>
      <c r="C1511" s="567" t="str">
        <f t="shared" ca="1" si="256"/>
        <v>Green Star - Multi Unit Residential</v>
      </c>
      <c r="D1511" s="958">
        <v>1</v>
      </c>
      <c r="E1511" s="959" t="s">
        <v>404</v>
      </c>
      <c r="F1511" s="558" t="s">
        <v>1499</v>
      </c>
      <c r="G1511" s="558">
        <v>14</v>
      </c>
      <c r="H1511" s="558" t="s">
        <v>1225</v>
      </c>
      <c r="I1511" s="559" t="s">
        <v>1226</v>
      </c>
      <c r="J1511" s="567" t="s">
        <v>1638</v>
      </c>
      <c r="K1511" s="961" t="s">
        <v>1568</v>
      </c>
      <c r="L1511" s="555" t="str">
        <f t="shared" ca="1" si="249"/>
        <v/>
      </c>
      <c r="M1511" s="494" t="s">
        <v>1569</v>
      </c>
      <c r="N1511" s="555" t="str">
        <f t="shared" ca="1" si="250"/>
        <v/>
      </c>
      <c r="O1511" s="494" t="s">
        <v>1570</v>
      </c>
      <c r="P1511" s="555" t="str">
        <f t="shared" ca="1" si="251"/>
        <v/>
      </c>
      <c r="Q1511" s="494" t="s">
        <v>1639</v>
      </c>
      <c r="R1511" s="494" t="str">
        <f t="shared" si="257"/>
        <v>I1511</v>
      </c>
      <c r="S1511" s="494" t="s">
        <v>1640</v>
      </c>
      <c r="T1511" s="494">
        <v>6</v>
      </c>
      <c r="U1511" s="556" t="str">
        <f t="shared" ca="1" si="247"/>
        <v/>
      </c>
      <c r="V1511" s="494">
        <v>7</v>
      </c>
      <c r="W1511" s="556" t="str">
        <f t="shared" ca="1" si="248"/>
        <v/>
      </c>
      <c r="X1511" s="494" t="s">
        <v>1641</v>
      </c>
      <c r="Y1511" s="547" t="str">
        <f t="shared" ca="1" si="252"/>
        <v/>
      </c>
      <c r="Z1511" s="494" t="s">
        <v>183</v>
      </c>
      <c r="AA1511" s="547" t="str">
        <f t="shared" ca="1" si="253"/>
        <v/>
      </c>
      <c r="AB1511" s="494" t="s">
        <v>168</v>
      </c>
      <c r="AC1511" s="547" t="str">
        <f t="shared" ca="1" si="254"/>
        <v/>
      </c>
      <c r="AD1511" s="557"/>
      <c r="AE1511" s="958"/>
    </row>
    <row r="1512" spans="1:31" ht="15" customHeight="1">
      <c r="A1512" s="957" t="str">
        <f t="shared" ca="1" si="255"/>
        <v>27/30</v>
      </c>
      <c r="B1512" s="566" t="s">
        <v>1293</v>
      </c>
      <c r="C1512" s="567" t="str">
        <f t="shared" ca="1" si="256"/>
        <v>Green Star - Multi Unit Residential</v>
      </c>
      <c r="D1512" s="958">
        <v>1</v>
      </c>
      <c r="E1512" s="959" t="s">
        <v>404</v>
      </c>
      <c r="F1512" s="558" t="s">
        <v>1499</v>
      </c>
      <c r="G1512" s="558">
        <v>151</v>
      </c>
      <c r="H1512" s="558" t="s">
        <v>1227</v>
      </c>
      <c r="I1512" s="559" t="s">
        <v>1228</v>
      </c>
      <c r="J1512" s="567" t="s">
        <v>1638</v>
      </c>
      <c r="K1512" s="961" t="s">
        <v>1568</v>
      </c>
      <c r="L1512" s="555" t="str">
        <f t="shared" ca="1" si="249"/>
        <v/>
      </c>
      <c r="M1512" s="494" t="s">
        <v>1569</v>
      </c>
      <c r="N1512" s="555" t="str">
        <f t="shared" ca="1" si="250"/>
        <v/>
      </c>
      <c r="O1512" s="494" t="s">
        <v>1570</v>
      </c>
      <c r="P1512" s="555" t="str">
        <f t="shared" ca="1" si="251"/>
        <v/>
      </c>
      <c r="Q1512" s="494" t="s">
        <v>1639</v>
      </c>
      <c r="R1512" s="494" t="str">
        <f t="shared" si="257"/>
        <v>I1512</v>
      </c>
      <c r="S1512" s="494" t="s">
        <v>1640</v>
      </c>
      <c r="T1512" s="494">
        <v>6</v>
      </c>
      <c r="U1512" s="556" t="str">
        <f t="shared" ca="1" si="247"/>
        <v/>
      </c>
      <c r="V1512" s="494">
        <v>7</v>
      </c>
      <c r="W1512" s="556" t="str">
        <f t="shared" ca="1" si="248"/>
        <v/>
      </c>
      <c r="X1512" s="494" t="s">
        <v>1641</v>
      </c>
      <c r="Y1512" s="547" t="str">
        <f t="shared" ca="1" si="252"/>
        <v/>
      </c>
      <c r="Z1512" s="494" t="s">
        <v>183</v>
      </c>
      <c r="AA1512" s="547" t="str">
        <f t="shared" ca="1" si="253"/>
        <v/>
      </c>
      <c r="AB1512" s="494" t="s">
        <v>168</v>
      </c>
      <c r="AC1512" s="547" t="str">
        <f t="shared" ca="1" si="254"/>
        <v/>
      </c>
      <c r="AD1512" s="557"/>
      <c r="AE1512" s="958"/>
    </row>
    <row r="1513" spans="1:31" ht="15" customHeight="1">
      <c r="A1513" s="957" t="str">
        <f t="shared" ca="1" si="255"/>
        <v>27/30</v>
      </c>
      <c r="B1513" s="566" t="s">
        <v>1293</v>
      </c>
      <c r="C1513" s="567" t="str">
        <f t="shared" ca="1" si="256"/>
        <v>Green Star - Multi Unit Residential</v>
      </c>
      <c r="D1513" s="958">
        <v>1</v>
      </c>
      <c r="E1513" s="959" t="s">
        <v>404</v>
      </c>
      <c r="F1513" s="558" t="s">
        <v>1499</v>
      </c>
      <c r="G1513" s="558">
        <v>27</v>
      </c>
      <c r="H1513" s="558" t="s">
        <v>1229</v>
      </c>
      <c r="I1513" s="559" t="s">
        <v>1230</v>
      </c>
      <c r="J1513" s="567" t="s">
        <v>1638</v>
      </c>
      <c r="K1513" s="961" t="s">
        <v>1568</v>
      </c>
      <c r="L1513" s="555" t="str">
        <f t="shared" ca="1" si="249"/>
        <v/>
      </c>
      <c r="M1513" s="494" t="s">
        <v>1569</v>
      </c>
      <c r="N1513" s="555" t="str">
        <f t="shared" ca="1" si="250"/>
        <v/>
      </c>
      <c r="O1513" s="494" t="s">
        <v>1570</v>
      </c>
      <c r="P1513" s="555" t="str">
        <f t="shared" ca="1" si="251"/>
        <v/>
      </c>
      <c r="Q1513" s="494" t="s">
        <v>1639</v>
      </c>
      <c r="R1513" s="494" t="str">
        <f t="shared" si="257"/>
        <v>I1513</v>
      </c>
      <c r="S1513" s="494" t="s">
        <v>1640</v>
      </c>
      <c r="T1513" s="494">
        <v>6</v>
      </c>
      <c r="U1513" s="556" t="str">
        <f t="shared" ca="1" si="247"/>
        <v/>
      </c>
      <c r="V1513" s="494">
        <v>7</v>
      </c>
      <c r="W1513" s="556" t="str">
        <f t="shared" ca="1" si="248"/>
        <v/>
      </c>
      <c r="X1513" s="494" t="s">
        <v>1641</v>
      </c>
      <c r="Y1513" s="547" t="str">
        <f t="shared" ca="1" si="252"/>
        <v/>
      </c>
      <c r="Z1513" s="494" t="s">
        <v>183</v>
      </c>
      <c r="AA1513" s="547" t="str">
        <f t="shared" ca="1" si="253"/>
        <v/>
      </c>
      <c r="AB1513" s="494" t="s">
        <v>168</v>
      </c>
      <c r="AC1513" s="547" t="str">
        <f t="shared" ca="1" si="254"/>
        <v/>
      </c>
      <c r="AD1513" s="557"/>
      <c r="AE1513" s="958"/>
    </row>
    <row r="1514" spans="1:31" ht="15" customHeight="1">
      <c r="A1514" s="957" t="str">
        <f t="shared" ca="1" si="255"/>
        <v>27/30</v>
      </c>
      <c r="B1514" s="566" t="s">
        <v>1293</v>
      </c>
      <c r="C1514" s="567" t="str">
        <f t="shared" ca="1" si="256"/>
        <v>Green Star - Multi Unit Residential</v>
      </c>
      <c r="D1514" s="958">
        <v>1</v>
      </c>
      <c r="E1514" s="959" t="s">
        <v>404</v>
      </c>
      <c r="F1514" s="558" t="s">
        <v>1499</v>
      </c>
      <c r="G1514" s="558">
        <v>873</v>
      </c>
      <c r="H1514" s="558" t="s">
        <v>1231</v>
      </c>
      <c r="I1514" s="559" t="s">
        <v>1232</v>
      </c>
      <c r="J1514" s="567" t="s">
        <v>1638</v>
      </c>
      <c r="K1514" s="961" t="s">
        <v>1568</v>
      </c>
      <c r="L1514" s="555" t="str">
        <f t="shared" ca="1" si="249"/>
        <v/>
      </c>
      <c r="M1514" s="494" t="s">
        <v>1569</v>
      </c>
      <c r="N1514" s="555" t="str">
        <f t="shared" ca="1" si="250"/>
        <v/>
      </c>
      <c r="O1514" s="494" t="s">
        <v>1570</v>
      </c>
      <c r="P1514" s="555" t="str">
        <f t="shared" ca="1" si="251"/>
        <v/>
      </c>
      <c r="Q1514" s="494" t="s">
        <v>1639</v>
      </c>
      <c r="R1514" s="494" t="str">
        <f t="shared" si="257"/>
        <v>I1514</v>
      </c>
      <c r="S1514" s="494" t="s">
        <v>1640</v>
      </c>
      <c r="T1514" s="494">
        <v>6</v>
      </c>
      <c r="U1514" s="556" t="str">
        <f t="shared" ca="1" si="247"/>
        <v/>
      </c>
      <c r="V1514" s="494">
        <v>7</v>
      </c>
      <c r="W1514" s="556" t="str">
        <f t="shared" ca="1" si="248"/>
        <v/>
      </c>
      <c r="X1514" s="494" t="s">
        <v>1641</v>
      </c>
      <c r="Y1514" s="547" t="str">
        <f t="shared" ca="1" si="252"/>
        <v/>
      </c>
      <c r="Z1514" s="494" t="s">
        <v>183</v>
      </c>
      <c r="AA1514" s="547" t="str">
        <f t="shared" ca="1" si="253"/>
        <v/>
      </c>
      <c r="AB1514" s="494" t="s">
        <v>168</v>
      </c>
      <c r="AC1514" s="547" t="str">
        <f t="shared" ca="1" si="254"/>
        <v/>
      </c>
      <c r="AD1514" s="557"/>
      <c r="AE1514" s="958"/>
    </row>
    <row r="1515" spans="1:31" ht="15" customHeight="1">
      <c r="A1515" s="957" t="str">
        <f t="shared" ca="1" si="255"/>
        <v>27/30</v>
      </c>
      <c r="B1515" s="566" t="s">
        <v>1293</v>
      </c>
      <c r="C1515" s="567" t="str">
        <f t="shared" ca="1" si="256"/>
        <v>Green Star - Multi Unit Residential</v>
      </c>
      <c r="D1515" s="958">
        <v>1</v>
      </c>
      <c r="E1515" s="959" t="s">
        <v>404</v>
      </c>
      <c r="F1515" s="558" t="s">
        <v>1499</v>
      </c>
      <c r="G1515" s="558">
        <v>152</v>
      </c>
      <c r="H1515" s="558" t="s">
        <v>1233</v>
      </c>
      <c r="I1515" s="559" t="s">
        <v>1235</v>
      </c>
      <c r="J1515" s="567" t="s">
        <v>1638</v>
      </c>
      <c r="K1515" s="961" t="s">
        <v>1568</v>
      </c>
      <c r="L1515" s="555" t="str">
        <f t="shared" ca="1" si="249"/>
        <v/>
      </c>
      <c r="M1515" s="494" t="s">
        <v>1569</v>
      </c>
      <c r="N1515" s="555" t="str">
        <f t="shared" ca="1" si="250"/>
        <v/>
      </c>
      <c r="O1515" s="494" t="s">
        <v>1570</v>
      </c>
      <c r="P1515" s="555" t="str">
        <f t="shared" ca="1" si="251"/>
        <v/>
      </c>
      <c r="Q1515" s="494" t="s">
        <v>1639</v>
      </c>
      <c r="R1515" s="494" t="str">
        <f t="shared" si="257"/>
        <v>I1515</v>
      </c>
      <c r="S1515" s="494" t="s">
        <v>1642</v>
      </c>
      <c r="T1515" s="494">
        <v>6</v>
      </c>
      <c r="U1515" s="556" t="str">
        <f t="shared" ca="1" si="247"/>
        <v/>
      </c>
      <c r="V1515" s="494">
        <v>7</v>
      </c>
      <c r="W1515" s="556" t="str">
        <f t="shared" ca="1" si="248"/>
        <v/>
      </c>
      <c r="X1515" s="494" t="s">
        <v>1641</v>
      </c>
      <c r="Y1515" s="547" t="str">
        <f t="shared" ca="1" si="252"/>
        <v/>
      </c>
      <c r="Z1515" s="494" t="s">
        <v>183</v>
      </c>
      <c r="AA1515" s="547" t="str">
        <f t="shared" ca="1" si="253"/>
        <v/>
      </c>
      <c r="AB1515" s="494" t="s">
        <v>168</v>
      </c>
      <c r="AC1515" s="547" t="str">
        <f t="shared" ca="1" si="254"/>
        <v/>
      </c>
      <c r="AD1515" s="557"/>
      <c r="AE1515" s="958"/>
    </row>
    <row r="1516" spans="1:31" ht="15" customHeight="1">
      <c r="A1516" s="957" t="str">
        <f t="shared" ca="1" si="255"/>
        <v>27/30</v>
      </c>
      <c r="B1516" s="566" t="s">
        <v>1293</v>
      </c>
      <c r="C1516" s="567" t="str">
        <f t="shared" ca="1" si="256"/>
        <v>Green Star - Multi Unit Residential</v>
      </c>
      <c r="D1516" s="958">
        <v>1</v>
      </c>
      <c r="E1516" s="959" t="s">
        <v>404</v>
      </c>
      <c r="F1516" s="558" t="s">
        <v>1499</v>
      </c>
      <c r="G1516" s="558">
        <v>152</v>
      </c>
      <c r="H1516" s="558" t="s">
        <v>1233</v>
      </c>
      <c r="I1516" s="559" t="s">
        <v>1236</v>
      </c>
      <c r="J1516" s="567" t="s">
        <v>1638</v>
      </c>
      <c r="K1516" s="961" t="s">
        <v>1568</v>
      </c>
      <c r="L1516" s="555" t="str">
        <f t="shared" ca="1" si="249"/>
        <v/>
      </c>
      <c r="M1516" s="494" t="s">
        <v>1569</v>
      </c>
      <c r="N1516" s="555" t="str">
        <f t="shared" ca="1" si="250"/>
        <v/>
      </c>
      <c r="O1516" s="494" t="s">
        <v>1570</v>
      </c>
      <c r="P1516" s="555" t="str">
        <f t="shared" ca="1" si="251"/>
        <v/>
      </c>
      <c r="Q1516" s="494" t="s">
        <v>1639</v>
      </c>
      <c r="R1516" s="494" t="str">
        <f t="shared" si="257"/>
        <v>I1516</v>
      </c>
      <c r="S1516" s="494" t="s">
        <v>1642</v>
      </c>
      <c r="T1516" s="494">
        <v>6</v>
      </c>
      <c r="U1516" s="556" t="str">
        <f t="shared" ca="1" si="247"/>
        <v/>
      </c>
      <c r="V1516" s="494">
        <v>7</v>
      </c>
      <c r="W1516" s="556" t="str">
        <f t="shared" ca="1" si="248"/>
        <v/>
      </c>
      <c r="X1516" s="494" t="s">
        <v>1641</v>
      </c>
      <c r="Y1516" s="547" t="str">
        <f t="shared" ca="1" si="252"/>
        <v/>
      </c>
      <c r="Z1516" s="494" t="s">
        <v>183</v>
      </c>
      <c r="AA1516" s="547" t="str">
        <f t="shared" ca="1" si="253"/>
        <v/>
      </c>
      <c r="AB1516" s="494" t="s">
        <v>168</v>
      </c>
      <c r="AC1516" s="547" t="str">
        <f t="shared" ca="1" si="254"/>
        <v/>
      </c>
      <c r="AD1516" s="557"/>
      <c r="AE1516" s="958"/>
    </row>
    <row r="1517" spans="1:31" ht="15" customHeight="1">
      <c r="A1517" s="957" t="str">
        <f t="shared" ca="1" si="255"/>
        <v>27/30</v>
      </c>
      <c r="B1517" s="566" t="s">
        <v>1293</v>
      </c>
      <c r="C1517" s="567" t="str">
        <f t="shared" ca="1" si="256"/>
        <v>Green Star - Multi Unit Residential</v>
      </c>
      <c r="D1517" s="958">
        <v>1</v>
      </c>
      <c r="E1517" s="959" t="s">
        <v>404</v>
      </c>
      <c r="F1517" s="558" t="s">
        <v>1499</v>
      </c>
      <c r="G1517" s="558">
        <v>22</v>
      </c>
      <c r="H1517" s="558" t="s">
        <v>1237</v>
      </c>
      <c r="I1517" s="559" t="s">
        <v>409</v>
      </c>
      <c r="J1517" s="567" t="s">
        <v>1638</v>
      </c>
      <c r="K1517" s="961" t="s">
        <v>1568</v>
      </c>
      <c r="L1517" s="555" t="str">
        <f t="shared" ca="1" si="249"/>
        <v/>
      </c>
      <c r="M1517" s="494" t="s">
        <v>1569</v>
      </c>
      <c r="N1517" s="555" t="str">
        <f t="shared" ca="1" si="250"/>
        <v/>
      </c>
      <c r="O1517" s="494" t="s">
        <v>1570</v>
      </c>
      <c r="P1517" s="555" t="str">
        <f t="shared" ca="1" si="251"/>
        <v/>
      </c>
      <c r="Q1517" s="494" t="s">
        <v>1639</v>
      </c>
      <c r="R1517" s="494" t="str">
        <f t="shared" si="257"/>
        <v>I1517</v>
      </c>
      <c r="S1517" s="494" t="s">
        <v>1640</v>
      </c>
      <c r="T1517" s="494">
        <v>6</v>
      </c>
      <c r="U1517" s="556" t="str">
        <f t="shared" ca="1" si="247"/>
        <v/>
      </c>
      <c r="V1517" s="494">
        <v>7</v>
      </c>
      <c r="W1517" s="556" t="str">
        <f t="shared" ca="1" si="248"/>
        <v/>
      </c>
      <c r="X1517" s="494" t="s">
        <v>1641</v>
      </c>
      <c r="Y1517" s="547" t="str">
        <f t="shared" ca="1" si="252"/>
        <v/>
      </c>
      <c r="Z1517" s="494" t="s">
        <v>183</v>
      </c>
      <c r="AA1517" s="547" t="str">
        <f t="shared" ca="1" si="253"/>
        <v/>
      </c>
      <c r="AB1517" s="494" t="s">
        <v>168</v>
      </c>
      <c r="AC1517" s="547" t="str">
        <f t="shared" ca="1" si="254"/>
        <v/>
      </c>
      <c r="AD1517" s="557"/>
      <c r="AE1517" s="958"/>
    </row>
    <row r="1518" spans="1:31" ht="15" customHeight="1">
      <c r="A1518" s="957" t="str">
        <f t="shared" ca="1" si="255"/>
        <v>27/30</v>
      </c>
      <c r="B1518" s="566" t="s">
        <v>1293</v>
      </c>
      <c r="C1518" s="567" t="str">
        <f t="shared" ca="1" si="256"/>
        <v>Green Star - Multi Unit Residential</v>
      </c>
      <c r="D1518" s="958">
        <v>1</v>
      </c>
      <c r="E1518" s="959" t="s">
        <v>404</v>
      </c>
      <c r="F1518" s="558" t="s">
        <v>1499</v>
      </c>
      <c r="G1518" s="558">
        <v>153</v>
      </c>
      <c r="H1518" s="558" t="s">
        <v>1238</v>
      </c>
      <c r="I1518" s="559" t="s">
        <v>1239</v>
      </c>
      <c r="J1518" s="567" t="s">
        <v>1638</v>
      </c>
      <c r="K1518" s="961" t="s">
        <v>1568</v>
      </c>
      <c r="L1518" s="555" t="str">
        <f t="shared" ca="1" si="249"/>
        <v/>
      </c>
      <c r="M1518" s="494" t="s">
        <v>1569</v>
      </c>
      <c r="N1518" s="555" t="str">
        <f t="shared" ca="1" si="250"/>
        <v/>
      </c>
      <c r="O1518" s="494" t="s">
        <v>1570</v>
      </c>
      <c r="P1518" s="555" t="str">
        <f t="shared" ca="1" si="251"/>
        <v/>
      </c>
      <c r="Q1518" s="494" t="s">
        <v>1639</v>
      </c>
      <c r="R1518" s="494" t="str">
        <f t="shared" si="257"/>
        <v>I1518</v>
      </c>
      <c r="S1518" s="494" t="s">
        <v>1640</v>
      </c>
      <c r="T1518" s="494">
        <v>6</v>
      </c>
      <c r="U1518" s="556" t="str">
        <f t="shared" ca="1" si="247"/>
        <v/>
      </c>
      <c r="V1518" s="494">
        <v>7</v>
      </c>
      <c r="W1518" s="556" t="str">
        <f t="shared" ca="1" si="248"/>
        <v/>
      </c>
      <c r="X1518" s="494" t="s">
        <v>1641</v>
      </c>
      <c r="Y1518" s="547" t="str">
        <f t="shared" ca="1" si="252"/>
        <v/>
      </c>
      <c r="Z1518" s="494" t="s">
        <v>183</v>
      </c>
      <c r="AA1518" s="547" t="str">
        <f t="shared" ca="1" si="253"/>
        <v/>
      </c>
      <c r="AB1518" s="494" t="s">
        <v>168</v>
      </c>
      <c r="AC1518" s="547" t="str">
        <f t="shared" ca="1" si="254"/>
        <v/>
      </c>
      <c r="AD1518" s="557"/>
      <c r="AE1518" s="958"/>
    </row>
    <row r="1519" spans="1:31" ht="15" customHeight="1">
      <c r="A1519" s="957" t="str">
        <f t="shared" ca="1" si="255"/>
        <v>27/30</v>
      </c>
      <c r="B1519" s="566" t="s">
        <v>1293</v>
      </c>
      <c r="C1519" s="567" t="str">
        <f t="shared" ca="1" si="256"/>
        <v>Green Star - Multi Unit Residential</v>
      </c>
      <c r="D1519" s="958">
        <v>1</v>
      </c>
      <c r="E1519" s="959" t="s">
        <v>419</v>
      </c>
      <c r="F1519" s="558" t="s">
        <v>1501</v>
      </c>
      <c r="G1519" s="558">
        <v>18</v>
      </c>
      <c r="H1519" s="558" t="s">
        <v>1079</v>
      </c>
      <c r="I1519" s="559" t="s">
        <v>1242</v>
      </c>
      <c r="J1519" s="567" t="s">
        <v>1638</v>
      </c>
      <c r="K1519" s="961" t="s">
        <v>1568</v>
      </c>
      <c r="L1519" s="555" t="str">
        <f t="shared" ca="1" si="249"/>
        <v/>
      </c>
      <c r="M1519" s="494" t="s">
        <v>1569</v>
      </c>
      <c r="N1519" s="555" t="str">
        <f t="shared" ca="1" si="250"/>
        <v/>
      </c>
      <c r="O1519" s="494" t="s">
        <v>1570</v>
      </c>
      <c r="P1519" s="555" t="str">
        <f t="shared" ca="1" si="251"/>
        <v/>
      </c>
      <c r="Q1519" s="494" t="s">
        <v>1639</v>
      </c>
      <c r="R1519" s="494" t="str">
        <f>CONCATENATE("I",ROW(J1519))</f>
        <v>I1519</v>
      </c>
      <c r="S1519" s="494" t="s">
        <v>1640</v>
      </c>
      <c r="T1519" s="494">
        <v>6</v>
      </c>
      <c r="U1519" s="556" t="str">
        <f t="shared" ca="1" si="247"/>
        <v/>
      </c>
      <c r="V1519" s="494">
        <v>7</v>
      </c>
      <c r="W1519" s="556" t="str">
        <f t="shared" ca="1" si="248"/>
        <v/>
      </c>
      <c r="X1519" s="494" t="s">
        <v>1641</v>
      </c>
      <c r="Y1519" s="547" t="str">
        <f t="shared" ca="1" si="252"/>
        <v/>
      </c>
      <c r="Z1519" s="494" t="s">
        <v>183</v>
      </c>
      <c r="AA1519" s="547" t="str">
        <f t="shared" ca="1" si="253"/>
        <v/>
      </c>
      <c r="AB1519" s="494" t="s">
        <v>168</v>
      </c>
      <c r="AC1519" s="547" t="str">
        <f t="shared" ca="1" si="254"/>
        <v/>
      </c>
      <c r="AD1519" s="557"/>
      <c r="AE1519" s="958"/>
    </row>
    <row r="1520" spans="1:31" ht="15" customHeight="1">
      <c r="A1520" s="957" t="str">
        <f t="shared" ca="1" si="255"/>
        <v>27/30</v>
      </c>
      <c r="B1520" s="566" t="s">
        <v>1293</v>
      </c>
      <c r="C1520" s="567" t="str">
        <f t="shared" ca="1" si="256"/>
        <v>Green Star - Multi Unit Residential</v>
      </c>
      <c r="D1520" s="958">
        <v>1</v>
      </c>
      <c r="E1520" s="959" t="s">
        <v>419</v>
      </c>
      <c r="F1520" s="558" t="s">
        <v>1501</v>
      </c>
      <c r="G1520" s="558">
        <v>24</v>
      </c>
      <c r="H1520" s="558" t="s">
        <v>1243</v>
      </c>
      <c r="I1520" s="559" t="s">
        <v>1244</v>
      </c>
      <c r="J1520" s="567" t="s">
        <v>1638</v>
      </c>
      <c r="K1520" s="961" t="s">
        <v>1568</v>
      </c>
      <c r="L1520" s="555" t="str">
        <f t="shared" ca="1" si="249"/>
        <v/>
      </c>
      <c r="M1520" s="494" t="s">
        <v>1569</v>
      </c>
      <c r="N1520" s="555" t="str">
        <f t="shared" ca="1" si="250"/>
        <v/>
      </c>
      <c r="O1520" s="494" t="s">
        <v>1570</v>
      </c>
      <c r="P1520" s="555" t="str">
        <f t="shared" ca="1" si="251"/>
        <v/>
      </c>
      <c r="Q1520" s="494" t="s">
        <v>1639</v>
      </c>
      <c r="R1520" s="494" t="str">
        <f>CONCATENATE("I",ROW(J1520))</f>
        <v>I1520</v>
      </c>
      <c r="S1520" s="494" t="s">
        <v>1640</v>
      </c>
      <c r="T1520" s="494">
        <v>6</v>
      </c>
      <c r="U1520" s="556" t="str">
        <f t="shared" ca="1" si="247"/>
        <v/>
      </c>
      <c r="V1520" s="494">
        <v>7</v>
      </c>
      <c r="W1520" s="556" t="str">
        <f t="shared" ca="1" si="248"/>
        <v/>
      </c>
      <c r="X1520" s="494" t="s">
        <v>1641</v>
      </c>
      <c r="Y1520" s="547" t="str">
        <f t="shared" ca="1" si="252"/>
        <v/>
      </c>
      <c r="Z1520" s="494" t="s">
        <v>183</v>
      </c>
      <c r="AA1520" s="547" t="str">
        <f t="shared" ca="1" si="253"/>
        <v/>
      </c>
      <c r="AB1520" s="494" t="s">
        <v>168</v>
      </c>
      <c r="AC1520" s="547" t="str">
        <f t="shared" ca="1" si="254"/>
        <v/>
      </c>
      <c r="AD1520" s="557"/>
      <c r="AE1520" s="958"/>
    </row>
    <row r="1521" spans="1:31" ht="15" customHeight="1">
      <c r="A1521" s="957" t="str">
        <f t="shared" ca="1" si="255"/>
        <v>27/30</v>
      </c>
      <c r="B1521" s="566" t="s">
        <v>1293</v>
      </c>
      <c r="C1521" s="567" t="str">
        <f t="shared" ca="1" si="256"/>
        <v>Green Star - Multi Unit Residential</v>
      </c>
      <c r="D1521" s="958">
        <v>1</v>
      </c>
      <c r="E1521" s="959" t="s">
        <v>419</v>
      </c>
      <c r="F1521" s="558" t="s">
        <v>1501</v>
      </c>
      <c r="G1521" s="558">
        <v>28</v>
      </c>
      <c r="H1521" s="558" t="s">
        <v>1245</v>
      </c>
      <c r="I1521" s="559" t="s">
        <v>1246</v>
      </c>
      <c r="J1521" s="567" t="s">
        <v>1638</v>
      </c>
      <c r="K1521" s="961" t="s">
        <v>1568</v>
      </c>
      <c r="L1521" s="555" t="str">
        <f t="shared" ca="1" si="249"/>
        <v/>
      </c>
      <c r="M1521" s="494" t="s">
        <v>1569</v>
      </c>
      <c r="N1521" s="555" t="str">
        <f t="shared" ca="1" si="250"/>
        <v/>
      </c>
      <c r="O1521" s="494" t="s">
        <v>1570</v>
      </c>
      <c r="P1521" s="555" t="str">
        <f t="shared" ca="1" si="251"/>
        <v/>
      </c>
      <c r="Q1521" s="494" t="s">
        <v>1639</v>
      </c>
      <c r="R1521" s="494" t="str">
        <f>CONCATENATE("I",ROW(J1521))</f>
        <v>I1521</v>
      </c>
      <c r="S1521" s="494" t="s">
        <v>1640</v>
      </c>
      <c r="T1521" s="494">
        <v>6</v>
      </c>
      <c r="U1521" s="556" t="str">
        <f t="shared" ca="1" si="247"/>
        <v/>
      </c>
      <c r="V1521" s="494">
        <v>7</v>
      </c>
      <c r="W1521" s="556" t="str">
        <f t="shared" ca="1" si="248"/>
        <v/>
      </c>
      <c r="X1521" s="494" t="s">
        <v>1641</v>
      </c>
      <c r="Y1521" s="547" t="str">
        <f t="shared" ca="1" si="252"/>
        <v/>
      </c>
      <c r="Z1521" s="494" t="s">
        <v>183</v>
      </c>
      <c r="AA1521" s="547" t="str">
        <f t="shared" ca="1" si="253"/>
        <v/>
      </c>
      <c r="AB1521" s="494" t="s">
        <v>168</v>
      </c>
      <c r="AC1521" s="547" t="str">
        <f t="shared" ca="1" si="254"/>
        <v/>
      </c>
      <c r="AD1521" s="557"/>
      <c r="AE1521" s="958"/>
    </row>
    <row r="1522" spans="1:31" ht="15" customHeight="1">
      <c r="A1522" s="957">
        <v>1</v>
      </c>
      <c r="B1522" s="566" t="s">
        <v>1251</v>
      </c>
      <c r="C1522" s="567" t="s">
        <v>1643</v>
      </c>
      <c r="D1522" s="958">
        <v>1.1000000000000001</v>
      </c>
      <c r="E1522" s="959" t="s">
        <v>254</v>
      </c>
      <c r="F1522" s="558" t="s">
        <v>1444</v>
      </c>
      <c r="G1522" s="558">
        <v>16</v>
      </c>
      <c r="H1522" s="558" t="s">
        <v>1091</v>
      </c>
      <c r="I1522" s="559" t="s">
        <v>257</v>
      </c>
      <c r="J1522" s="567" t="s">
        <v>1644</v>
      </c>
      <c r="K1522" s="961" t="s">
        <v>1568</v>
      </c>
      <c r="L1522" s="555" t="str">
        <f t="shared" ca="1" si="249"/>
        <v/>
      </c>
      <c r="M1522" s="494" t="s">
        <v>1569</v>
      </c>
      <c r="N1522" s="555" t="str">
        <f t="shared" ca="1" si="250"/>
        <v/>
      </c>
      <c r="O1522" s="494" t="s">
        <v>1570</v>
      </c>
      <c r="P1522" s="555" t="str">
        <f t="shared" ca="1" si="251"/>
        <v/>
      </c>
      <c r="Q1522" s="494" t="s">
        <v>1645</v>
      </c>
      <c r="R1522" s="494" t="str">
        <f>CONCATENATE("I",ROW(J1522))</f>
        <v>I1522</v>
      </c>
      <c r="S1522" s="494" t="s">
        <v>1646</v>
      </c>
      <c r="T1522" s="494">
        <v>6</v>
      </c>
      <c r="U1522" s="556" t="str">
        <f t="shared" ca="1" si="247"/>
        <v/>
      </c>
      <c r="V1522" s="494">
        <v>7</v>
      </c>
      <c r="W1522" s="556" t="str">
        <f t="shared" ca="1" si="248"/>
        <v/>
      </c>
      <c r="X1522" s="494" t="s">
        <v>1647</v>
      </c>
      <c r="Y1522" s="547" t="str">
        <f t="shared" ca="1" si="252"/>
        <v/>
      </c>
      <c r="Z1522" s="494" t="s">
        <v>1583</v>
      </c>
      <c r="AA1522" s="547" t="str">
        <f t="shared" ca="1" si="253"/>
        <v/>
      </c>
      <c r="AB1522" s="494" t="s">
        <v>173</v>
      </c>
      <c r="AC1522" s="547" t="str">
        <f t="shared" ca="1" si="254"/>
        <v/>
      </c>
      <c r="AD1522" s="557"/>
      <c r="AE1522" s="958"/>
    </row>
    <row r="1523" spans="1:31" ht="15" customHeight="1">
      <c r="A1523" s="957">
        <v>1</v>
      </c>
      <c r="B1523" s="566" t="s">
        <v>1251</v>
      </c>
      <c r="C1523" s="567" t="s">
        <v>1643</v>
      </c>
      <c r="D1523" s="958">
        <v>1.1000000000000001</v>
      </c>
      <c r="E1523" s="959" t="s">
        <v>254</v>
      </c>
      <c r="F1523" s="558" t="s">
        <v>1444</v>
      </c>
      <c r="G1523" s="558">
        <v>21</v>
      </c>
      <c r="H1523" s="558" t="s">
        <v>1093</v>
      </c>
      <c r="I1523" s="559" t="s">
        <v>1095</v>
      </c>
      <c r="J1523" s="567" t="s">
        <v>1644</v>
      </c>
      <c r="K1523" s="961" t="s">
        <v>1568</v>
      </c>
      <c r="L1523" s="555" t="str">
        <f t="shared" ca="1" si="249"/>
        <v/>
      </c>
      <c r="M1523" s="494" t="s">
        <v>1569</v>
      </c>
      <c r="N1523" s="555" t="str">
        <f t="shared" ca="1" si="250"/>
        <v/>
      </c>
      <c r="O1523" s="494" t="s">
        <v>1570</v>
      </c>
      <c r="P1523" s="555" t="str">
        <f t="shared" ca="1" si="251"/>
        <v/>
      </c>
      <c r="Q1523" s="494" t="s">
        <v>1645</v>
      </c>
      <c r="R1523" s="494" t="str">
        <f t="shared" ref="R1523:R1589" si="258">CONCATENATE("I",ROW(J1523))</f>
        <v>I1523</v>
      </c>
      <c r="S1523" s="494" t="s">
        <v>1648</v>
      </c>
      <c r="T1523" s="494">
        <v>6</v>
      </c>
      <c r="U1523" s="556" t="str">
        <f t="shared" ca="1" si="247"/>
        <v/>
      </c>
      <c r="V1523" s="494">
        <v>7</v>
      </c>
      <c r="W1523" s="556" t="str">
        <f t="shared" ca="1" si="248"/>
        <v/>
      </c>
      <c r="X1523" s="494" t="s">
        <v>1647</v>
      </c>
      <c r="Y1523" s="547" t="str">
        <f t="shared" ca="1" si="252"/>
        <v/>
      </c>
      <c r="Z1523" s="494" t="s">
        <v>1583</v>
      </c>
      <c r="AA1523" s="547" t="str">
        <f t="shared" ca="1" si="253"/>
        <v/>
      </c>
      <c r="AB1523" s="494" t="s">
        <v>173</v>
      </c>
      <c r="AC1523" s="547" t="str">
        <f t="shared" ca="1" si="254"/>
        <v/>
      </c>
      <c r="AD1523" s="557"/>
      <c r="AE1523" s="958"/>
    </row>
    <row r="1524" spans="1:31" ht="15" customHeight="1">
      <c r="A1524" s="957">
        <v>1</v>
      </c>
      <c r="B1524" s="566" t="s">
        <v>1251</v>
      </c>
      <c r="C1524" s="567" t="s">
        <v>1643</v>
      </c>
      <c r="D1524" s="958">
        <v>1.1000000000000001</v>
      </c>
      <c r="E1524" s="959" t="s">
        <v>254</v>
      </c>
      <c r="F1524" s="558" t="s">
        <v>1444</v>
      </c>
      <c r="G1524" s="558">
        <v>21</v>
      </c>
      <c r="H1524" s="558" t="s">
        <v>1093</v>
      </c>
      <c r="I1524" s="559" t="s">
        <v>1649</v>
      </c>
      <c r="J1524" s="567" t="s">
        <v>1644</v>
      </c>
      <c r="K1524" s="961" t="s">
        <v>1568</v>
      </c>
      <c r="L1524" s="555" t="str">
        <f t="shared" ca="1" si="249"/>
        <v/>
      </c>
      <c r="M1524" s="494" t="s">
        <v>1569</v>
      </c>
      <c r="N1524" s="555" t="str">
        <f t="shared" ca="1" si="250"/>
        <v/>
      </c>
      <c r="O1524" s="494" t="s">
        <v>1570</v>
      </c>
      <c r="P1524" s="555" t="str">
        <f t="shared" ca="1" si="251"/>
        <v/>
      </c>
      <c r="Q1524" s="494" t="s">
        <v>1645</v>
      </c>
      <c r="R1524" s="494" t="str">
        <f t="shared" si="258"/>
        <v>I1524</v>
      </c>
      <c r="S1524" s="494" t="s">
        <v>1648</v>
      </c>
      <c r="T1524" s="494">
        <v>6</v>
      </c>
      <c r="U1524" s="556" t="str">
        <f t="shared" ca="1" si="247"/>
        <v/>
      </c>
      <c r="V1524" s="494">
        <v>7</v>
      </c>
      <c r="W1524" s="556" t="str">
        <f t="shared" ca="1" si="248"/>
        <v/>
      </c>
      <c r="X1524" s="494" t="s">
        <v>1647</v>
      </c>
      <c r="Y1524" s="547" t="str">
        <f t="shared" ca="1" si="252"/>
        <v/>
      </c>
      <c r="Z1524" s="494" t="s">
        <v>1583</v>
      </c>
      <c r="AA1524" s="547" t="str">
        <f t="shared" ca="1" si="253"/>
        <v/>
      </c>
      <c r="AB1524" s="494" t="s">
        <v>173</v>
      </c>
      <c r="AC1524" s="547" t="str">
        <f t="shared" ca="1" si="254"/>
        <v/>
      </c>
      <c r="AD1524" s="557"/>
      <c r="AE1524" s="958"/>
    </row>
    <row r="1525" spans="1:31" ht="15" customHeight="1">
      <c r="A1525" s="957">
        <v>1</v>
      </c>
      <c r="B1525" s="566" t="s">
        <v>1251</v>
      </c>
      <c r="C1525" s="567" t="s">
        <v>1643</v>
      </c>
      <c r="D1525" s="958">
        <v>1.1000000000000001</v>
      </c>
      <c r="E1525" s="959" t="s">
        <v>254</v>
      </c>
      <c r="F1525" s="558" t="s">
        <v>1444</v>
      </c>
      <c r="G1525" s="558">
        <v>25</v>
      </c>
      <c r="H1525" s="558" t="s">
        <v>1098</v>
      </c>
      <c r="I1525" s="559" t="s">
        <v>1650</v>
      </c>
      <c r="J1525" s="567" t="s">
        <v>1644</v>
      </c>
      <c r="K1525" s="961" t="s">
        <v>1568</v>
      </c>
      <c r="L1525" s="555" t="str">
        <f t="shared" ca="1" si="249"/>
        <v/>
      </c>
      <c r="M1525" s="494" t="s">
        <v>1569</v>
      </c>
      <c r="N1525" s="555" t="str">
        <f t="shared" ca="1" si="250"/>
        <v/>
      </c>
      <c r="O1525" s="494" t="s">
        <v>1570</v>
      </c>
      <c r="P1525" s="555" t="str">
        <f t="shared" ca="1" si="251"/>
        <v/>
      </c>
      <c r="Q1525" s="494" t="s">
        <v>1645</v>
      </c>
      <c r="R1525" s="494" t="str">
        <f t="shared" si="258"/>
        <v>I1525</v>
      </c>
      <c r="S1525" s="494" t="s">
        <v>1646</v>
      </c>
      <c r="T1525" s="494">
        <v>6</v>
      </c>
      <c r="U1525" s="556" t="str">
        <f t="shared" ca="1" si="247"/>
        <v/>
      </c>
      <c r="V1525" s="494">
        <v>7</v>
      </c>
      <c r="W1525" s="556" t="str">
        <f t="shared" ca="1" si="248"/>
        <v/>
      </c>
      <c r="X1525" s="494" t="s">
        <v>1647</v>
      </c>
      <c r="Y1525" s="547" t="str">
        <f t="shared" ca="1" si="252"/>
        <v/>
      </c>
      <c r="Z1525" s="494" t="s">
        <v>1583</v>
      </c>
      <c r="AA1525" s="547" t="str">
        <f t="shared" ca="1" si="253"/>
        <v/>
      </c>
      <c r="AB1525" s="494" t="s">
        <v>173</v>
      </c>
      <c r="AC1525" s="547" t="str">
        <f t="shared" ca="1" si="254"/>
        <v/>
      </c>
      <c r="AD1525" s="557"/>
      <c r="AE1525" s="958"/>
    </row>
    <row r="1526" spans="1:31" ht="15" customHeight="1">
      <c r="A1526" s="957">
        <v>1</v>
      </c>
      <c r="B1526" s="566" t="s">
        <v>1251</v>
      </c>
      <c r="C1526" s="567" t="s">
        <v>1643</v>
      </c>
      <c r="D1526" s="958">
        <v>1.1000000000000001</v>
      </c>
      <c r="E1526" s="959" t="s">
        <v>254</v>
      </c>
      <c r="F1526" s="558" t="s">
        <v>1444</v>
      </c>
      <c r="G1526" s="558">
        <v>26</v>
      </c>
      <c r="H1526" s="558" t="s">
        <v>1100</v>
      </c>
      <c r="I1526" s="559" t="s">
        <v>1651</v>
      </c>
      <c r="J1526" s="567" t="s">
        <v>1644</v>
      </c>
      <c r="K1526" s="961" t="s">
        <v>1568</v>
      </c>
      <c r="L1526" s="555" t="str">
        <f t="shared" ca="1" si="249"/>
        <v/>
      </c>
      <c r="M1526" s="494" t="s">
        <v>1569</v>
      </c>
      <c r="N1526" s="555" t="str">
        <f t="shared" ca="1" si="250"/>
        <v/>
      </c>
      <c r="O1526" s="494" t="s">
        <v>1570</v>
      </c>
      <c r="P1526" s="555" t="str">
        <f t="shared" ca="1" si="251"/>
        <v/>
      </c>
      <c r="Q1526" s="494" t="s">
        <v>1645</v>
      </c>
      <c r="R1526" s="494" t="str">
        <f t="shared" si="258"/>
        <v>I1526</v>
      </c>
      <c r="S1526" s="494" t="s">
        <v>1646</v>
      </c>
      <c r="T1526" s="494">
        <v>6</v>
      </c>
      <c r="U1526" s="556" t="str">
        <f t="shared" ca="1" si="247"/>
        <v/>
      </c>
      <c r="V1526" s="494">
        <v>7</v>
      </c>
      <c r="W1526" s="556" t="str">
        <f t="shared" ca="1" si="248"/>
        <v/>
      </c>
      <c r="X1526" s="494" t="s">
        <v>1647</v>
      </c>
      <c r="Y1526" s="547" t="str">
        <f t="shared" ca="1" si="252"/>
        <v/>
      </c>
      <c r="Z1526" s="494" t="s">
        <v>1583</v>
      </c>
      <c r="AA1526" s="547" t="str">
        <f t="shared" ca="1" si="253"/>
        <v/>
      </c>
      <c r="AB1526" s="494" t="s">
        <v>173</v>
      </c>
      <c r="AC1526" s="547" t="str">
        <f t="shared" ca="1" si="254"/>
        <v/>
      </c>
      <c r="AD1526" s="557"/>
      <c r="AE1526" s="958"/>
    </row>
    <row r="1527" spans="1:31" ht="15" customHeight="1">
      <c r="A1527" s="957">
        <v>1</v>
      </c>
      <c r="B1527" s="566" t="s">
        <v>1251</v>
      </c>
      <c r="C1527" s="567" t="s">
        <v>1643</v>
      </c>
      <c r="D1527" s="958">
        <v>1.1000000000000001</v>
      </c>
      <c r="E1527" s="959" t="s">
        <v>254</v>
      </c>
      <c r="F1527" s="558" t="s">
        <v>1444</v>
      </c>
      <c r="G1527" s="558">
        <v>30</v>
      </c>
      <c r="H1527" s="558" t="s">
        <v>1101</v>
      </c>
      <c r="I1527" s="559" t="s">
        <v>298</v>
      </c>
      <c r="J1527" s="567" t="s">
        <v>1644</v>
      </c>
      <c r="K1527" s="961" t="s">
        <v>1568</v>
      </c>
      <c r="L1527" s="555" t="str">
        <f t="shared" ca="1" si="249"/>
        <v/>
      </c>
      <c r="M1527" s="494" t="s">
        <v>1569</v>
      </c>
      <c r="N1527" s="555" t="str">
        <f t="shared" ca="1" si="250"/>
        <v/>
      </c>
      <c r="O1527" s="494" t="s">
        <v>1570</v>
      </c>
      <c r="P1527" s="555" t="str">
        <f t="shared" ca="1" si="251"/>
        <v/>
      </c>
      <c r="Q1527" s="494" t="s">
        <v>1645</v>
      </c>
      <c r="R1527" s="494" t="str">
        <f t="shared" si="258"/>
        <v>I1527</v>
      </c>
      <c r="S1527" s="494" t="s">
        <v>1648</v>
      </c>
      <c r="T1527" s="494">
        <v>6</v>
      </c>
      <c r="U1527" s="556" t="str">
        <f t="shared" ca="1" si="247"/>
        <v/>
      </c>
      <c r="V1527" s="494">
        <v>7</v>
      </c>
      <c r="W1527" s="556" t="str">
        <f t="shared" ca="1" si="248"/>
        <v/>
      </c>
      <c r="X1527" s="494" t="s">
        <v>1647</v>
      </c>
      <c r="Y1527" s="547" t="str">
        <f t="shared" ca="1" si="252"/>
        <v/>
      </c>
      <c r="Z1527" s="494" t="s">
        <v>1583</v>
      </c>
      <c r="AA1527" s="547" t="str">
        <f t="shared" ca="1" si="253"/>
        <v/>
      </c>
      <c r="AB1527" s="494" t="s">
        <v>173</v>
      </c>
      <c r="AC1527" s="547" t="str">
        <f t="shared" ca="1" si="254"/>
        <v/>
      </c>
      <c r="AD1527" s="557"/>
      <c r="AE1527" s="958"/>
    </row>
    <row r="1528" spans="1:31" ht="15" customHeight="1">
      <c r="A1528" s="957">
        <v>1</v>
      </c>
      <c r="B1528" s="566" t="s">
        <v>1251</v>
      </c>
      <c r="C1528" s="567" t="s">
        <v>1643</v>
      </c>
      <c r="D1528" s="958">
        <v>1.1000000000000001</v>
      </c>
      <c r="E1528" s="959" t="s">
        <v>254</v>
      </c>
      <c r="F1528" s="558" t="s">
        <v>1444</v>
      </c>
      <c r="G1528" s="558">
        <v>30</v>
      </c>
      <c r="H1528" s="558" t="s">
        <v>1101</v>
      </c>
      <c r="I1528" s="559" t="s">
        <v>682</v>
      </c>
      <c r="J1528" s="567" t="s">
        <v>1644</v>
      </c>
      <c r="K1528" s="961" t="s">
        <v>1568</v>
      </c>
      <c r="L1528" s="555" t="str">
        <f t="shared" ca="1" si="249"/>
        <v/>
      </c>
      <c r="M1528" s="494" t="s">
        <v>1569</v>
      </c>
      <c r="N1528" s="555" t="str">
        <f t="shared" ca="1" si="250"/>
        <v/>
      </c>
      <c r="O1528" s="494" t="s">
        <v>1570</v>
      </c>
      <c r="P1528" s="555" t="str">
        <f t="shared" ca="1" si="251"/>
        <v/>
      </c>
      <c r="Q1528" s="494" t="s">
        <v>1645</v>
      </c>
      <c r="R1528" s="494" t="str">
        <f t="shared" si="258"/>
        <v>I1528</v>
      </c>
      <c r="S1528" s="494" t="s">
        <v>1648</v>
      </c>
      <c r="T1528" s="494">
        <v>6</v>
      </c>
      <c r="U1528" s="556" t="str">
        <f t="shared" ca="1" si="247"/>
        <v/>
      </c>
      <c r="V1528" s="494">
        <v>7</v>
      </c>
      <c r="W1528" s="556" t="str">
        <f t="shared" ca="1" si="248"/>
        <v/>
      </c>
      <c r="X1528" s="494" t="s">
        <v>1647</v>
      </c>
      <c r="Y1528" s="547" t="str">
        <f t="shared" ca="1" si="252"/>
        <v/>
      </c>
      <c r="Z1528" s="494" t="s">
        <v>1583</v>
      </c>
      <c r="AA1528" s="547" t="str">
        <f t="shared" ca="1" si="253"/>
        <v/>
      </c>
      <c r="AB1528" s="494" t="s">
        <v>173</v>
      </c>
      <c r="AC1528" s="547" t="str">
        <f t="shared" ca="1" si="254"/>
        <v/>
      </c>
      <c r="AD1528" s="557"/>
      <c r="AE1528" s="958"/>
    </row>
    <row r="1529" spans="1:31" ht="15" customHeight="1">
      <c r="A1529" s="957">
        <v>1</v>
      </c>
      <c r="B1529" s="566" t="s">
        <v>1251</v>
      </c>
      <c r="C1529" s="567" t="s">
        <v>1643</v>
      </c>
      <c r="D1529" s="958">
        <v>1.1000000000000001</v>
      </c>
      <c r="E1529" s="959" t="s">
        <v>254</v>
      </c>
      <c r="F1529" s="558" t="s">
        <v>1444</v>
      </c>
      <c r="G1529" s="558">
        <v>31</v>
      </c>
      <c r="H1529" s="558" t="s">
        <v>1103</v>
      </c>
      <c r="I1529" s="559" t="s">
        <v>1652</v>
      </c>
      <c r="J1529" s="567" t="s">
        <v>1644</v>
      </c>
      <c r="K1529" s="961" t="s">
        <v>1568</v>
      </c>
      <c r="L1529" s="555" t="str">
        <f t="shared" ca="1" si="249"/>
        <v/>
      </c>
      <c r="M1529" s="494" t="s">
        <v>1569</v>
      </c>
      <c r="N1529" s="555" t="str">
        <f t="shared" ca="1" si="250"/>
        <v/>
      </c>
      <c r="O1529" s="494" t="s">
        <v>1570</v>
      </c>
      <c r="P1529" s="555" t="str">
        <f t="shared" ca="1" si="251"/>
        <v/>
      </c>
      <c r="Q1529" s="494" t="s">
        <v>1645</v>
      </c>
      <c r="R1529" s="494" t="str">
        <f t="shared" si="258"/>
        <v>I1529</v>
      </c>
      <c r="S1529" s="494" t="s">
        <v>1646</v>
      </c>
      <c r="T1529" s="494">
        <v>6</v>
      </c>
      <c r="U1529" s="556" t="str">
        <f t="shared" ca="1" si="247"/>
        <v/>
      </c>
      <c r="V1529" s="494">
        <v>7</v>
      </c>
      <c r="W1529" s="556" t="str">
        <f t="shared" ca="1" si="248"/>
        <v/>
      </c>
      <c r="X1529" s="494" t="s">
        <v>1647</v>
      </c>
      <c r="Y1529" s="547" t="str">
        <f t="shared" ca="1" si="252"/>
        <v/>
      </c>
      <c r="Z1529" s="494" t="s">
        <v>1583</v>
      </c>
      <c r="AA1529" s="547" t="str">
        <f t="shared" ca="1" si="253"/>
        <v/>
      </c>
      <c r="AB1529" s="494" t="s">
        <v>173</v>
      </c>
      <c r="AC1529" s="547" t="str">
        <f t="shared" ca="1" si="254"/>
        <v/>
      </c>
      <c r="AD1529" s="557"/>
      <c r="AE1529" s="958"/>
    </row>
    <row r="1530" spans="1:31" ht="15" customHeight="1">
      <c r="A1530" s="957">
        <v>1</v>
      </c>
      <c r="B1530" s="566" t="s">
        <v>1251</v>
      </c>
      <c r="C1530" s="567" t="s">
        <v>1643</v>
      </c>
      <c r="D1530" s="958">
        <v>1.1000000000000001</v>
      </c>
      <c r="E1530" s="959" t="s">
        <v>306</v>
      </c>
      <c r="F1530" s="558" t="s">
        <v>1454</v>
      </c>
      <c r="G1530" s="558">
        <v>34</v>
      </c>
      <c r="H1530" s="558" t="s">
        <v>1116</v>
      </c>
      <c r="I1530" s="559" t="s">
        <v>1653</v>
      </c>
      <c r="J1530" s="567" t="s">
        <v>1644</v>
      </c>
      <c r="K1530" s="961" t="s">
        <v>1568</v>
      </c>
      <c r="L1530" s="555" t="str">
        <f t="shared" ca="1" si="249"/>
        <v/>
      </c>
      <c r="M1530" s="494" t="s">
        <v>1569</v>
      </c>
      <c r="N1530" s="555" t="str">
        <f t="shared" ca="1" si="250"/>
        <v/>
      </c>
      <c r="O1530" s="494" t="s">
        <v>1570</v>
      </c>
      <c r="P1530" s="555" t="str">
        <f t="shared" ca="1" si="251"/>
        <v/>
      </c>
      <c r="Q1530" s="494" t="s">
        <v>1645</v>
      </c>
      <c r="R1530" s="494" t="str">
        <f t="shared" si="258"/>
        <v>I1530</v>
      </c>
      <c r="S1530" s="494" t="s">
        <v>1648</v>
      </c>
      <c r="T1530" s="494">
        <v>6</v>
      </c>
      <c r="U1530" s="556" t="str">
        <f t="shared" ca="1" si="247"/>
        <v/>
      </c>
      <c r="V1530" s="494">
        <v>7</v>
      </c>
      <c r="W1530" s="556" t="str">
        <f t="shared" ca="1" si="248"/>
        <v/>
      </c>
      <c r="X1530" s="494" t="s">
        <v>1647</v>
      </c>
      <c r="Y1530" s="547" t="str">
        <f t="shared" ca="1" si="252"/>
        <v/>
      </c>
      <c r="Z1530" s="494" t="s">
        <v>1583</v>
      </c>
      <c r="AA1530" s="547" t="str">
        <f t="shared" ca="1" si="253"/>
        <v/>
      </c>
      <c r="AB1530" s="494" t="s">
        <v>173</v>
      </c>
      <c r="AC1530" s="547" t="str">
        <f t="shared" ca="1" si="254"/>
        <v/>
      </c>
      <c r="AD1530" s="557"/>
      <c r="AE1530" s="958"/>
    </row>
    <row r="1531" spans="1:31" ht="15" customHeight="1">
      <c r="A1531" s="957">
        <v>1</v>
      </c>
      <c r="B1531" s="566" t="s">
        <v>1251</v>
      </c>
      <c r="C1531" s="567" t="s">
        <v>1643</v>
      </c>
      <c r="D1531" s="958">
        <v>1.1000000000000001</v>
      </c>
      <c r="E1531" s="959" t="s">
        <v>306</v>
      </c>
      <c r="F1531" s="558" t="s">
        <v>1454</v>
      </c>
      <c r="G1531" s="558">
        <v>34</v>
      </c>
      <c r="H1531" s="558" t="s">
        <v>1116</v>
      </c>
      <c r="I1531" s="559" t="s">
        <v>1654</v>
      </c>
      <c r="J1531" s="567" t="s">
        <v>1644</v>
      </c>
      <c r="K1531" s="961" t="s">
        <v>1568</v>
      </c>
      <c r="L1531" s="555" t="str">
        <f t="shared" ca="1" si="249"/>
        <v/>
      </c>
      <c r="M1531" s="494" t="s">
        <v>1569</v>
      </c>
      <c r="N1531" s="555" t="str">
        <f t="shared" ca="1" si="250"/>
        <v/>
      </c>
      <c r="O1531" s="494" t="s">
        <v>1570</v>
      </c>
      <c r="P1531" s="555" t="str">
        <f t="shared" ca="1" si="251"/>
        <v/>
      </c>
      <c r="Q1531" s="494" t="s">
        <v>1645</v>
      </c>
      <c r="R1531" s="494" t="str">
        <f t="shared" si="258"/>
        <v>I1531</v>
      </c>
      <c r="S1531" s="494" t="s">
        <v>1648</v>
      </c>
      <c r="T1531" s="494">
        <v>6</v>
      </c>
      <c r="U1531" s="556" t="str">
        <f t="shared" ca="1" si="247"/>
        <v/>
      </c>
      <c r="V1531" s="494">
        <v>7</v>
      </c>
      <c r="W1531" s="556" t="str">
        <f t="shared" ca="1" si="248"/>
        <v/>
      </c>
      <c r="X1531" s="494" t="s">
        <v>1647</v>
      </c>
      <c r="Y1531" s="547" t="str">
        <f t="shared" ca="1" si="252"/>
        <v/>
      </c>
      <c r="Z1531" s="494" t="s">
        <v>1583</v>
      </c>
      <c r="AA1531" s="547" t="str">
        <f t="shared" ca="1" si="253"/>
        <v/>
      </c>
      <c r="AB1531" s="494" t="s">
        <v>173</v>
      </c>
      <c r="AC1531" s="547" t="str">
        <f t="shared" ca="1" si="254"/>
        <v/>
      </c>
      <c r="AD1531" s="557"/>
      <c r="AE1531" s="958"/>
    </row>
    <row r="1532" spans="1:31" ht="15" customHeight="1">
      <c r="A1532" s="957">
        <v>1</v>
      </c>
      <c r="B1532" s="566" t="s">
        <v>1251</v>
      </c>
      <c r="C1532" s="567" t="s">
        <v>1643</v>
      </c>
      <c r="D1532" s="958">
        <v>1.1000000000000001</v>
      </c>
      <c r="E1532" s="959" t="s">
        <v>306</v>
      </c>
      <c r="F1532" s="558" t="s">
        <v>1454</v>
      </c>
      <c r="G1532" s="558">
        <v>40</v>
      </c>
      <c r="H1532" s="558" t="s">
        <v>1118</v>
      </c>
      <c r="I1532" s="559" t="s">
        <v>1338</v>
      </c>
      <c r="J1532" s="567" t="s">
        <v>1644</v>
      </c>
      <c r="K1532" s="961" t="s">
        <v>1568</v>
      </c>
      <c r="L1532" s="555" t="str">
        <f t="shared" ca="1" si="249"/>
        <v/>
      </c>
      <c r="M1532" s="494" t="s">
        <v>1569</v>
      </c>
      <c r="N1532" s="555" t="str">
        <f t="shared" ca="1" si="250"/>
        <v/>
      </c>
      <c r="O1532" s="494" t="s">
        <v>1570</v>
      </c>
      <c r="P1532" s="555" t="str">
        <f t="shared" ca="1" si="251"/>
        <v/>
      </c>
      <c r="Q1532" s="494" t="s">
        <v>1645</v>
      </c>
      <c r="R1532" s="494" t="str">
        <f t="shared" si="258"/>
        <v>I1532</v>
      </c>
      <c r="S1532" s="494" t="s">
        <v>1646</v>
      </c>
      <c r="T1532" s="494">
        <v>6</v>
      </c>
      <c r="U1532" s="556" t="str">
        <f t="shared" ca="1" si="247"/>
        <v/>
      </c>
      <c r="V1532" s="494">
        <v>7</v>
      </c>
      <c r="W1532" s="556" t="str">
        <f t="shared" ca="1" si="248"/>
        <v/>
      </c>
      <c r="X1532" s="494" t="s">
        <v>1647</v>
      </c>
      <c r="Y1532" s="547" t="str">
        <f t="shared" ca="1" si="252"/>
        <v/>
      </c>
      <c r="Z1532" s="494" t="s">
        <v>1583</v>
      </c>
      <c r="AA1532" s="547" t="str">
        <f t="shared" ca="1" si="253"/>
        <v/>
      </c>
      <c r="AB1532" s="494" t="s">
        <v>173</v>
      </c>
      <c r="AC1532" s="547" t="str">
        <f t="shared" ca="1" si="254"/>
        <v/>
      </c>
      <c r="AD1532" s="557"/>
      <c r="AE1532" s="958"/>
    </row>
    <row r="1533" spans="1:31" ht="15" customHeight="1">
      <c r="A1533" s="957">
        <v>1</v>
      </c>
      <c r="B1533" s="566" t="s">
        <v>1251</v>
      </c>
      <c r="C1533" s="567" t="s">
        <v>1643</v>
      </c>
      <c r="D1533" s="958">
        <v>1.1000000000000001</v>
      </c>
      <c r="E1533" s="959" t="s">
        <v>306</v>
      </c>
      <c r="F1533" s="558" t="s">
        <v>1454</v>
      </c>
      <c r="G1533" s="558">
        <v>44</v>
      </c>
      <c r="H1533" s="558" t="s">
        <v>1120</v>
      </c>
      <c r="I1533" s="559" t="s">
        <v>326</v>
      </c>
      <c r="J1533" s="567" t="s">
        <v>1644</v>
      </c>
      <c r="K1533" s="961" t="s">
        <v>1568</v>
      </c>
      <c r="L1533" s="555" t="str">
        <f t="shared" ca="1" si="249"/>
        <v/>
      </c>
      <c r="M1533" s="494" t="s">
        <v>1569</v>
      </c>
      <c r="N1533" s="555" t="str">
        <f t="shared" ca="1" si="250"/>
        <v/>
      </c>
      <c r="O1533" s="494" t="s">
        <v>1570</v>
      </c>
      <c r="P1533" s="555" t="str">
        <f t="shared" ca="1" si="251"/>
        <v/>
      </c>
      <c r="Q1533" s="494" t="s">
        <v>1645</v>
      </c>
      <c r="R1533" s="494" t="str">
        <f t="shared" si="258"/>
        <v>I1533</v>
      </c>
      <c r="S1533" s="494" t="s">
        <v>1646</v>
      </c>
      <c r="T1533" s="494">
        <v>6</v>
      </c>
      <c r="U1533" s="556" t="str">
        <f t="shared" ca="1" si="247"/>
        <v/>
      </c>
      <c r="V1533" s="494">
        <v>7</v>
      </c>
      <c r="W1533" s="556" t="str">
        <f t="shared" ca="1" si="248"/>
        <v/>
      </c>
      <c r="X1533" s="494" t="s">
        <v>1647</v>
      </c>
      <c r="Y1533" s="547" t="str">
        <f t="shared" ca="1" si="252"/>
        <v/>
      </c>
      <c r="Z1533" s="494" t="s">
        <v>1583</v>
      </c>
      <c r="AA1533" s="547" t="str">
        <f t="shared" ca="1" si="253"/>
        <v/>
      </c>
      <c r="AB1533" s="494" t="s">
        <v>173</v>
      </c>
      <c r="AC1533" s="547" t="str">
        <f t="shared" ca="1" si="254"/>
        <v/>
      </c>
      <c r="AD1533" s="557"/>
      <c r="AE1533" s="958"/>
    </row>
    <row r="1534" spans="1:31" ht="15" customHeight="1">
      <c r="A1534" s="957">
        <v>1</v>
      </c>
      <c r="B1534" s="566" t="s">
        <v>1251</v>
      </c>
      <c r="C1534" s="567" t="s">
        <v>1643</v>
      </c>
      <c r="D1534" s="958">
        <v>1.1000000000000001</v>
      </c>
      <c r="E1534" s="959" t="s">
        <v>306</v>
      </c>
      <c r="F1534" s="558" t="s">
        <v>1454</v>
      </c>
      <c r="G1534" s="558">
        <v>103</v>
      </c>
      <c r="H1534" s="558" t="s">
        <v>1122</v>
      </c>
      <c r="I1534" s="559" t="s">
        <v>1655</v>
      </c>
      <c r="J1534" s="567" t="s">
        <v>1644</v>
      </c>
      <c r="K1534" s="961" t="s">
        <v>1568</v>
      </c>
      <c r="L1534" s="555" t="str">
        <f t="shared" ca="1" si="249"/>
        <v/>
      </c>
      <c r="M1534" s="494" t="s">
        <v>1569</v>
      </c>
      <c r="N1534" s="555" t="str">
        <f t="shared" ca="1" si="250"/>
        <v/>
      </c>
      <c r="O1534" s="494" t="s">
        <v>1570</v>
      </c>
      <c r="P1534" s="555" t="str">
        <f t="shared" ca="1" si="251"/>
        <v/>
      </c>
      <c r="Q1534" s="494" t="s">
        <v>1645</v>
      </c>
      <c r="R1534" s="494" t="str">
        <f t="shared" si="258"/>
        <v>I1534</v>
      </c>
      <c r="S1534" s="494" t="s">
        <v>1648</v>
      </c>
      <c r="T1534" s="494">
        <v>6</v>
      </c>
      <c r="U1534" s="556" t="str">
        <f t="shared" ca="1" si="247"/>
        <v/>
      </c>
      <c r="V1534" s="494">
        <v>7</v>
      </c>
      <c r="W1534" s="556" t="str">
        <f t="shared" ca="1" si="248"/>
        <v/>
      </c>
      <c r="X1534" s="494" t="s">
        <v>1647</v>
      </c>
      <c r="Y1534" s="547" t="str">
        <f t="shared" ca="1" si="252"/>
        <v/>
      </c>
      <c r="Z1534" s="494" t="s">
        <v>1583</v>
      </c>
      <c r="AA1534" s="547" t="str">
        <f t="shared" ca="1" si="253"/>
        <v/>
      </c>
      <c r="AB1534" s="494" t="s">
        <v>173</v>
      </c>
      <c r="AC1534" s="547" t="str">
        <f t="shared" ca="1" si="254"/>
        <v/>
      </c>
      <c r="AD1534" s="557"/>
      <c r="AE1534" s="958"/>
    </row>
    <row r="1535" spans="1:31" ht="15" customHeight="1">
      <c r="A1535" s="957">
        <v>1</v>
      </c>
      <c r="B1535" s="566" t="s">
        <v>1251</v>
      </c>
      <c r="C1535" s="567" t="s">
        <v>1643</v>
      </c>
      <c r="D1535" s="958">
        <v>1.1000000000000001</v>
      </c>
      <c r="E1535" s="959" t="s">
        <v>306</v>
      </c>
      <c r="F1535" s="558" t="s">
        <v>1454</v>
      </c>
      <c r="G1535" s="558">
        <v>103</v>
      </c>
      <c r="H1535" s="558" t="s">
        <v>1122</v>
      </c>
      <c r="I1535" s="559" t="s">
        <v>1656</v>
      </c>
      <c r="J1535" s="567" t="s">
        <v>1644</v>
      </c>
      <c r="K1535" s="961" t="s">
        <v>1568</v>
      </c>
      <c r="L1535" s="555" t="str">
        <f t="shared" ca="1" si="249"/>
        <v/>
      </c>
      <c r="M1535" s="494" t="s">
        <v>1569</v>
      </c>
      <c r="N1535" s="555" t="str">
        <f t="shared" ca="1" si="250"/>
        <v/>
      </c>
      <c r="O1535" s="494" t="s">
        <v>1570</v>
      </c>
      <c r="P1535" s="555" t="str">
        <f t="shared" ca="1" si="251"/>
        <v/>
      </c>
      <c r="Q1535" s="494" t="s">
        <v>1645</v>
      </c>
      <c r="R1535" s="494" t="str">
        <f t="shared" si="258"/>
        <v>I1535</v>
      </c>
      <c r="S1535" s="494" t="s">
        <v>1648</v>
      </c>
      <c r="T1535" s="494">
        <v>6</v>
      </c>
      <c r="U1535" s="556" t="str">
        <f t="shared" ref="U1535:U1598" ca="1" si="259">IF(AND($B1535=INDIRECT(CONCATENATE($J1535,$K1535,5)),ISBLANK(INDEX(INDIRECT(CONCATENATE($J1535,$Q1535)),MATCH(INDIRECT($R1535),INDIRECT(CONCATENATE($J1535,$S1535)),0),T1535))=FALSE),INDEX(INDIRECT(CONCATENATE($J1535,$Q1535)),MATCH(INDIRECT($R1535),INDIRECT(CONCATENATE($J1535,$S1535)),0),T1535),"")</f>
        <v/>
      </c>
      <c r="V1535" s="494">
        <v>7</v>
      </c>
      <c r="W1535" s="556" t="str">
        <f t="shared" ref="W1535:W1598" ca="1" si="260">IF(AND($B1535=INDIRECT(CONCATENATE($J1535,$K1535,5)),ISBLANK(INDEX(INDIRECT(CONCATENATE($J1535,$Q1535)),MATCH(INDIRECT($R1535),INDIRECT(CONCATENATE($J1535,$S1535)),0),V1535))=FALSE),INDEX(INDIRECT(CONCATENATE($J1535,$Q1535)),MATCH(INDIRECT($R1535),INDIRECT(CONCATENATE($J1535,$S1535)),0),V1535),"")</f>
        <v/>
      </c>
      <c r="X1535" s="494" t="s">
        <v>1647</v>
      </c>
      <c r="Y1535" s="547" t="str">
        <f t="shared" ca="1" si="252"/>
        <v/>
      </c>
      <c r="Z1535" s="494" t="s">
        <v>1583</v>
      </c>
      <c r="AA1535" s="547" t="str">
        <f t="shared" ca="1" si="253"/>
        <v/>
      </c>
      <c r="AB1535" s="494" t="s">
        <v>173</v>
      </c>
      <c r="AC1535" s="547" t="str">
        <f t="shared" ca="1" si="254"/>
        <v/>
      </c>
      <c r="AD1535" s="557"/>
      <c r="AE1535" s="958"/>
    </row>
    <row r="1536" spans="1:31" ht="15" customHeight="1">
      <c r="A1536" s="957">
        <v>1</v>
      </c>
      <c r="B1536" s="566" t="s">
        <v>1251</v>
      </c>
      <c r="C1536" s="567" t="s">
        <v>1643</v>
      </c>
      <c r="D1536" s="958">
        <v>1.1000000000000001</v>
      </c>
      <c r="E1536" s="959" t="s">
        <v>306</v>
      </c>
      <c r="F1536" s="558" t="s">
        <v>1454</v>
      </c>
      <c r="G1536" s="558">
        <v>51</v>
      </c>
      <c r="H1536" s="558" t="s">
        <v>1123</v>
      </c>
      <c r="I1536" s="559" t="s">
        <v>1139</v>
      </c>
      <c r="J1536" s="567" t="s">
        <v>1644</v>
      </c>
      <c r="K1536" s="961" t="s">
        <v>1568</v>
      </c>
      <c r="L1536" s="555" t="str">
        <f t="shared" ca="1" si="249"/>
        <v/>
      </c>
      <c r="M1536" s="494" t="s">
        <v>1569</v>
      </c>
      <c r="N1536" s="555" t="str">
        <f t="shared" ca="1" si="250"/>
        <v/>
      </c>
      <c r="O1536" s="494" t="s">
        <v>1570</v>
      </c>
      <c r="P1536" s="555" t="str">
        <f t="shared" ca="1" si="251"/>
        <v/>
      </c>
      <c r="Q1536" s="494" t="s">
        <v>1645</v>
      </c>
      <c r="R1536" s="494" t="str">
        <f t="shared" si="258"/>
        <v>I1536</v>
      </c>
      <c r="S1536" s="494" t="s">
        <v>1646</v>
      </c>
      <c r="T1536" s="494">
        <v>6</v>
      </c>
      <c r="U1536" s="556" t="str">
        <f t="shared" ca="1" si="259"/>
        <v/>
      </c>
      <c r="V1536" s="494">
        <v>7</v>
      </c>
      <c r="W1536" s="556" t="str">
        <f t="shared" ca="1" si="260"/>
        <v/>
      </c>
      <c r="X1536" s="494" t="s">
        <v>1647</v>
      </c>
      <c r="Y1536" s="547" t="str">
        <f t="shared" ca="1" si="252"/>
        <v/>
      </c>
      <c r="Z1536" s="494" t="s">
        <v>1583</v>
      </c>
      <c r="AA1536" s="547" t="str">
        <f t="shared" ca="1" si="253"/>
        <v/>
      </c>
      <c r="AB1536" s="494" t="s">
        <v>173</v>
      </c>
      <c r="AC1536" s="547" t="str">
        <f t="shared" ca="1" si="254"/>
        <v/>
      </c>
      <c r="AD1536" s="557"/>
      <c r="AE1536" s="958"/>
    </row>
    <row r="1537" spans="1:31" ht="15" customHeight="1">
      <c r="A1537" s="957">
        <v>1</v>
      </c>
      <c r="B1537" s="566" t="s">
        <v>1251</v>
      </c>
      <c r="C1537" s="567" t="s">
        <v>1643</v>
      </c>
      <c r="D1537" s="958">
        <v>1.1000000000000001</v>
      </c>
      <c r="E1537" s="959" t="s">
        <v>306</v>
      </c>
      <c r="F1537" s="558" t="s">
        <v>1454</v>
      </c>
      <c r="G1537" s="558">
        <v>104</v>
      </c>
      <c r="H1537" s="558" t="s">
        <v>1124</v>
      </c>
      <c r="I1537" s="559" t="s">
        <v>1141</v>
      </c>
      <c r="J1537" s="567" t="s">
        <v>1644</v>
      </c>
      <c r="K1537" s="961" t="s">
        <v>1568</v>
      </c>
      <c r="L1537" s="555" t="str">
        <f t="shared" ca="1" si="249"/>
        <v/>
      </c>
      <c r="M1537" s="494" t="s">
        <v>1569</v>
      </c>
      <c r="N1537" s="555" t="str">
        <f t="shared" ca="1" si="250"/>
        <v/>
      </c>
      <c r="O1537" s="494" t="s">
        <v>1570</v>
      </c>
      <c r="P1537" s="555" t="str">
        <f t="shared" ca="1" si="251"/>
        <v/>
      </c>
      <c r="Q1537" s="494" t="s">
        <v>1645</v>
      </c>
      <c r="R1537" s="494" t="str">
        <f t="shared" si="258"/>
        <v>I1537</v>
      </c>
      <c r="S1537" s="494" t="s">
        <v>1646</v>
      </c>
      <c r="T1537" s="494">
        <v>6</v>
      </c>
      <c r="U1537" s="556" t="str">
        <f t="shared" ca="1" si="259"/>
        <v/>
      </c>
      <c r="V1537" s="494">
        <v>7</v>
      </c>
      <c r="W1537" s="556" t="str">
        <f t="shared" ca="1" si="260"/>
        <v/>
      </c>
      <c r="X1537" s="494" t="s">
        <v>1647</v>
      </c>
      <c r="Y1537" s="547" t="str">
        <f t="shared" ca="1" si="252"/>
        <v/>
      </c>
      <c r="Z1537" s="494" t="s">
        <v>1583</v>
      </c>
      <c r="AA1537" s="547" t="str">
        <f t="shared" ca="1" si="253"/>
        <v/>
      </c>
      <c r="AB1537" s="494" t="s">
        <v>173</v>
      </c>
      <c r="AC1537" s="547" t="str">
        <f t="shared" ca="1" si="254"/>
        <v/>
      </c>
      <c r="AD1537" s="557"/>
      <c r="AE1537" s="958"/>
    </row>
    <row r="1538" spans="1:31" ht="15" customHeight="1">
      <c r="A1538" s="957">
        <v>1</v>
      </c>
      <c r="B1538" s="566" t="s">
        <v>1251</v>
      </c>
      <c r="C1538" s="567" t="s">
        <v>1643</v>
      </c>
      <c r="D1538" s="958">
        <v>1.1000000000000001</v>
      </c>
      <c r="E1538" s="959" t="s">
        <v>306</v>
      </c>
      <c r="F1538" s="558" t="s">
        <v>1454</v>
      </c>
      <c r="G1538" s="558">
        <v>105</v>
      </c>
      <c r="H1538" s="558" t="s">
        <v>1125</v>
      </c>
      <c r="I1538" s="559" t="s">
        <v>1143</v>
      </c>
      <c r="J1538" s="567" t="s">
        <v>1644</v>
      </c>
      <c r="K1538" s="961" t="s">
        <v>1568</v>
      </c>
      <c r="L1538" s="555" t="str">
        <f t="shared" ref="L1538:L1601" ca="1" si="261">IF(AND(INDIRECT(CONCATENATE($J1538,$K1538,5))=$B1538,ISNUMBER(SEARCH("Please",INDIRECT(CONCATENATE($J1538,$K1538,2)),1))=FALSE),SUMPRODUCT(MID(0&amp;INDIRECT(CONCATENATE($J1538,$K1538,2)), LARGE(INDEX(ISNUMBER(--MID(INDIRECT(CONCATENATE($J1538,$K1538,2)), ROW(INDIRECT("1:"&amp;LEN(INDIRECT(CONCATENATE($J1538,$K1538,2))))),1))*ROW(INDIRECT("1:"&amp;LEN(INDIRECT(CONCATENATE($J1538,$K1538,2))))),0), ROW(INDIRECT("1:"&amp;LEN(INDIRECT(CONCATENATE($J1538,$K1538,2))))))+1,1)*10^ROW(INDIRECT("1:"&amp;LEN(INDIRECT(CONCATENATE($J1538,$K1538,2)))))/10),"")</f>
        <v/>
      </c>
      <c r="M1538" s="494" t="s">
        <v>1569</v>
      </c>
      <c r="N1538" s="555" t="str">
        <f t="shared" ref="N1538:N1601" ca="1" si="262">IF(AND(INDIRECT(CONCATENATE($J1538,$K1538,5))=$B1538,ISNUMBER(SEARCH("Select",INDIRECT(CONCATENATE($J1538,$M1538,6)),1))=FALSE),INDIRECT(CONCATENATE($J1538,$M1538,6)),"")</f>
        <v/>
      </c>
      <c r="O1538" s="494" t="s">
        <v>1570</v>
      </c>
      <c r="P1538" s="555" t="str">
        <f t="shared" ref="P1538:P1601" ca="1" si="263">IF(AND(INDIRECT(CONCATENATE($J1538,$K1538,5))=$B1538,ISNUMBER(SEARCH("Select",INDIRECT(CONCATENATE($J1538,$O1538,6)),1))=FALSE),INDIRECT(CONCATENATE($J1538,$O1538,6)),"")</f>
        <v/>
      </c>
      <c r="Q1538" s="494" t="s">
        <v>1645</v>
      </c>
      <c r="R1538" s="494" t="str">
        <f t="shared" si="258"/>
        <v>I1538</v>
      </c>
      <c r="S1538" s="494" t="s">
        <v>1646</v>
      </c>
      <c r="T1538" s="494">
        <v>6</v>
      </c>
      <c r="U1538" s="556" t="str">
        <f t="shared" ca="1" si="259"/>
        <v/>
      </c>
      <c r="V1538" s="494">
        <v>7</v>
      </c>
      <c r="W1538" s="556" t="str">
        <f t="shared" ca="1" si="260"/>
        <v/>
      </c>
      <c r="X1538" s="494" t="s">
        <v>1647</v>
      </c>
      <c r="Y1538" s="547" t="str">
        <f t="shared" ref="Y1538:Y1601" ca="1" si="264">IF(AND(INDIRECT(CONCATENATE($J1538,$K1538,5))=$B1538,ISBLANK(INDIRECT(CONCATENATE($J1538,X1538)))=FALSE),INDIRECT(CONCATENATE($J1538,X1538)),"")</f>
        <v/>
      </c>
      <c r="Z1538" s="494" t="s">
        <v>1583</v>
      </c>
      <c r="AA1538" s="547" t="str">
        <f t="shared" ref="AA1538:AA1601" ca="1" si="265">IF(AND(INDIRECT(CONCATENATE($J1538,$K1538,"5"))=$B1538,ISBLANK(INDIRECT(CONCATENATE($J1538,Z1538)))=FALSE),INDIRECT(CONCATENATE($J1538,Z1538)),"")</f>
        <v/>
      </c>
      <c r="AB1538" s="494" t="s">
        <v>173</v>
      </c>
      <c r="AC1538" s="547" t="str">
        <f t="shared" ref="AC1538:AC1601" ca="1" si="266">IF(AND(INDIRECT(CONCATENATE($J1538,$K1538,"5"))=$B1538,ISBLANK(INDIRECT(CONCATENATE($J1538,AB1538)))=FALSE),INDIRECT(CONCATENATE($J1538,AB1538)),"")</f>
        <v/>
      </c>
      <c r="AD1538" s="557"/>
      <c r="AE1538" s="958"/>
    </row>
    <row r="1539" spans="1:31" ht="15" customHeight="1">
      <c r="A1539" s="957">
        <v>1</v>
      </c>
      <c r="B1539" s="566" t="s">
        <v>1251</v>
      </c>
      <c r="C1539" s="567" t="s">
        <v>1643</v>
      </c>
      <c r="D1539" s="958">
        <v>1.1000000000000001</v>
      </c>
      <c r="E1539" s="959" t="s">
        <v>306</v>
      </c>
      <c r="F1539" s="558" t="s">
        <v>1454</v>
      </c>
      <c r="G1539" s="558">
        <v>58</v>
      </c>
      <c r="H1539" s="558" t="s">
        <v>1126</v>
      </c>
      <c r="I1539" s="559" t="s">
        <v>1657</v>
      </c>
      <c r="J1539" s="567" t="s">
        <v>1644</v>
      </c>
      <c r="K1539" s="961" t="s">
        <v>1568</v>
      </c>
      <c r="L1539" s="555" t="str">
        <f t="shared" ca="1" si="261"/>
        <v/>
      </c>
      <c r="M1539" s="494" t="s">
        <v>1569</v>
      </c>
      <c r="N1539" s="555" t="str">
        <f t="shared" ca="1" si="262"/>
        <v/>
      </c>
      <c r="O1539" s="494" t="s">
        <v>1570</v>
      </c>
      <c r="P1539" s="555" t="str">
        <f t="shared" ca="1" si="263"/>
        <v/>
      </c>
      <c r="Q1539" s="494" t="s">
        <v>1645</v>
      </c>
      <c r="R1539" s="494" t="str">
        <f t="shared" si="258"/>
        <v>I1539</v>
      </c>
      <c r="S1539" s="494" t="s">
        <v>1648</v>
      </c>
      <c r="T1539" s="494">
        <v>6</v>
      </c>
      <c r="U1539" s="556" t="str">
        <f t="shared" ca="1" si="259"/>
        <v/>
      </c>
      <c r="V1539" s="494">
        <v>7</v>
      </c>
      <c r="W1539" s="556" t="str">
        <f t="shared" ca="1" si="260"/>
        <v/>
      </c>
      <c r="X1539" s="494" t="s">
        <v>1647</v>
      </c>
      <c r="Y1539" s="547" t="str">
        <f t="shared" ca="1" si="264"/>
        <v/>
      </c>
      <c r="Z1539" s="494" t="s">
        <v>1583</v>
      </c>
      <c r="AA1539" s="547" t="str">
        <f t="shared" ca="1" si="265"/>
        <v/>
      </c>
      <c r="AB1539" s="494" t="s">
        <v>173</v>
      </c>
      <c r="AC1539" s="547" t="str">
        <f t="shared" ca="1" si="266"/>
        <v/>
      </c>
      <c r="AD1539" s="557"/>
      <c r="AE1539" s="958"/>
    </row>
    <row r="1540" spans="1:31" ht="15" customHeight="1">
      <c r="A1540" s="957">
        <v>1</v>
      </c>
      <c r="B1540" s="566" t="s">
        <v>1251</v>
      </c>
      <c r="C1540" s="567" t="s">
        <v>1643</v>
      </c>
      <c r="D1540" s="958">
        <v>1.1000000000000001</v>
      </c>
      <c r="E1540" s="959" t="s">
        <v>306</v>
      </c>
      <c r="F1540" s="558" t="s">
        <v>1454</v>
      </c>
      <c r="G1540" s="558">
        <v>58</v>
      </c>
      <c r="H1540" s="558" t="s">
        <v>1126</v>
      </c>
      <c r="I1540" s="559" t="s">
        <v>1658</v>
      </c>
      <c r="J1540" s="567" t="s">
        <v>1644</v>
      </c>
      <c r="K1540" s="961" t="s">
        <v>1568</v>
      </c>
      <c r="L1540" s="555" t="str">
        <f t="shared" ca="1" si="261"/>
        <v/>
      </c>
      <c r="M1540" s="494" t="s">
        <v>1569</v>
      </c>
      <c r="N1540" s="555" t="str">
        <f t="shared" ca="1" si="262"/>
        <v/>
      </c>
      <c r="O1540" s="494" t="s">
        <v>1570</v>
      </c>
      <c r="P1540" s="555" t="str">
        <f t="shared" ca="1" si="263"/>
        <v/>
      </c>
      <c r="Q1540" s="494" t="s">
        <v>1645</v>
      </c>
      <c r="R1540" s="494" t="str">
        <f t="shared" si="258"/>
        <v>I1540</v>
      </c>
      <c r="S1540" s="494" t="s">
        <v>1648</v>
      </c>
      <c r="T1540" s="494">
        <v>6</v>
      </c>
      <c r="U1540" s="556" t="str">
        <f t="shared" ca="1" si="259"/>
        <v/>
      </c>
      <c r="V1540" s="494">
        <v>7</v>
      </c>
      <c r="W1540" s="556" t="str">
        <f t="shared" ca="1" si="260"/>
        <v/>
      </c>
      <c r="X1540" s="494" t="s">
        <v>1647</v>
      </c>
      <c r="Y1540" s="547" t="str">
        <f t="shared" ca="1" si="264"/>
        <v/>
      </c>
      <c r="Z1540" s="494" t="s">
        <v>1583</v>
      </c>
      <c r="AA1540" s="547" t="str">
        <f t="shared" ca="1" si="265"/>
        <v/>
      </c>
      <c r="AB1540" s="494" t="s">
        <v>173</v>
      </c>
      <c r="AC1540" s="547" t="str">
        <f t="shared" ca="1" si="266"/>
        <v/>
      </c>
      <c r="AD1540" s="557"/>
      <c r="AE1540" s="958"/>
    </row>
    <row r="1541" spans="1:31" ht="15" customHeight="1">
      <c r="A1541" s="957">
        <v>1</v>
      </c>
      <c r="B1541" s="566" t="s">
        <v>1251</v>
      </c>
      <c r="C1541" s="567" t="s">
        <v>1643</v>
      </c>
      <c r="D1541" s="958">
        <v>1.1000000000000001</v>
      </c>
      <c r="E1541" s="959" t="s">
        <v>306</v>
      </c>
      <c r="F1541" s="558" t="s">
        <v>1454</v>
      </c>
      <c r="G1541" s="558">
        <v>60</v>
      </c>
      <c r="H1541" s="558" t="s">
        <v>1132</v>
      </c>
      <c r="I1541" s="559" t="s">
        <v>1659</v>
      </c>
      <c r="J1541" s="567" t="s">
        <v>1644</v>
      </c>
      <c r="K1541" s="961" t="s">
        <v>1568</v>
      </c>
      <c r="L1541" s="555" t="str">
        <f t="shared" ca="1" si="261"/>
        <v/>
      </c>
      <c r="M1541" s="494" t="s">
        <v>1569</v>
      </c>
      <c r="N1541" s="555" t="str">
        <f t="shared" ca="1" si="262"/>
        <v/>
      </c>
      <c r="O1541" s="494" t="s">
        <v>1570</v>
      </c>
      <c r="P1541" s="555" t="str">
        <f t="shared" ca="1" si="263"/>
        <v/>
      </c>
      <c r="Q1541" s="494" t="s">
        <v>1645</v>
      </c>
      <c r="R1541" s="494" t="str">
        <f t="shared" si="258"/>
        <v>I1541</v>
      </c>
      <c r="S1541" s="494" t="s">
        <v>1646</v>
      </c>
      <c r="T1541" s="494">
        <v>6</v>
      </c>
      <c r="U1541" s="556" t="str">
        <f t="shared" ca="1" si="259"/>
        <v/>
      </c>
      <c r="V1541" s="494">
        <v>7</v>
      </c>
      <c r="W1541" s="556" t="str">
        <f t="shared" ca="1" si="260"/>
        <v/>
      </c>
      <c r="X1541" s="494" t="s">
        <v>1647</v>
      </c>
      <c r="Y1541" s="547" t="str">
        <f t="shared" ca="1" si="264"/>
        <v/>
      </c>
      <c r="Z1541" s="494" t="s">
        <v>1583</v>
      </c>
      <c r="AA1541" s="547" t="str">
        <f t="shared" ca="1" si="265"/>
        <v/>
      </c>
      <c r="AB1541" s="494" t="s">
        <v>173</v>
      </c>
      <c r="AC1541" s="547" t="str">
        <f t="shared" ca="1" si="266"/>
        <v/>
      </c>
      <c r="AD1541" s="557"/>
      <c r="AE1541" s="958"/>
    </row>
    <row r="1542" spans="1:31" ht="15" customHeight="1">
      <c r="A1542" s="957">
        <v>1</v>
      </c>
      <c r="B1542" s="566" t="s">
        <v>1251</v>
      </c>
      <c r="C1542" s="567" t="s">
        <v>1643</v>
      </c>
      <c r="D1542" s="958">
        <v>1.1000000000000001</v>
      </c>
      <c r="E1542" s="959" t="s">
        <v>306</v>
      </c>
      <c r="F1542" s="558" t="s">
        <v>1454</v>
      </c>
      <c r="G1542" s="558">
        <v>109</v>
      </c>
      <c r="H1542" s="558" t="s">
        <v>1134</v>
      </c>
      <c r="I1542" s="559" t="s">
        <v>314</v>
      </c>
      <c r="J1542" s="567" t="s">
        <v>1644</v>
      </c>
      <c r="K1542" s="961" t="s">
        <v>1568</v>
      </c>
      <c r="L1542" s="555" t="str">
        <f t="shared" ca="1" si="261"/>
        <v/>
      </c>
      <c r="M1542" s="494" t="s">
        <v>1569</v>
      </c>
      <c r="N1542" s="555" t="str">
        <f t="shared" ca="1" si="262"/>
        <v/>
      </c>
      <c r="O1542" s="494" t="s">
        <v>1570</v>
      </c>
      <c r="P1542" s="555" t="str">
        <f t="shared" ca="1" si="263"/>
        <v/>
      </c>
      <c r="Q1542" s="494" t="s">
        <v>1645</v>
      </c>
      <c r="R1542" s="494" t="str">
        <f t="shared" ref="R1542:R1550" si="267">CONCATENATE("I",ROW(J1542))</f>
        <v>I1542</v>
      </c>
      <c r="S1542" s="494" t="s">
        <v>1646</v>
      </c>
      <c r="T1542" s="494">
        <v>6</v>
      </c>
      <c r="U1542" s="556" t="str">
        <f t="shared" ca="1" si="259"/>
        <v/>
      </c>
      <c r="V1542" s="494">
        <v>7</v>
      </c>
      <c r="W1542" s="556" t="str">
        <f t="shared" ca="1" si="260"/>
        <v/>
      </c>
      <c r="X1542" s="494" t="s">
        <v>1647</v>
      </c>
      <c r="Y1542" s="547" t="str">
        <f t="shared" ca="1" si="264"/>
        <v/>
      </c>
      <c r="Z1542" s="494" t="s">
        <v>1583</v>
      </c>
      <c r="AA1542" s="547" t="str">
        <f t="shared" ca="1" si="265"/>
        <v/>
      </c>
      <c r="AB1542" s="494" t="s">
        <v>173</v>
      </c>
      <c r="AC1542" s="547" t="str">
        <f t="shared" ca="1" si="266"/>
        <v/>
      </c>
      <c r="AD1542" s="557"/>
      <c r="AE1542" s="958"/>
    </row>
    <row r="1543" spans="1:31" ht="15" customHeight="1">
      <c r="A1543" s="957">
        <v>1</v>
      </c>
      <c r="B1543" s="566" t="s">
        <v>1251</v>
      </c>
      <c r="C1543" s="567" t="s">
        <v>1643</v>
      </c>
      <c r="D1543" s="958">
        <v>1.1000000000000001</v>
      </c>
      <c r="E1543" s="959" t="s">
        <v>306</v>
      </c>
      <c r="F1543" s="558" t="s">
        <v>1454</v>
      </c>
      <c r="G1543" s="558">
        <v>110</v>
      </c>
      <c r="H1543" s="558" t="s">
        <v>1136</v>
      </c>
      <c r="I1543" s="559" t="s">
        <v>1128</v>
      </c>
      <c r="J1543" s="567" t="s">
        <v>1644</v>
      </c>
      <c r="K1543" s="961" t="s">
        <v>1568</v>
      </c>
      <c r="L1543" s="555" t="str">
        <f t="shared" ca="1" si="261"/>
        <v/>
      </c>
      <c r="M1543" s="494" t="s">
        <v>1569</v>
      </c>
      <c r="N1543" s="555" t="str">
        <f t="shared" ca="1" si="262"/>
        <v/>
      </c>
      <c r="O1543" s="494" t="s">
        <v>1570</v>
      </c>
      <c r="P1543" s="555" t="str">
        <f t="shared" ca="1" si="263"/>
        <v/>
      </c>
      <c r="Q1543" s="494" t="s">
        <v>1645</v>
      </c>
      <c r="R1543" s="494" t="str">
        <f t="shared" si="267"/>
        <v>I1543</v>
      </c>
      <c r="S1543" s="494" t="s">
        <v>1648</v>
      </c>
      <c r="T1543" s="494">
        <v>6</v>
      </c>
      <c r="U1543" s="556" t="str">
        <f t="shared" ca="1" si="259"/>
        <v/>
      </c>
      <c r="V1543" s="494">
        <v>7</v>
      </c>
      <c r="W1543" s="556" t="str">
        <f t="shared" ca="1" si="260"/>
        <v/>
      </c>
      <c r="X1543" s="494" t="s">
        <v>1647</v>
      </c>
      <c r="Y1543" s="547" t="str">
        <f t="shared" ca="1" si="264"/>
        <v/>
      </c>
      <c r="Z1543" s="494" t="s">
        <v>1583</v>
      </c>
      <c r="AA1543" s="547" t="str">
        <f t="shared" ca="1" si="265"/>
        <v/>
      </c>
      <c r="AB1543" s="494" t="s">
        <v>173</v>
      </c>
      <c r="AC1543" s="547" t="str">
        <f t="shared" ca="1" si="266"/>
        <v/>
      </c>
      <c r="AD1543" s="557"/>
      <c r="AE1543" s="958"/>
    </row>
    <row r="1544" spans="1:31" ht="15" customHeight="1">
      <c r="A1544" s="957">
        <v>1</v>
      </c>
      <c r="B1544" s="566" t="s">
        <v>1251</v>
      </c>
      <c r="C1544" s="567" t="s">
        <v>1643</v>
      </c>
      <c r="D1544" s="958">
        <v>1.1000000000000001</v>
      </c>
      <c r="E1544" s="959" t="s">
        <v>306</v>
      </c>
      <c r="F1544" s="558" t="s">
        <v>1454</v>
      </c>
      <c r="G1544" s="558">
        <v>110</v>
      </c>
      <c r="H1544" s="558" t="s">
        <v>1136</v>
      </c>
      <c r="I1544" s="559" t="s">
        <v>1129</v>
      </c>
      <c r="J1544" s="567" t="s">
        <v>1644</v>
      </c>
      <c r="K1544" s="961" t="s">
        <v>1568</v>
      </c>
      <c r="L1544" s="555" t="str">
        <f t="shared" ca="1" si="261"/>
        <v/>
      </c>
      <c r="M1544" s="494" t="s">
        <v>1569</v>
      </c>
      <c r="N1544" s="555" t="str">
        <f t="shared" ca="1" si="262"/>
        <v/>
      </c>
      <c r="O1544" s="494" t="s">
        <v>1570</v>
      </c>
      <c r="P1544" s="555" t="str">
        <f t="shared" ca="1" si="263"/>
        <v/>
      </c>
      <c r="Q1544" s="494" t="s">
        <v>1645</v>
      </c>
      <c r="R1544" s="494" t="str">
        <f t="shared" si="267"/>
        <v>I1544</v>
      </c>
      <c r="S1544" s="494" t="s">
        <v>1648</v>
      </c>
      <c r="T1544" s="494">
        <v>6</v>
      </c>
      <c r="U1544" s="556" t="str">
        <f t="shared" ca="1" si="259"/>
        <v/>
      </c>
      <c r="V1544" s="494">
        <v>7</v>
      </c>
      <c r="W1544" s="556" t="str">
        <f t="shared" ca="1" si="260"/>
        <v/>
      </c>
      <c r="X1544" s="494" t="s">
        <v>1647</v>
      </c>
      <c r="Y1544" s="547" t="str">
        <f t="shared" ca="1" si="264"/>
        <v/>
      </c>
      <c r="Z1544" s="494" t="s">
        <v>1583</v>
      </c>
      <c r="AA1544" s="547" t="str">
        <f t="shared" ca="1" si="265"/>
        <v/>
      </c>
      <c r="AB1544" s="494" t="s">
        <v>173</v>
      </c>
      <c r="AC1544" s="547" t="str">
        <f t="shared" ca="1" si="266"/>
        <v/>
      </c>
      <c r="AD1544" s="557"/>
      <c r="AE1544" s="958"/>
    </row>
    <row r="1545" spans="1:31" ht="15" customHeight="1">
      <c r="A1545" s="957">
        <v>1</v>
      </c>
      <c r="B1545" s="566" t="s">
        <v>1251</v>
      </c>
      <c r="C1545" s="567" t="s">
        <v>1643</v>
      </c>
      <c r="D1545" s="958">
        <v>1.1000000000000001</v>
      </c>
      <c r="E1545" s="959" t="s">
        <v>306</v>
      </c>
      <c r="F1545" s="558" t="s">
        <v>1454</v>
      </c>
      <c r="G1545" s="558">
        <v>110</v>
      </c>
      <c r="H1545" s="558" t="s">
        <v>1136</v>
      </c>
      <c r="I1545" s="559" t="s">
        <v>1260</v>
      </c>
      <c r="J1545" s="567" t="s">
        <v>1644</v>
      </c>
      <c r="K1545" s="961" t="s">
        <v>1568</v>
      </c>
      <c r="L1545" s="555" t="str">
        <f t="shared" ca="1" si="261"/>
        <v/>
      </c>
      <c r="M1545" s="494" t="s">
        <v>1569</v>
      </c>
      <c r="N1545" s="555" t="str">
        <f t="shared" ca="1" si="262"/>
        <v/>
      </c>
      <c r="O1545" s="494" t="s">
        <v>1570</v>
      </c>
      <c r="P1545" s="555" t="str">
        <f t="shared" ca="1" si="263"/>
        <v/>
      </c>
      <c r="Q1545" s="494" t="s">
        <v>1645</v>
      </c>
      <c r="R1545" s="494" t="str">
        <f t="shared" si="267"/>
        <v>I1545</v>
      </c>
      <c r="S1545" s="494" t="s">
        <v>1648</v>
      </c>
      <c r="T1545" s="494">
        <v>6</v>
      </c>
      <c r="U1545" s="556" t="str">
        <f t="shared" ca="1" si="259"/>
        <v/>
      </c>
      <c r="V1545" s="494">
        <v>7</v>
      </c>
      <c r="W1545" s="556" t="str">
        <f t="shared" ca="1" si="260"/>
        <v/>
      </c>
      <c r="X1545" s="494" t="s">
        <v>1647</v>
      </c>
      <c r="Y1545" s="547" t="str">
        <f t="shared" ca="1" si="264"/>
        <v/>
      </c>
      <c r="Z1545" s="494" t="s">
        <v>1583</v>
      </c>
      <c r="AA1545" s="547" t="str">
        <f t="shared" ca="1" si="265"/>
        <v/>
      </c>
      <c r="AB1545" s="494" t="s">
        <v>173</v>
      </c>
      <c r="AC1545" s="547" t="str">
        <f t="shared" ca="1" si="266"/>
        <v/>
      </c>
      <c r="AD1545" s="557"/>
      <c r="AE1545" s="958"/>
    </row>
    <row r="1546" spans="1:31" ht="15" customHeight="1">
      <c r="A1546" s="957">
        <v>1</v>
      </c>
      <c r="B1546" s="566" t="s">
        <v>1251</v>
      </c>
      <c r="C1546" s="567" t="s">
        <v>1643</v>
      </c>
      <c r="D1546" s="958">
        <v>1.1000000000000001</v>
      </c>
      <c r="E1546" s="959" t="s">
        <v>306</v>
      </c>
      <c r="F1546" s="558" t="s">
        <v>1454</v>
      </c>
      <c r="G1546" s="558">
        <v>110</v>
      </c>
      <c r="H1546" s="558" t="s">
        <v>1136</v>
      </c>
      <c r="I1546" s="559" t="s">
        <v>1660</v>
      </c>
      <c r="J1546" s="567" t="s">
        <v>1644</v>
      </c>
      <c r="K1546" s="961" t="s">
        <v>1568</v>
      </c>
      <c r="L1546" s="555" t="str">
        <f t="shared" ca="1" si="261"/>
        <v/>
      </c>
      <c r="M1546" s="494" t="s">
        <v>1569</v>
      </c>
      <c r="N1546" s="555" t="str">
        <f t="shared" ca="1" si="262"/>
        <v/>
      </c>
      <c r="O1546" s="494" t="s">
        <v>1570</v>
      </c>
      <c r="P1546" s="555" t="str">
        <f t="shared" ca="1" si="263"/>
        <v/>
      </c>
      <c r="Q1546" s="494" t="s">
        <v>1645</v>
      </c>
      <c r="R1546" s="494" t="str">
        <f t="shared" si="267"/>
        <v>I1546</v>
      </c>
      <c r="S1546" s="494" t="s">
        <v>1648</v>
      </c>
      <c r="T1546" s="494">
        <v>6</v>
      </c>
      <c r="U1546" s="556" t="str">
        <f t="shared" ca="1" si="259"/>
        <v/>
      </c>
      <c r="V1546" s="494">
        <v>7</v>
      </c>
      <c r="W1546" s="556" t="str">
        <f t="shared" ca="1" si="260"/>
        <v/>
      </c>
      <c r="X1546" s="494" t="s">
        <v>1647</v>
      </c>
      <c r="Y1546" s="547" t="str">
        <f t="shared" ca="1" si="264"/>
        <v/>
      </c>
      <c r="Z1546" s="494" t="s">
        <v>1583</v>
      </c>
      <c r="AA1546" s="547" t="str">
        <f t="shared" ca="1" si="265"/>
        <v/>
      </c>
      <c r="AB1546" s="494" t="s">
        <v>173</v>
      </c>
      <c r="AC1546" s="547" t="str">
        <f t="shared" ca="1" si="266"/>
        <v/>
      </c>
      <c r="AD1546" s="557"/>
      <c r="AE1546" s="958"/>
    </row>
    <row r="1547" spans="1:31" ht="15" customHeight="1">
      <c r="A1547" s="957">
        <v>1</v>
      </c>
      <c r="B1547" s="566" t="s">
        <v>1251</v>
      </c>
      <c r="C1547" s="567" t="s">
        <v>1643</v>
      </c>
      <c r="D1547" s="958">
        <v>1.1000000000000001</v>
      </c>
      <c r="E1547" s="959" t="s">
        <v>306</v>
      </c>
      <c r="F1547" s="558" t="s">
        <v>1454</v>
      </c>
      <c r="G1547" s="558">
        <v>111</v>
      </c>
      <c r="H1547" s="558" t="s">
        <v>1138</v>
      </c>
      <c r="I1547" s="559" t="s">
        <v>1133</v>
      </c>
      <c r="J1547" s="567" t="s">
        <v>1644</v>
      </c>
      <c r="K1547" s="961" t="s">
        <v>1568</v>
      </c>
      <c r="L1547" s="555" t="str">
        <f t="shared" ca="1" si="261"/>
        <v/>
      </c>
      <c r="M1547" s="494" t="s">
        <v>1569</v>
      </c>
      <c r="N1547" s="555" t="str">
        <f t="shared" ca="1" si="262"/>
        <v/>
      </c>
      <c r="O1547" s="494" t="s">
        <v>1570</v>
      </c>
      <c r="P1547" s="555" t="str">
        <f t="shared" ca="1" si="263"/>
        <v/>
      </c>
      <c r="Q1547" s="494" t="s">
        <v>1645</v>
      </c>
      <c r="R1547" s="494" t="str">
        <f t="shared" si="267"/>
        <v>I1547</v>
      </c>
      <c r="S1547" s="494" t="s">
        <v>1646</v>
      </c>
      <c r="T1547" s="494">
        <v>6</v>
      </c>
      <c r="U1547" s="556" t="str">
        <f t="shared" ca="1" si="259"/>
        <v/>
      </c>
      <c r="V1547" s="494">
        <v>7</v>
      </c>
      <c r="W1547" s="556" t="str">
        <f t="shared" ca="1" si="260"/>
        <v/>
      </c>
      <c r="X1547" s="494" t="s">
        <v>1647</v>
      </c>
      <c r="Y1547" s="547" t="str">
        <f t="shared" ca="1" si="264"/>
        <v/>
      </c>
      <c r="Z1547" s="494" t="s">
        <v>1583</v>
      </c>
      <c r="AA1547" s="547" t="str">
        <f t="shared" ca="1" si="265"/>
        <v/>
      </c>
      <c r="AB1547" s="494" t="s">
        <v>173</v>
      </c>
      <c r="AC1547" s="547" t="str">
        <f t="shared" ca="1" si="266"/>
        <v/>
      </c>
      <c r="AD1547" s="557"/>
      <c r="AE1547" s="958"/>
    </row>
    <row r="1548" spans="1:31" ht="15" customHeight="1">
      <c r="A1548" s="957">
        <v>1</v>
      </c>
      <c r="B1548" s="566" t="s">
        <v>1251</v>
      </c>
      <c r="C1548" s="567" t="s">
        <v>1643</v>
      </c>
      <c r="D1548" s="958">
        <v>1.1000000000000001</v>
      </c>
      <c r="E1548" s="959" t="s">
        <v>306</v>
      </c>
      <c r="F1548" s="558" t="s">
        <v>1454</v>
      </c>
      <c r="G1548" s="558">
        <v>72</v>
      </c>
      <c r="H1548" s="558" t="s">
        <v>1140</v>
      </c>
      <c r="I1548" s="559" t="s">
        <v>1661</v>
      </c>
      <c r="J1548" s="567" t="s">
        <v>1644</v>
      </c>
      <c r="K1548" s="961" t="s">
        <v>1568</v>
      </c>
      <c r="L1548" s="555" t="str">
        <f t="shared" ca="1" si="261"/>
        <v/>
      </c>
      <c r="M1548" s="494" t="s">
        <v>1569</v>
      </c>
      <c r="N1548" s="555" t="str">
        <f t="shared" ca="1" si="262"/>
        <v/>
      </c>
      <c r="O1548" s="494" t="s">
        <v>1570</v>
      </c>
      <c r="P1548" s="555" t="str">
        <f t="shared" ca="1" si="263"/>
        <v/>
      </c>
      <c r="Q1548" s="494" t="s">
        <v>1645</v>
      </c>
      <c r="R1548" s="494" t="str">
        <f t="shared" si="267"/>
        <v>I1548</v>
      </c>
      <c r="S1548" s="494" t="s">
        <v>1646</v>
      </c>
      <c r="T1548" s="494">
        <v>6</v>
      </c>
      <c r="U1548" s="556" t="str">
        <f t="shared" ca="1" si="259"/>
        <v/>
      </c>
      <c r="V1548" s="494">
        <v>7</v>
      </c>
      <c r="W1548" s="556" t="str">
        <f t="shared" ca="1" si="260"/>
        <v/>
      </c>
      <c r="X1548" s="494" t="s">
        <v>1647</v>
      </c>
      <c r="Y1548" s="547" t="str">
        <f t="shared" ca="1" si="264"/>
        <v/>
      </c>
      <c r="Z1548" s="494" t="s">
        <v>1583</v>
      </c>
      <c r="AA1548" s="547" t="str">
        <f t="shared" ca="1" si="265"/>
        <v/>
      </c>
      <c r="AB1548" s="494" t="s">
        <v>173</v>
      </c>
      <c r="AC1548" s="547" t="str">
        <f t="shared" ca="1" si="266"/>
        <v/>
      </c>
      <c r="AD1548" s="557"/>
      <c r="AE1548" s="958"/>
    </row>
    <row r="1549" spans="1:31" ht="15" customHeight="1">
      <c r="A1549" s="957">
        <v>1</v>
      </c>
      <c r="B1549" s="566" t="s">
        <v>1251</v>
      </c>
      <c r="C1549" s="567" t="s">
        <v>1643</v>
      </c>
      <c r="D1549" s="958">
        <v>1.1000000000000001</v>
      </c>
      <c r="E1549" s="959" t="s">
        <v>306</v>
      </c>
      <c r="F1549" s="558" t="s">
        <v>1454</v>
      </c>
      <c r="G1549" s="558">
        <v>75</v>
      </c>
      <c r="H1549" s="558" t="s">
        <v>1142</v>
      </c>
      <c r="I1549" s="559" t="s">
        <v>1662</v>
      </c>
      <c r="J1549" s="567" t="s">
        <v>1644</v>
      </c>
      <c r="K1549" s="961" t="s">
        <v>1568</v>
      </c>
      <c r="L1549" s="555" t="str">
        <f t="shared" ca="1" si="261"/>
        <v/>
      </c>
      <c r="M1549" s="494" t="s">
        <v>1569</v>
      </c>
      <c r="N1549" s="555" t="str">
        <f t="shared" ca="1" si="262"/>
        <v/>
      </c>
      <c r="O1549" s="494" t="s">
        <v>1570</v>
      </c>
      <c r="P1549" s="555" t="str">
        <f t="shared" ca="1" si="263"/>
        <v/>
      </c>
      <c r="Q1549" s="494" t="s">
        <v>1645</v>
      </c>
      <c r="R1549" s="494" t="str">
        <f t="shared" si="267"/>
        <v>I1549</v>
      </c>
      <c r="S1549" s="494" t="s">
        <v>1646</v>
      </c>
      <c r="T1549" s="494">
        <v>6</v>
      </c>
      <c r="U1549" s="556" t="str">
        <f t="shared" ca="1" si="259"/>
        <v/>
      </c>
      <c r="V1549" s="494">
        <v>7</v>
      </c>
      <c r="W1549" s="556" t="str">
        <f t="shared" ca="1" si="260"/>
        <v/>
      </c>
      <c r="X1549" s="494" t="s">
        <v>1647</v>
      </c>
      <c r="Y1549" s="547" t="str">
        <f t="shared" ca="1" si="264"/>
        <v/>
      </c>
      <c r="Z1549" s="494" t="s">
        <v>1583</v>
      </c>
      <c r="AA1549" s="547" t="str">
        <f t="shared" ca="1" si="265"/>
        <v/>
      </c>
      <c r="AB1549" s="494" t="s">
        <v>173</v>
      </c>
      <c r="AC1549" s="547" t="str">
        <f t="shared" ca="1" si="266"/>
        <v/>
      </c>
      <c r="AD1549" s="557"/>
      <c r="AE1549" s="958"/>
    </row>
    <row r="1550" spans="1:31" ht="15" customHeight="1">
      <c r="A1550" s="957">
        <v>1</v>
      </c>
      <c r="B1550" s="566" t="s">
        <v>1251</v>
      </c>
      <c r="C1550" s="567" t="s">
        <v>1643</v>
      </c>
      <c r="D1550" s="958">
        <v>1.1000000000000001</v>
      </c>
      <c r="E1550" s="959" t="s">
        <v>306</v>
      </c>
      <c r="F1550" s="558" t="s">
        <v>1454</v>
      </c>
      <c r="G1550" s="558">
        <v>77</v>
      </c>
      <c r="H1550" s="558" t="s">
        <v>1144</v>
      </c>
      <c r="I1550" s="559" t="s">
        <v>556</v>
      </c>
      <c r="J1550" s="567" t="s">
        <v>1644</v>
      </c>
      <c r="K1550" s="961" t="s">
        <v>1568</v>
      </c>
      <c r="L1550" s="555" t="str">
        <f t="shared" ca="1" si="261"/>
        <v/>
      </c>
      <c r="M1550" s="494" t="s">
        <v>1569</v>
      </c>
      <c r="N1550" s="555" t="str">
        <f t="shared" ca="1" si="262"/>
        <v/>
      </c>
      <c r="O1550" s="494" t="s">
        <v>1570</v>
      </c>
      <c r="P1550" s="555" t="str">
        <f t="shared" ca="1" si="263"/>
        <v/>
      </c>
      <c r="Q1550" s="494" t="s">
        <v>1645</v>
      </c>
      <c r="R1550" s="494" t="str">
        <f t="shared" si="267"/>
        <v>I1550</v>
      </c>
      <c r="S1550" s="494" t="s">
        <v>1646</v>
      </c>
      <c r="T1550" s="494">
        <v>6</v>
      </c>
      <c r="U1550" s="556" t="str">
        <f t="shared" ca="1" si="259"/>
        <v/>
      </c>
      <c r="V1550" s="494">
        <v>7</v>
      </c>
      <c r="W1550" s="556" t="str">
        <f t="shared" ca="1" si="260"/>
        <v/>
      </c>
      <c r="X1550" s="494" t="s">
        <v>1647</v>
      </c>
      <c r="Y1550" s="547" t="str">
        <f t="shared" ca="1" si="264"/>
        <v/>
      </c>
      <c r="Z1550" s="494" t="s">
        <v>1583</v>
      </c>
      <c r="AA1550" s="547" t="str">
        <f t="shared" ca="1" si="265"/>
        <v/>
      </c>
      <c r="AB1550" s="494" t="s">
        <v>173</v>
      </c>
      <c r="AC1550" s="547" t="str">
        <f t="shared" ca="1" si="266"/>
        <v/>
      </c>
      <c r="AD1550" s="557"/>
      <c r="AE1550" s="958"/>
    </row>
    <row r="1551" spans="1:31" ht="15" customHeight="1">
      <c r="A1551" s="957">
        <v>1</v>
      </c>
      <c r="B1551" s="566" t="s">
        <v>1251</v>
      </c>
      <c r="C1551" s="567" t="s">
        <v>1643</v>
      </c>
      <c r="D1551" s="958">
        <v>1.1000000000000001</v>
      </c>
      <c r="E1551" s="959" t="s">
        <v>335</v>
      </c>
      <c r="F1551" s="558" t="s">
        <v>1455</v>
      </c>
      <c r="G1551" s="558">
        <v>79</v>
      </c>
      <c r="H1551" s="558" t="s">
        <v>1153</v>
      </c>
      <c r="I1551" s="559" t="s">
        <v>1663</v>
      </c>
      <c r="J1551" s="567" t="s">
        <v>1644</v>
      </c>
      <c r="K1551" s="961" t="s">
        <v>1568</v>
      </c>
      <c r="L1551" s="555" t="str">
        <f t="shared" ca="1" si="261"/>
        <v/>
      </c>
      <c r="M1551" s="494" t="s">
        <v>1569</v>
      </c>
      <c r="N1551" s="555" t="str">
        <f t="shared" ca="1" si="262"/>
        <v/>
      </c>
      <c r="O1551" s="494" t="s">
        <v>1570</v>
      </c>
      <c r="P1551" s="555" t="str">
        <f t="shared" ca="1" si="263"/>
        <v/>
      </c>
      <c r="Q1551" s="494" t="s">
        <v>1645</v>
      </c>
      <c r="R1551" s="494" t="str">
        <f t="shared" si="258"/>
        <v>I1551</v>
      </c>
      <c r="S1551" s="494" t="s">
        <v>1646</v>
      </c>
      <c r="T1551" s="494">
        <v>6</v>
      </c>
      <c r="U1551" s="556" t="str">
        <f t="shared" ca="1" si="259"/>
        <v/>
      </c>
      <c r="V1551" s="494">
        <v>7</v>
      </c>
      <c r="W1551" s="556" t="str">
        <f t="shared" ca="1" si="260"/>
        <v/>
      </c>
      <c r="X1551" s="494" t="s">
        <v>1647</v>
      </c>
      <c r="Y1551" s="547" t="str">
        <f t="shared" ca="1" si="264"/>
        <v/>
      </c>
      <c r="Z1551" s="494" t="s">
        <v>1583</v>
      </c>
      <c r="AA1551" s="547" t="str">
        <f t="shared" ca="1" si="265"/>
        <v/>
      </c>
      <c r="AB1551" s="494" t="s">
        <v>173</v>
      </c>
      <c r="AC1551" s="547" t="str">
        <f t="shared" ca="1" si="266"/>
        <v/>
      </c>
      <c r="AD1551" s="557"/>
      <c r="AE1551" s="958"/>
    </row>
    <row r="1552" spans="1:31" ht="15" customHeight="1">
      <c r="A1552" s="957">
        <v>1</v>
      </c>
      <c r="B1552" s="566" t="s">
        <v>1251</v>
      </c>
      <c r="C1552" s="567" t="s">
        <v>1643</v>
      </c>
      <c r="D1552" s="958">
        <v>1.1000000000000001</v>
      </c>
      <c r="E1552" s="959" t="s">
        <v>335</v>
      </c>
      <c r="F1552" s="558" t="s">
        <v>1455</v>
      </c>
      <c r="G1552" s="558">
        <v>32</v>
      </c>
      <c r="H1552" s="558" t="s">
        <v>1154</v>
      </c>
      <c r="I1552" s="559" t="s">
        <v>1664</v>
      </c>
      <c r="J1552" s="567" t="s">
        <v>1644</v>
      </c>
      <c r="K1552" s="961" t="s">
        <v>1568</v>
      </c>
      <c r="L1552" s="555" t="str">
        <f t="shared" ca="1" si="261"/>
        <v/>
      </c>
      <c r="M1552" s="494" t="s">
        <v>1569</v>
      </c>
      <c r="N1552" s="555" t="str">
        <f t="shared" ca="1" si="262"/>
        <v/>
      </c>
      <c r="O1552" s="494" t="s">
        <v>1570</v>
      </c>
      <c r="P1552" s="555" t="str">
        <f t="shared" ca="1" si="263"/>
        <v/>
      </c>
      <c r="Q1552" s="494" t="s">
        <v>1645</v>
      </c>
      <c r="R1552" s="494" t="str">
        <f t="shared" si="258"/>
        <v>I1552</v>
      </c>
      <c r="S1552" s="494" t="s">
        <v>1646</v>
      </c>
      <c r="T1552" s="494">
        <v>6</v>
      </c>
      <c r="U1552" s="556" t="str">
        <f t="shared" ca="1" si="259"/>
        <v/>
      </c>
      <c r="V1552" s="494">
        <v>7</v>
      </c>
      <c r="W1552" s="556" t="str">
        <f t="shared" ca="1" si="260"/>
        <v/>
      </c>
      <c r="X1552" s="494" t="s">
        <v>1647</v>
      </c>
      <c r="Y1552" s="547" t="str">
        <f t="shared" ca="1" si="264"/>
        <v/>
      </c>
      <c r="Z1552" s="494" t="s">
        <v>1583</v>
      </c>
      <c r="AA1552" s="547" t="str">
        <f t="shared" ca="1" si="265"/>
        <v/>
      </c>
      <c r="AB1552" s="494" t="s">
        <v>173</v>
      </c>
      <c r="AC1552" s="547" t="str">
        <f t="shared" ca="1" si="266"/>
        <v/>
      </c>
      <c r="AD1552" s="557"/>
      <c r="AE1552" s="958"/>
    </row>
    <row r="1553" spans="1:31" ht="15" customHeight="1">
      <c r="A1553" s="957">
        <v>1</v>
      </c>
      <c r="B1553" s="566" t="s">
        <v>1251</v>
      </c>
      <c r="C1553" s="567" t="s">
        <v>1643</v>
      </c>
      <c r="D1553" s="958">
        <v>1.1000000000000001</v>
      </c>
      <c r="E1553" s="959" t="s">
        <v>335</v>
      </c>
      <c r="F1553" s="558" t="s">
        <v>1455</v>
      </c>
      <c r="G1553" s="558">
        <v>36</v>
      </c>
      <c r="H1553" s="558" t="s">
        <v>1156</v>
      </c>
      <c r="I1553" s="559" t="s">
        <v>1665</v>
      </c>
      <c r="J1553" s="567" t="s">
        <v>1644</v>
      </c>
      <c r="K1553" s="961" t="s">
        <v>1568</v>
      </c>
      <c r="L1553" s="555" t="str">
        <f t="shared" ca="1" si="261"/>
        <v/>
      </c>
      <c r="M1553" s="494" t="s">
        <v>1569</v>
      </c>
      <c r="N1553" s="555" t="str">
        <f t="shared" ca="1" si="262"/>
        <v/>
      </c>
      <c r="O1553" s="494" t="s">
        <v>1570</v>
      </c>
      <c r="P1553" s="555" t="str">
        <f t="shared" ca="1" si="263"/>
        <v/>
      </c>
      <c r="Q1553" s="494" t="s">
        <v>1645</v>
      </c>
      <c r="R1553" s="494" t="str">
        <f t="shared" si="258"/>
        <v>I1553</v>
      </c>
      <c r="S1553" s="494" t="s">
        <v>1648</v>
      </c>
      <c r="T1553" s="494">
        <v>6</v>
      </c>
      <c r="U1553" s="556" t="str">
        <f t="shared" ca="1" si="259"/>
        <v/>
      </c>
      <c r="V1553" s="494">
        <v>7</v>
      </c>
      <c r="W1553" s="556" t="str">
        <f t="shared" ca="1" si="260"/>
        <v/>
      </c>
      <c r="X1553" s="494" t="s">
        <v>1647</v>
      </c>
      <c r="Y1553" s="547" t="str">
        <f t="shared" ca="1" si="264"/>
        <v/>
      </c>
      <c r="Z1553" s="494" t="s">
        <v>1583</v>
      </c>
      <c r="AA1553" s="547" t="str">
        <f t="shared" ca="1" si="265"/>
        <v/>
      </c>
      <c r="AB1553" s="494" t="s">
        <v>173</v>
      </c>
      <c r="AC1553" s="547" t="str">
        <f t="shared" ca="1" si="266"/>
        <v/>
      </c>
      <c r="AD1553" s="557"/>
      <c r="AE1553" s="958"/>
    </row>
    <row r="1554" spans="1:31" ht="15" customHeight="1">
      <c r="A1554" s="957">
        <v>1</v>
      </c>
      <c r="B1554" s="566" t="s">
        <v>1251</v>
      </c>
      <c r="C1554" s="567" t="s">
        <v>1643</v>
      </c>
      <c r="D1554" s="958">
        <v>1.1000000000000001</v>
      </c>
      <c r="E1554" s="959" t="s">
        <v>335</v>
      </c>
      <c r="F1554" s="558" t="s">
        <v>1455</v>
      </c>
      <c r="G1554" s="558">
        <v>36</v>
      </c>
      <c r="H1554" s="558" t="s">
        <v>1156</v>
      </c>
      <c r="I1554" s="559" t="s">
        <v>1666</v>
      </c>
      <c r="J1554" s="567" t="s">
        <v>1644</v>
      </c>
      <c r="K1554" s="961" t="s">
        <v>1568</v>
      </c>
      <c r="L1554" s="555" t="str">
        <f t="shared" ca="1" si="261"/>
        <v/>
      </c>
      <c r="M1554" s="494" t="s">
        <v>1569</v>
      </c>
      <c r="N1554" s="555" t="str">
        <f t="shared" ca="1" si="262"/>
        <v/>
      </c>
      <c r="O1554" s="494" t="s">
        <v>1570</v>
      </c>
      <c r="P1554" s="555" t="str">
        <f t="shared" ca="1" si="263"/>
        <v/>
      </c>
      <c r="Q1554" s="494" t="s">
        <v>1645</v>
      </c>
      <c r="R1554" s="494" t="str">
        <f t="shared" si="258"/>
        <v>I1554</v>
      </c>
      <c r="S1554" s="494" t="s">
        <v>1648</v>
      </c>
      <c r="T1554" s="494">
        <v>6</v>
      </c>
      <c r="U1554" s="556" t="str">
        <f t="shared" ca="1" si="259"/>
        <v/>
      </c>
      <c r="V1554" s="494">
        <v>7</v>
      </c>
      <c r="W1554" s="556" t="str">
        <f t="shared" ca="1" si="260"/>
        <v/>
      </c>
      <c r="X1554" s="494" t="s">
        <v>1647</v>
      </c>
      <c r="Y1554" s="547" t="str">
        <f t="shared" ca="1" si="264"/>
        <v/>
      </c>
      <c r="Z1554" s="494" t="s">
        <v>1583</v>
      </c>
      <c r="AA1554" s="547" t="str">
        <f t="shared" ca="1" si="265"/>
        <v/>
      </c>
      <c r="AB1554" s="494" t="s">
        <v>173</v>
      </c>
      <c r="AC1554" s="547" t="str">
        <f t="shared" ca="1" si="266"/>
        <v/>
      </c>
      <c r="AD1554" s="557"/>
      <c r="AE1554" s="958"/>
    </row>
    <row r="1555" spans="1:31" ht="15" customHeight="1">
      <c r="A1555" s="957">
        <v>1</v>
      </c>
      <c r="B1555" s="566" t="s">
        <v>1251</v>
      </c>
      <c r="C1555" s="567" t="s">
        <v>1643</v>
      </c>
      <c r="D1555" s="958">
        <v>1.1000000000000001</v>
      </c>
      <c r="E1555" s="959" t="s">
        <v>335</v>
      </c>
      <c r="F1555" s="558" t="s">
        <v>1455</v>
      </c>
      <c r="G1555" s="558">
        <v>43</v>
      </c>
      <c r="H1555" s="558" t="s">
        <v>1158</v>
      </c>
      <c r="I1555" s="559" t="s">
        <v>1159</v>
      </c>
      <c r="J1555" s="567" t="s">
        <v>1644</v>
      </c>
      <c r="K1555" s="961" t="s">
        <v>1568</v>
      </c>
      <c r="L1555" s="555" t="str">
        <f t="shared" ca="1" si="261"/>
        <v/>
      </c>
      <c r="M1555" s="494" t="s">
        <v>1569</v>
      </c>
      <c r="N1555" s="555" t="str">
        <f t="shared" ca="1" si="262"/>
        <v/>
      </c>
      <c r="O1555" s="494" t="s">
        <v>1570</v>
      </c>
      <c r="P1555" s="555" t="str">
        <f t="shared" ca="1" si="263"/>
        <v/>
      </c>
      <c r="Q1555" s="494" t="s">
        <v>1645</v>
      </c>
      <c r="R1555" s="494" t="str">
        <f t="shared" si="258"/>
        <v>I1555</v>
      </c>
      <c r="S1555" s="494" t="s">
        <v>1648</v>
      </c>
      <c r="T1555" s="494">
        <v>6</v>
      </c>
      <c r="U1555" s="556" t="str">
        <f t="shared" ca="1" si="259"/>
        <v/>
      </c>
      <c r="V1555" s="494">
        <v>7</v>
      </c>
      <c r="W1555" s="556" t="str">
        <f t="shared" ca="1" si="260"/>
        <v/>
      </c>
      <c r="X1555" s="494" t="s">
        <v>1647</v>
      </c>
      <c r="Y1555" s="547" t="str">
        <f t="shared" ca="1" si="264"/>
        <v/>
      </c>
      <c r="Z1555" s="494" t="s">
        <v>1583</v>
      </c>
      <c r="AA1555" s="547" t="str">
        <f t="shared" ca="1" si="265"/>
        <v/>
      </c>
      <c r="AB1555" s="494" t="s">
        <v>173</v>
      </c>
      <c r="AC1555" s="547" t="str">
        <f t="shared" ca="1" si="266"/>
        <v/>
      </c>
      <c r="AD1555" s="557"/>
      <c r="AE1555" s="958"/>
    </row>
    <row r="1556" spans="1:31" ht="15" customHeight="1">
      <c r="A1556" s="957">
        <v>1</v>
      </c>
      <c r="B1556" s="566" t="s">
        <v>1251</v>
      </c>
      <c r="C1556" s="567" t="s">
        <v>1643</v>
      </c>
      <c r="D1556" s="958">
        <v>1.1000000000000001</v>
      </c>
      <c r="E1556" s="959" t="s">
        <v>335</v>
      </c>
      <c r="F1556" s="558" t="s">
        <v>1455</v>
      </c>
      <c r="G1556" s="558">
        <v>43</v>
      </c>
      <c r="H1556" s="558" t="s">
        <v>1158</v>
      </c>
      <c r="I1556" s="559" t="s">
        <v>1667</v>
      </c>
      <c r="J1556" s="567" t="s">
        <v>1644</v>
      </c>
      <c r="K1556" s="961" t="s">
        <v>1568</v>
      </c>
      <c r="L1556" s="555" t="str">
        <f t="shared" ca="1" si="261"/>
        <v/>
      </c>
      <c r="M1556" s="494" t="s">
        <v>1569</v>
      </c>
      <c r="N1556" s="555" t="str">
        <f t="shared" ca="1" si="262"/>
        <v/>
      </c>
      <c r="O1556" s="494" t="s">
        <v>1570</v>
      </c>
      <c r="P1556" s="555" t="str">
        <f t="shared" ca="1" si="263"/>
        <v/>
      </c>
      <c r="Q1556" s="494" t="s">
        <v>1645</v>
      </c>
      <c r="R1556" s="494" t="str">
        <f t="shared" si="258"/>
        <v>I1556</v>
      </c>
      <c r="S1556" s="494" t="s">
        <v>1648</v>
      </c>
      <c r="T1556" s="494">
        <v>6</v>
      </c>
      <c r="U1556" s="556" t="str">
        <f t="shared" ca="1" si="259"/>
        <v/>
      </c>
      <c r="V1556" s="494">
        <v>7</v>
      </c>
      <c r="W1556" s="556" t="str">
        <f t="shared" ca="1" si="260"/>
        <v/>
      </c>
      <c r="X1556" s="494" t="s">
        <v>1647</v>
      </c>
      <c r="Y1556" s="547" t="str">
        <f t="shared" ca="1" si="264"/>
        <v/>
      </c>
      <c r="Z1556" s="494" t="s">
        <v>1583</v>
      </c>
      <c r="AA1556" s="547" t="str">
        <f t="shared" ca="1" si="265"/>
        <v/>
      </c>
      <c r="AB1556" s="494" t="s">
        <v>173</v>
      </c>
      <c r="AC1556" s="547" t="str">
        <f t="shared" ca="1" si="266"/>
        <v/>
      </c>
      <c r="AD1556" s="557"/>
      <c r="AE1556" s="958"/>
    </row>
    <row r="1557" spans="1:31" ht="15" customHeight="1">
      <c r="A1557" s="957">
        <v>1</v>
      </c>
      <c r="B1557" s="566" t="s">
        <v>1251</v>
      </c>
      <c r="C1557" s="567" t="s">
        <v>1643</v>
      </c>
      <c r="D1557" s="958">
        <v>1.1000000000000001</v>
      </c>
      <c r="E1557" s="959" t="s">
        <v>345</v>
      </c>
      <c r="F1557" s="558" t="s">
        <v>1484</v>
      </c>
      <c r="G1557" s="558">
        <v>80</v>
      </c>
      <c r="H1557" s="558" t="s">
        <v>1164</v>
      </c>
      <c r="I1557" s="559" t="s">
        <v>1416</v>
      </c>
      <c r="J1557" s="567" t="s">
        <v>1644</v>
      </c>
      <c r="K1557" s="961" t="s">
        <v>1568</v>
      </c>
      <c r="L1557" s="555" t="str">
        <f t="shared" ca="1" si="261"/>
        <v/>
      </c>
      <c r="M1557" s="494" t="s">
        <v>1569</v>
      </c>
      <c r="N1557" s="555" t="str">
        <f t="shared" ca="1" si="262"/>
        <v/>
      </c>
      <c r="O1557" s="494" t="s">
        <v>1570</v>
      </c>
      <c r="P1557" s="555" t="str">
        <f t="shared" ca="1" si="263"/>
        <v/>
      </c>
      <c r="Q1557" s="494" t="s">
        <v>1645</v>
      </c>
      <c r="R1557" s="494" t="str">
        <f t="shared" si="258"/>
        <v>I1557</v>
      </c>
      <c r="S1557" s="494" t="s">
        <v>1646</v>
      </c>
      <c r="T1557" s="494">
        <v>6</v>
      </c>
      <c r="U1557" s="556" t="str">
        <f t="shared" ca="1" si="259"/>
        <v/>
      </c>
      <c r="V1557" s="494">
        <v>7</v>
      </c>
      <c r="W1557" s="556" t="str">
        <f t="shared" ca="1" si="260"/>
        <v/>
      </c>
      <c r="X1557" s="494" t="s">
        <v>1647</v>
      </c>
      <c r="Y1557" s="547" t="str">
        <f t="shared" ca="1" si="264"/>
        <v/>
      </c>
      <c r="Z1557" s="494" t="s">
        <v>1583</v>
      </c>
      <c r="AA1557" s="547" t="str">
        <f t="shared" ca="1" si="265"/>
        <v/>
      </c>
      <c r="AB1557" s="494" t="s">
        <v>173</v>
      </c>
      <c r="AC1557" s="547" t="str">
        <f t="shared" ca="1" si="266"/>
        <v/>
      </c>
      <c r="AD1557" s="557"/>
      <c r="AE1557" s="958"/>
    </row>
    <row r="1558" spans="1:31" ht="15" customHeight="1">
      <c r="A1558" s="957">
        <v>1</v>
      </c>
      <c r="B1558" s="566" t="s">
        <v>1251</v>
      </c>
      <c r="C1558" s="567" t="s">
        <v>1643</v>
      </c>
      <c r="D1558" s="958">
        <v>1.1000000000000001</v>
      </c>
      <c r="E1558" s="959" t="s">
        <v>345</v>
      </c>
      <c r="F1558" s="558" t="s">
        <v>1484</v>
      </c>
      <c r="G1558" s="558">
        <v>81</v>
      </c>
      <c r="H1558" s="558" t="s">
        <v>1166</v>
      </c>
      <c r="I1558" s="559" t="s">
        <v>1668</v>
      </c>
      <c r="J1558" s="567" t="s">
        <v>1644</v>
      </c>
      <c r="K1558" s="961" t="s">
        <v>1568</v>
      </c>
      <c r="L1558" s="555" t="str">
        <f t="shared" ca="1" si="261"/>
        <v/>
      </c>
      <c r="M1558" s="494" t="s">
        <v>1569</v>
      </c>
      <c r="N1558" s="555" t="str">
        <f t="shared" ca="1" si="262"/>
        <v/>
      </c>
      <c r="O1558" s="494" t="s">
        <v>1570</v>
      </c>
      <c r="P1558" s="555" t="str">
        <f t="shared" ca="1" si="263"/>
        <v/>
      </c>
      <c r="Q1558" s="494" t="s">
        <v>1645</v>
      </c>
      <c r="R1558" s="494" t="str">
        <f t="shared" si="258"/>
        <v>I1558</v>
      </c>
      <c r="S1558" s="494" t="s">
        <v>1646</v>
      </c>
      <c r="T1558" s="494">
        <v>6</v>
      </c>
      <c r="U1558" s="556" t="str">
        <f t="shared" ca="1" si="259"/>
        <v/>
      </c>
      <c r="V1558" s="494">
        <v>7</v>
      </c>
      <c r="W1558" s="556" t="str">
        <f t="shared" ca="1" si="260"/>
        <v/>
      </c>
      <c r="X1558" s="494" t="s">
        <v>1647</v>
      </c>
      <c r="Y1558" s="547" t="str">
        <f t="shared" ca="1" si="264"/>
        <v/>
      </c>
      <c r="Z1558" s="494" t="s">
        <v>1583</v>
      </c>
      <c r="AA1558" s="547" t="str">
        <f t="shared" ca="1" si="265"/>
        <v/>
      </c>
      <c r="AB1558" s="494" t="s">
        <v>173</v>
      </c>
      <c r="AC1558" s="547" t="str">
        <f t="shared" ca="1" si="266"/>
        <v/>
      </c>
      <c r="AD1558" s="557"/>
      <c r="AE1558" s="958"/>
    </row>
    <row r="1559" spans="1:31" ht="15" customHeight="1">
      <c r="A1559" s="957">
        <v>1</v>
      </c>
      <c r="B1559" s="566" t="s">
        <v>1251</v>
      </c>
      <c r="C1559" s="567" t="s">
        <v>1643</v>
      </c>
      <c r="D1559" s="958">
        <v>1.1000000000000001</v>
      </c>
      <c r="E1559" s="959" t="s">
        <v>345</v>
      </c>
      <c r="F1559" s="558" t="s">
        <v>1484</v>
      </c>
      <c r="G1559" s="558">
        <v>53</v>
      </c>
      <c r="H1559" s="558" t="s">
        <v>1168</v>
      </c>
      <c r="I1559" s="559" t="s">
        <v>1669</v>
      </c>
      <c r="J1559" s="567" t="s">
        <v>1644</v>
      </c>
      <c r="K1559" s="961" t="s">
        <v>1568</v>
      </c>
      <c r="L1559" s="555" t="str">
        <f t="shared" ca="1" si="261"/>
        <v/>
      </c>
      <c r="M1559" s="494" t="s">
        <v>1569</v>
      </c>
      <c r="N1559" s="555" t="str">
        <f t="shared" ca="1" si="262"/>
        <v/>
      </c>
      <c r="O1559" s="494" t="s">
        <v>1570</v>
      </c>
      <c r="P1559" s="555" t="str">
        <f t="shared" ca="1" si="263"/>
        <v/>
      </c>
      <c r="Q1559" s="494" t="s">
        <v>1645</v>
      </c>
      <c r="R1559" s="494" t="str">
        <f t="shared" si="258"/>
        <v>I1559</v>
      </c>
      <c r="S1559" s="494" t="s">
        <v>1648</v>
      </c>
      <c r="T1559" s="494">
        <v>6</v>
      </c>
      <c r="U1559" s="556" t="str">
        <f t="shared" ca="1" si="259"/>
        <v/>
      </c>
      <c r="V1559" s="494">
        <v>7</v>
      </c>
      <c r="W1559" s="556" t="str">
        <f t="shared" ca="1" si="260"/>
        <v/>
      </c>
      <c r="X1559" s="494" t="s">
        <v>1647</v>
      </c>
      <c r="Y1559" s="547" t="str">
        <f t="shared" ca="1" si="264"/>
        <v/>
      </c>
      <c r="Z1559" s="494" t="s">
        <v>1583</v>
      </c>
      <c r="AA1559" s="547" t="str">
        <f t="shared" ca="1" si="265"/>
        <v/>
      </c>
      <c r="AB1559" s="494" t="s">
        <v>173</v>
      </c>
      <c r="AC1559" s="547" t="str">
        <f t="shared" ca="1" si="266"/>
        <v/>
      </c>
      <c r="AD1559" s="557"/>
      <c r="AE1559" s="958"/>
    </row>
    <row r="1560" spans="1:31" ht="15" customHeight="1">
      <c r="A1560" s="957">
        <v>1</v>
      </c>
      <c r="B1560" s="566" t="s">
        <v>1251</v>
      </c>
      <c r="C1560" s="567" t="s">
        <v>1643</v>
      </c>
      <c r="D1560" s="958">
        <v>1.1000000000000001</v>
      </c>
      <c r="E1560" s="959" t="s">
        <v>345</v>
      </c>
      <c r="F1560" s="558" t="s">
        <v>1484</v>
      </c>
      <c r="G1560" s="558">
        <v>53</v>
      </c>
      <c r="H1560" s="558" t="s">
        <v>1168</v>
      </c>
      <c r="I1560" s="559" t="s">
        <v>1670</v>
      </c>
      <c r="J1560" s="567" t="s">
        <v>1644</v>
      </c>
      <c r="K1560" s="961" t="s">
        <v>1568</v>
      </c>
      <c r="L1560" s="555" t="str">
        <f t="shared" ca="1" si="261"/>
        <v/>
      </c>
      <c r="M1560" s="494" t="s">
        <v>1569</v>
      </c>
      <c r="N1560" s="555" t="str">
        <f t="shared" ca="1" si="262"/>
        <v/>
      </c>
      <c r="O1560" s="494" t="s">
        <v>1570</v>
      </c>
      <c r="P1560" s="555" t="str">
        <f t="shared" ca="1" si="263"/>
        <v/>
      </c>
      <c r="Q1560" s="494" t="s">
        <v>1645</v>
      </c>
      <c r="R1560" s="494" t="str">
        <f t="shared" si="258"/>
        <v>I1560</v>
      </c>
      <c r="S1560" s="494" t="s">
        <v>1648</v>
      </c>
      <c r="T1560" s="494">
        <v>6</v>
      </c>
      <c r="U1560" s="556" t="str">
        <f t="shared" ca="1" si="259"/>
        <v/>
      </c>
      <c r="V1560" s="494">
        <v>7</v>
      </c>
      <c r="W1560" s="556" t="str">
        <f t="shared" ca="1" si="260"/>
        <v/>
      </c>
      <c r="X1560" s="494" t="s">
        <v>1647</v>
      </c>
      <c r="Y1560" s="547" t="str">
        <f t="shared" ca="1" si="264"/>
        <v/>
      </c>
      <c r="Z1560" s="494" t="s">
        <v>1583</v>
      </c>
      <c r="AA1560" s="547" t="str">
        <f t="shared" ca="1" si="265"/>
        <v/>
      </c>
      <c r="AB1560" s="494" t="s">
        <v>173</v>
      </c>
      <c r="AC1560" s="547" t="str">
        <f t="shared" ca="1" si="266"/>
        <v/>
      </c>
      <c r="AD1560" s="557"/>
      <c r="AE1560" s="958"/>
    </row>
    <row r="1561" spans="1:31" ht="15" customHeight="1">
      <c r="A1561" s="957">
        <v>1</v>
      </c>
      <c r="B1561" s="566" t="s">
        <v>1251</v>
      </c>
      <c r="C1561" s="567" t="s">
        <v>1643</v>
      </c>
      <c r="D1561" s="958">
        <v>1.1000000000000001</v>
      </c>
      <c r="E1561" s="959" t="s">
        <v>353</v>
      </c>
      <c r="F1561" s="558" t="s">
        <v>1486</v>
      </c>
      <c r="G1561" s="558">
        <v>84</v>
      </c>
      <c r="H1561" s="558" t="s">
        <v>1175</v>
      </c>
      <c r="I1561" s="559" t="s">
        <v>1671</v>
      </c>
      <c r="J1561" s="567" t="s">
        <v>1644</v>
      </c>
      <c r="K1561" s="961" t="s">
        <v>1568</v>
      </c>
      <c r="L1561" s="555" t="str">
        <f t="shared" ca="1" si="261"/>
        <v/>
      </c>
      <c r="M1561" s="494" t="s">
        <v>1569</v>
      </c>
      <c r="N1561" s="555" t="str">
        <f t="shared" ca="1" si="262"/>
        <v/>
      </c>
      <c r="O1561" s="494" t="s">
        <v>1570</v>
      </c>
      <c r="P1561" s="555" t="str">
        <f t="shared" ca="1" si="263"/>
        <v/>
      </c>
      <c r="Q1561" s="494" t="s">
        <v>1645</v>
      </c>
      <c r="R1561" s="494" t="str">
        <f t="shared" si="258"/>
        <v>I1561</v>
      </c>
      <c r="S1561" s="494" t="s">
        <v>1648</v>
      </c>
      <c r="T1561" s="494">
        <v>6</v>
      </c>
      <c r="U1561" s="556" t="str">
        <f t="shared" ca="1" si="259"/>
        <v/>
      </c>
      <c r="V1561" s="494">
        <v>7</v>
      </c>
      <c r="W1561" s="556" t="str">
        <f t="shared" ca="1" si="260"/>
        <v/>
      </c>
      <c r="X1561" s="494" t="s">
        <v>1647</v>
      </c>
      <c r="Y1561" s="547" t="str">
        <f t="shared" ca="1" si="264"/>
        <v/>
      </c>
      <c r="Z1561" s="494" t="s">
        <v>1583</v>
      </c>
      <c r="AA1561" s="547" t="str">
        <f t="shared" ca="1" si="265"/>
        <v/>
      </c>
      <c r="AB1561" s="494" t="s">
        <v>173</v>
      </c>
      <c r="AC1561" s="547" t="str">
        <f t="shared" ca="1" si="266"/>
        <v/>
      </c>
      <c r="AD1561" s="557"/>
      <c r="AE1561" s="958"/>
    </row>
    <row r="1562" spans="1:31" ht="15" customHeight="1">
      <c r="A1562" s="957">
        <v>1</v>
      </c>
      <c r="B1562" s="566" t="s">
        <v>1251</v>
      </c>
      <c r="C1562" s="567" t="s">
        <v>1643</v>
      </c>
      <c r="D1562" s="958">
        <v>1.1000000000000001</v>
      </c>
      <c r="E1562" s="959" t="s">
        <v>353</v>
      </c>
      <c r="F1562" s="558" t="s">
        <v>1486</v>
      </c>
      <c r="G1562" s="558">
        <v>84</v>
      </c>
      <c r="H1562" s="558" t="s">
        <v>1175</v>
      </c>
      <c r="I1562" s="559" t="s">
        <v>1672</v>
      </c>
      <c r="J1562" s="567" t="s">
        <v>1644</v>
      </c>
      <c r="K1562" s="961" t="s">
        <v>1568</v>
      </c>
      <c r="L1562" s="555" t="str">
        <f t="shared" ca="1" si="261"/>
        <v/>
      </c>
      <c r="M1562" s="494" t="s">
        <v>1569</v>
      </c>
      <c r="N1562" s="555" t="str">
        <f t="shared" ca="1" si="262"/>
        <v/>
      </c>
      <c r="O1562" s="494" t="s">
        <v>1570</v>
      </c>
      <c r="P1562" s="555" t="str">
        <f t="shared" ca="1" si="263"/>
        <v/>
      </c>
      <c r="Q1562" s="494" t="s">
        <v>1645</v>
      </c>
      <c r="R1562" s="494" t="str">
        <f t="shared" si="258"/>
        <v>I1562</v>
      </c>
      <c r="S1562" s="494" t="s">
        <v>1648</v>
      </c>
      <c r="T1562" s="494">
        <v>6</v>
      </c>
      <c r="U1562" s="556" t="str">
        <f t="shared" ca="1" si="259"/>
        <v/>
      </c>
      <c r="V1562" s="494">
        <v>7</v>
      </c>
      <c r="W1562" s="556" t="str">
        <f t="shared" ca="1" si="260"/>
        <v/>
      </c>
      <c r="X1562" s="494" t="s">
        <v>1647</v>
      </c>
      <c r="Y1562" s="547" t="str">
        <f t="shared" ca="1" si="264"/>
        <v/>
      </c>
      <c r="Z1562" s="494" t="s">
        <v>1583</v>
      </c>
      <c r="AA1562" s="547" t="str">
        <f t="shared" ca="1" si="265"/>
        <v/>
      </c>
      <c r="AB1562" s="494" t="s">
        <v>173</v>
      </c>
      <c r="AC1562" s="547" t="str">
        <f t="shared" ca="1" si="266"/>
        <v/>
      </c>
      <c r="AD1562" s="557"/>
      <c r="AE1562" s="958"/>
    </row>
    <row r="1563" spans="1:31" ht="15" customHeight="1">
      <c r="A1563" s="957">
        <v>1</v>
      </c>
      <c r="B1563" s="566" t="s">
        <v>1251</v>
      </c>
      <c r="C1563" s="567" t="s">
        <v>1643</v>
      </c>
      <c r="D1563" s="958">
        <v>1.1000000000000001</v>
      </c>
      <c r="E1563" s="959" t="s">
        <v>353</v>
      </c>
      <c r="F1563" s="558" t="s">
        <v>1486</v>
      </c>
      <c r="G1563" s="558">
        <v>84</v>
      </c>
      <c r="H1563" s="558" t="s">
        <v>1175</v>
      </c>
      <c r="I1563" s="559" t="s">
        <v>1673</v>
      </c>
      <c r="J1563" s="567" t="s">
        <v>1644</v>
      </c>
      <c r="K1563" s="961" t="s">
        <v>1568</v>
      </c>
      <c r="L1563" s="555" t="str">
        <f t="shared" ca="1" si="261"/>
        <v/>
      </c>
      <c r="M1563" s="494" t="s">
        <v>1569</v>
      </c>
      <c r="N1563" s="555" t="str">
        <f t="shared" ca="1" si="262"/>
        <v/>
      </c>
      <c r="O1563" s="494" t="s">
        <v>1570</v>
      </c>
      <c r="P1563" s="555" t="str">
        <f t="shared" ca="1" si="263"/>
        <v/>
      </c>
      <c r="Q1563" s="494" t="s">
        <v>1645</v>
      </c>
      <c r="R1563" s="494" t="str">
        <f t="shared" si="258"/>
        <v>I1563</v>
      </c>
      <c r="S1563" s="494" t="s">
        <v>1648</v>
      </c>
      <c r="T1563" s="494">
        <v>6</v>
      </c>
      <c r="U1563" s="556" t="str">
        <f t="shared" ca="1" si="259"/>
        <v/>
      </c>
      <c r="V1563" s="494">
        <v>7</v>
      </c>
      <c r="W1563" s="556" t="str">
        <f t="shared" ca="1" si="260"/>
        <v/>
      </c>
      <c r="X1563" s="494" t="s">
        <v>1647</v>
      </c>
      <c r="Y1563" s="547" t="str">
        <f t="shared" ca="1" si="264"/>
        <v/>
      </c>
      <c r="Z1563" s="494" t="s">
        <v>1583</v>
      </c>
      <c r="AA1563" s="547" t="str">
        <f t="shared" ca="1" si="265"/>
        <v/>
      </c>
      <c r="AB1563" s="494" t="s">
        <v>173</v>
      </c>
      <c r="AC1563" s="547" t="str">
        <f t="shared" ca="1" si="266"/>
        <v/>
      </c>
      <c r="AD1563" s="557"/>
      <c r="AE1563" s="958"/>
    </row>
    <row r="1564" spans="1:31" ht="15" customHeight="1">
      <c r="A1564" s="957">
        <v>1</v>
      </c>
      <c r="B1564" s="566" t="s">
        <v>1251</v>
      </c>
      <c r="C1564" s="567" t="s">
        <v>1643</v>
      </c>
      <c r="D1564" s="958">
        <v>1.1000000000000001</v>
      </c>
      <c r="E1564" s="959" t="s">
        <v>367</v>
      </c>
      <c r="F1564" s="558" t="s">
        <v>1488</v>
      </c>
      <c r="G1564" s="558">
        <v>85</v>
      </c>
      <c r="H1564" s="558" t="s">
        <v>1186</v>
      </c>
      <c r="I1564" s="559" t="s">
        <v>1674</v>
      </c>
      <c r="J1564" s="567" t="s">
        <v>1644</v>
      </c>
      <c r="K1564" s="961" t="s">
        <v>1568</v>
      </c>
      <c r="L1564" s="555" t="str">
        <f t="shared" ca="1" si="261"/>
        <v/>
      </c>
      <c r="M1564" s="494" t="s">
        <v>1569</v>
      </c>
      <c r="N1564" s="555" t="str">
        <f t="shared" ca="1" si="262"/>
        <v/>
      </c>
      <c r="O1564" s="494" t="s">
        <v>1570</v>
      </c>
      <c r="P1564" s="555" t="str">
        <f t="shared" ca="1" si="263"/>
        <v/>
      </c>
      <c r="Q1564" s="494" t="s">
        <v>1645</v>
      </c>
      <c r="R1564" s="494" t="str">
        <f t="shared" si="258"/>
        <v>I1564</v>
      </c>
      <c r="S1564" s="494" t="s">
        <v>1646</v>
      </c>
      <c r="T1564" s="494">
        <v>6</v>
      </c>
      <c r="U1564" s="556" t="str">
        <f t="shared" ca="1" si="259"/>
        <v/>
      </c>
      <c r="V1564" s="494">
        <v>7</v>
      </c>
      <c r="W1564" s="556" t="str">
        <f t="shared" ca="1" si="260"/>
        <v/>
      </c>
      <c r="X1564" s="494" t="s">
        <v>1647</v>
      </c>
      <c r="Y1564" s="547" t="str">
        <f t="shared" ca="1" si="264"/>
        <v/>
      </c>
      <c r="Z1564" s="494" t="s">
        <v>1583</v>
      </c>
      <c r="AA1564" s="547" t="str">
        <f t="shared" ca="1" si="265"/>
        <v/>
      </c>
      <c r="AB1564" s="494" t="s">
        <v>173</v>
      </c>
      <c r="AC1564" s="547" t="str">
        <f t="shared" ca="1" si="266"/>
        <v/>
      </c>
      <c r="AD1564" s="557"/>
      <c r="AE1564" s="958"/>
    </row>
    <row r="1565" spans="1:31" ht="15" customHeight="1">
      <c r="A1565" s="957">
        <v>1</v>
      </c>
      <c r="B1565" s="566" t="s">
        <v>1251</v>
      </c>
      <c r="C1565" s="567" t="s">
        <v>1643</v>
      </c>
      <c r="D1565" s="958">
        <v>1.1000000000000001</v>
      </c>
      <c r="E1565" s="959" t="s">
        <v>367</v>
      </c>
      <c r="F1565" s="558" t="s">
        <v>1488</v>
      </c>
      <c r="G1565" s="558">
        <v>89</v>
      </c>
      <c r="H1565" s="558" t="s">
        <v>1188</v>
      </c>
      <c r="I1565" s="559" t="s">
        <v>991</v>
      </c>
      <c r="J1565" s="567" t="s">
        <v>1644</v>
      </c>
      <c r="K1565" s="961" t="s">
        <v>1568</v>
      </c>
      <c r="L1565" s="555" t="str">
        <f t="shared" ca="1" si="261"/>
        <v/>
      </c>
      <c r="M1565" s="494" t="s">
        <v>1569</v>
      </c>
      <c r="N1565" s="555" t="str">
        <f t="shared" ca="1" si="262"/>
        <v/>
      </c>
      <c r="O1565" s="494" t="s">
        <v>1570</v>
      </c>
      <c r="P1565" s="555" t="str">
        <f t="shared" ca="1" si="263"/>
        <v/>
      </c>
      <c r="Q1565" s="494" t="s">
        <v>1645</v>
      </c>
      <c r="R1565" s="494" t="str">
        <f t="shared" si="258"/>
        <v>I1565</v>
      </c>
      <c r="S1565" s="494" t="s">
        <v>1646</v>
      </c>
      <c r="T1565" s="494">
        <v>6</v>
      </c>
      <c r="U1565" s="556" t="str">
        <f t="shared" ca="1" si="259"/>
        <v/>
      </c>
      <c r="V1565" s="494">
        <v>7</v>
      </c>
      <c r="W1565" s="556" t="str">
        <f t="shared" ca="1" si="260"/>
        <v/>
      </c>
      <c r="X1565" s="494" t="s">
        <v>1647</v>
      </c>
      <c r="Y1565" s="547" t="str">
        <f t="shared" ca="1" si="264"/>
        <v/>
      </c>
      <c r="Z1565" s="494" t="s">
        <v>1583</v>
      </c>
      <c r="AA1565" s="547" t="str">
        <f t="shared" ca="1" si="265"/>
        <v/>
      </c>
      <c r="AB1565" s="494" t="s">
        <v>173</v>
      </c>
      <c r="AC1565" s="547" t="str">
        <f t="shared" ca="1" si="266"/>
        <v/>
      </c>
      <c r="AD1565" s="557"/>
      <c r="AE1565" s="958"/>
    </row>
    <row r="1566" spans="1:31" ht="15" customHeight="1">
      <c r="A1566" s="957">
        <v>1</v>
      </c>
      <c r="B1566" s="566" t="s">
        <v>1251</v>
      </c>
      <c r="C1566" s="567" t="s">
        <v>1643</v>
      </c>
      <c r="D1566" s="958">
        <v>1.1000000000000001</v>
      </c>
      <c r="E1566" s="959" t="s">
        <v>367</v>
      </c>
      <c r="F1566" s="558" t="s">
        <v>1488</v>
      </c>
      <c r="G1566" s="558">
        <v>90</v>
      </c>
      <c r="H1566" s="558" t="s">
        <v>1191</v>
      </c>
      <c r="I1566" s="559" t="s">
        <v>1675</v>
      </c>
      <c r="J1566" s="567" t="s">
        <v>1644</v>
      </c>
      <c r="K1566" s="961" t="s">
        <v>1568</v>
      </c>
      <c r="L1566" s="555" t="str">
        <f t="shared" ca="1" si="261"/>
        <v/>
      </c>
      <c r="M1566" s="494" t="s">
        <v>1569</v>
      </c>
      <c r="N1566" s="555" t="str">
        <f t="shared" ca="1" si="262"/>
        <v/>
      </c>
      <c r="O1566" s="494" t="s">
        <v>1570</v>
      </c>
      <c r="P1566" s="555" t="str">
        <f t="shared" ca="1" si="263"/>
        <v/>
      </c>
      <c r="Q1566" s="494" t="s">
        <v>1645</v>
      </c>
      <c r="R1566" s="494" t="str">
        <f t="shared" si="258"/>
        <v>I1566</v>
      </c>
      <c r="S1566" s="494" t="s">
        <v>1648</v>
      </c>
      <c r="T1566" s="494">
        <v>6</v>
      </c>
      <c r="U1566" s="556" t="str">
        <f t="shared" ca="1" si="259"/>
        <v/>
      </c>
      <c r="V1566" s="494">
        <v>7</v>
      </c>
      <c r="W1566" s="556" t="str">
        <f t="shared" ca="1" si="260"/>
        <v/>
      </c>
      <c r="X1566" s="494" t="s">
        <v>1647</v>
      </c>
      <c r="Y1566" s="547" t="str">
        <f t="shared" ca="1" si="264"/>
        <v/>
      </c>
      <c r="Z1566" s="494" t="s">
        <v>1583</v>
      </c>
      <c r="AA1566" s="547" t="str">
        <f t="shared" ca="1" si="265"/>
        <v/>
      </c>
      <c r="AB1566" s="494" t="s">
        <v>173</v>
      </c>
      <c r="AC1566" s="547" t="str">
        <f t="shared" ca="1" si="266"/>
        <v/>
      </c>
      <c r="AD1566" s="557"/>
      <c r="AE1566" s="958"/>
    </row>
    <row r="1567" spans="1:31" ht="15" customHeight="1">
      <c r="A1567" s="957">
        <v>1</v>
      </c>
      <c r="B1567" s="566" t="s">
        <v>1251</v>
      </c>
      <c r="C1567" s="567" t="s">
        <v>1643</v>
      </c>
      <c r="D1567" s="958">
        <v>1.1000000000000001</v>
      </c>
      <c r="E1567" s="959" t="s">
        <v>367</v>
      </c>
      <c r="F1567" s="558" t="s">
        <v>1488</v>
      </c>
      <c r="G1567" s="558">
        <v>90</v>
      </c>
      <c r="H1567" s="558" t="s">
        <v>1191</v>
      </c>
      <c r="I1567" s="559" t="s">
        <v>1676</v>
      </c>
      <c r="J1567" s="567" t="s">
        <v>1644</v>
      </c>
      <c r="K1567" s="961" t="s">
        <v>1568</v>
      </c>
      <c r="L1567" s="555" t="str">
        <f t="shared" ca="1" si="261"/>
        <v/>
      </c>
      <c r="M1567" s="494" t="s">
        <v>1569</v>
      </c>
      <c r="N1567" s="555" t="str">
        <f t="shared" ca="1" si="262"/>
        <v/>
      </c>
      <c r="O1567" s="494" t="s">
        <v>1570</v>
      </c>
      <c r="P1567" s="555" t="str">
        <f t="shared" ca="1" si="263"/>
        <v/>
      </c>
      <c r="Q1567" s="494" t="s">
        <v>1645</v>
      </c>
      <c r="R1567" s="494" t="str">
        <f t="shared" si="258"/>
        <v>I1567</v>
      </c>
      <c r="S1567" s="494" t="s">
        <v>1648</v>
      </c>
      <c r="T1567" s="494">
        <v>6</v>
      </c>
      <c r="U1567" s="556" t="str">
        <f t="shared" ca="1" si="259"/>
        <v/>
      </c>
      <c r="V1567" s="494">
        <v>7</v>
      </c>
      <c r="W1567" s="556" t="str">
        <f t="shared" ca="1" si="260"/>
        <v/>
      </c>
      <c r="X1567" s="494" t="s">
        <v>1647</v>
      </c>
      <c r="Y1567" s="547" t="str">
        <f t="shared" ca="1" si="264"/>
        <v/>
      </c>
      <c r="Z1567" s="494" t="s">
        <v>1583</v>
      </c>
      <c r="AA1567" s="547" t="str">
        <f t="shared" ca="1" si="265"/>
        <v/>
      </c>
      <c r="AB1567" s="494" t="s">
        <v>173</v>
      </c>
      <c r="AC1567" s="547" t="str">
        <f t="shared" ca="1" si="266"/>
        <v/>
      </c>
      <c r="AD1567" s="557"/>
      <c r="AE1567" s="958"/>
    </row>
    <row r="1568" spans="1:31" ht="15" customHeight="1">
      <c r="A1568" s="957">
        <v>1</v>
      </c>
      <c r="B1568" s="566" t="s">
        <v>1251</v>
      </c>
      <c r="C1568" s="567" t="s">
        <v>1643</v>
      </c>
      <c r="D1568" s="958">
        <v>1.1000000000000001</v>
      </c>
      <c r="E1568" s="959" t="s">
        <v>367</v>
      </c>
      <c r="F1568" s="558" t="s">
        <v>1488</v>
      </c>
      <c r="G1568" s="558">
        <v>92</v>
      </c>
      <c r="H1568" s="558" t="s">
        <v>1193</v>
      </c>
      <c r="I1568" s="559" t="s">
        <v>1677</v>
      </c>
      <c r="J1568" s="567" t="s">
        <v>1644</v>
      </c>
      <c r="K1568" s="961" t="s">
        <v>1568</v>
      </c>
      <c r="L1568" s="555" t="str">
        <f t="shared" ca="1" si="261"/>
        <v/>
      </c>
      <c r="M1568" s="494" t="s">
        <v>1569</v>
      </c>
      <c r="N1568" s="555" t="str">
        <f t="shared" ca="1" si="262"/>
        <v/>
      </c>
      <c r="O1568" s="494" t="s">
        <v>1570</v>
      </c>
      <c r="P1568" s="555" t="str">
        <f t="shared" ca="1" si="263"/>
        <v/>
      </c>
      <c r="Q1568" s="494" t="s">
        <v>1645</v>
      </c>
      <c r="R1568" s="494" t="str">
        <f t="shared" si="258"/>
        <v>I1568</v>
      </c>
      <c r="S1568" s="494" t="s">
        <v>1646</v>
      </c>
      <c r="T1568" s="494">
        <v>6</v>
      </c>
      <c r="U1568" s="556" t="str">
        <f t="shared" ca="1" si="259"/>
        <v/>
      </c>
      <c r="V1568" s="494">
        <v>7</v>
      </c>
      <c r="W1568" s="556" t="str">
        <f t="shared" ca="1" si="260"/>
        <v/>
      </c>
      <c r="X1568" s="494" t="s">
        <v>1647</v>
      </c>
      <c r="Y1568" s="547" t="str">
        <f t="shared" ca="1" si="264"/>
        <v/>
      </c>
      <c r="Z1568" s="494" t="s">
        <v>1583</v>
      </c>
      <c r="AA1568" s="547" t="str">
        <f t="shared" ca="1" si="265"/>
        <v/>
      </c>
      <c r="AB1568" s="494" t="s">
        <v>173</v>
      </c>
      <c r="AC1568" s="547" t="str">
        <f t="shared" ca="1" si="266"/>
        <v/>
      </c>
      <c r="AD1568" s="557"/>
      <c r="AE1568" s="958"/>
    </row>
    <row r="1569" spans="1:31" ht="15" customHeight="1">
      <c r="A1569" s="957">
        <v>1</v>
      </c>
      <c r="B1569" s="566" t="s">
        <v>1251</v>
      </c>
      <c r="C1569" s="567" t="s">
        <v>1643</v>
      </c>
      <c r="D1569" s="958">
        <v>1.1000000000000001</v>
      </c>
      <c r="E1569" s="959" t="s">
        <v>367</v>
      </c>
      <c r="F1569" s="558" t="s">
        <v>1488</v>
      </c>
      <c r="G1569" s="558">
        <v>93</v>
      </c>
      <c r="H1569" s="558" t="s">
        <v>1197</v>
      </c>
      <c r="I1569" s="559" t="s">
        <v>1678</v>
      </c>
      <c r="J1569" s="567" t="s">
        <v>1644</v>
      </c>
      <c r="K1569" s="961" t="s">
        <v>1568</v>
      </c>
      <c r="L1569" s="555" t="str">
        <f t="shared" ca="1" si="261"/>
        <v/>
      </c>
      <c r="M1569" s="494" t="s">
        <v>1569</v>
      </c>
      <c r="N1569" s="555" t="str">
        <f t="shared" ca="1" si="262"/>
        <v/>
      </c>
      <c r="O1569" s="494" t="s">
        <v>1570</v>
      </c>
      <c r="P1569" s="555" t="str">
        <f t="shared" ca="1" si="263"/>
        <v/>
      </c>
      <c r="Q1569" s="494" t="s">
        <v>1645</v>
      </c>
      <c r="R1569" s="494" t="str">
        <f t="shared" si="258"/>
        <v>I1569</v>
      </c>
      <c r="S1569" s="494" t="s">
        <v>1646</v>
      </c>
      <c r="T1569" s="494">
        <v>6</v>
      </c>
      <c r="U1569" s="556" t="str">
        <f t="shared" ca="1" si="259"/>
        <v/>
      </c>
      <c r="V1569" s="494">
        <v>7</v>
      </c>
      <c r="W1569" s="556" t="str">
        <f t="shared" ca="1" si="260"/>
        <v/>
      </c>
      <c r="X1569" s="494" t="s">
        <v>1647</v>
      </c>
      <c r="Y1569" s="547" t="str">
        <f t="shared" ca="1" si="264"/>
        <v/>
      </c>
      <c r="Z1569" s="494" t="s">
        <v>1583</v>
      </c>
      <c r="AA1569" s="547" t="str">
        <f t="shared" ca="1" si="265"/>
        <v/>
      </c>
      <c r="AB1569" s="494" t="s">
        <v>173</v>
      </c>
      <c r="AC1569" s="547" t="str">
        <f t="shared" ca="1" si="266"/>
        <v/>
      </c>
      <c r="AD1569" s="557"/>
      <c r="AE1569" s="958"/>
    </row>
    <row r="1570" spans="1:31" ht="15" customHeight="1">
      <c r="A1570" s="957">
        <v>1</v>
      </c>
      <c r="B1570" s="566" t="s">
        <v>1251</v>
      </c>
      <c r="C1570" s="567" t="s">
        <v>1643</v>
      </c>
      <c r="D1570" s="958">
        <v>1.1000000000000001</v>
      </c>
      <c r="E1570" s="959" t="s">
        <v>367</v>
      </c>
      <c r="F1570" s="558" t="s">
        <v>1488</v>
      </c>
      <c r="G1570" s="558">
        <v>95</v>
      </c>
      <c r="H1570" s="558" t="s">
        <v>1201</v>
      </c>
      <c r="I1570" s="559" t="s">
        <v>1679</v>
      </c>
      <c r="J1570" s="567" t="s">
        <v>1644</v>
      </c>
      <c r="K1570" s="961" t="s">
        <v>1568</v>
      </c>
      <c r="L1570" s="555" t="str">
        <f t="shared" ca="1" si="261"/>
        <v/>
      </c>
      <c r="M1570" s="494" t="s">
        <v>1569</v>
      </c>
      <c r="N1570" s="555" t="str">
        <f t="shared" ca="1" si="262"/>
        <v/>
      </c>
      <c r="O1570" s="494" t="s">
        <v>1570</v>
      </c>
      <c r="P1570" s="555" t="str">
        <f t="shared" ca="1" si="263"/>
        <v/>
      </c>
      <c r="Q1570" s="494" t="s">
        <v>1645</v>
      </c>
      <c r="R1570" s="494" t="str">
        <f t="shared" si="258"/>
        <v>I1570</v>
      </c>
      <c r="S1570" s="494" t="s">
        <v>1646</v>
      </c>
      <c r="T1570" s="494">
        <v>6</v>
      </c>
      <c r="U1570" s="556" t="str">
        <f t="shared" ca="1" si="259"/>
        <v/>
      </c>
      <c r="V1570" s="494">
        <v>7</v>
      </c>
      <c r="W1570" s="556" t="str">
        <f t="shared" ca="1" si="260"/>
        <v/>
      </c>
      <c r="X1570" s="494" t="s">
        <v>1647</v>
      </c>
      <c r="Y1570" s="547" t="str">
        <f t="shared" ca="1" si="264"/>
        <v/>
      </c>
      <c r="Z1570" s="494" t="s">
        <v>1583</v>
      </c>
      <c r="AA1570" s="547" t="str">
        <f t="shared" ca="1" si="265"/>
        <v/>
      </c>
      <c r="AB1570" s="494" t="s">
        <v>173</v>
      </c>
      <c r="AC1570" s="547" t="str">
        <f t="shared" ca="1" si="266"/>
        <v/>
      </c>
      <c r="AD1570" s="557"/>
      <c r="AE1570" s="958"/>
    </row>
    <row r="1571" spans="1:31" ht="15" customHeight="1">
      <c r="A1571" s="957">
        <v>1</v>
      </c>
      <c r="B1571" s="566" t="s">
        <v>1251</v>
      </c>
      <c r="C1571" s="567" t="s">
        <v>1643</v>
      </c>
      <c r="D1571" s="958">
        <v>1.1000000000000001</v>
      </c>
      <c r="E1571" s="959" t="s">
        <v>367</v>
      </c>
      <c r="F1571" s="558" t="s">
        <v>1488</v>
      </c>
      <c r="G1571" s="558">
        <v>96</v>
      </c>
      <c r="H1571" s="558" t="s">
        <v>1203</v>
      </c>
      <c r="I1571" s="559" t="s">
        <v>1213</v>
      </c>
      <c r="J1571" s="567" t="s">
        <v>1644</v>
      </c>
      <c r="K1571" s="961" t="s">
        <v>1568</v>
      </c>
      <c r="L1571" s="555" t="str">
        <f t="shared" ca="1" si="261"/>
        <v/>
      </c>
      <c r="M1571" s="494" t="s">
        <v>1569</v>
      </c>
      <c r="N1571" s="555" t="str">
        <f t="shared" ca="1" si="262"/>
        <v/>
      </c>
      <c r="O1571" s="494" t="s">
        <v>1570</v>
      </c>
      <c r="P1571" s="555" t="str">
        <f t="shared" ca="1" si="263"/>
        <v/>
      </c>
      <c r="Q1571" s="494" t="s">
        <v>1645</v>
      </c>
      <c r="R1571" s="494" t="str">
        <f t="shared" si="258"/>
        <v>I1571</v>
      </c>
      <c r="S1571" s="494" t="s">
        <v>1646</v>
      </c>
      <c r="T1571" s="494">
        <v>6</v>
      </c>
      <c r="U1571" s="556" t="str">
        <f t="shared" ca="1" si="259"/>
        <v/>
      </c>
      <c r="V1571" s="494">
        <v>7</v>
      </c>
      <c r="W1571" s="556" t="str">
        <f t="shared" ca="1" si="260"/>
        <v/>
      </c>
      <c r="X1571" s="494" t="s">
        <v>1647</v>
      </c>
      <c r="Y1571" s="547" t="str">
        <f t="shared" ca="1" si="264"/>
        <v/>
      </c>
      <c r="Z1571" s="494" t="s">
        <v>1583</v>
      </c>
      <c r="AA1571" s="547" t="str">
        <f t="shared" ca="1" si="265"/>
        <v/>
      </c>
      <c r="AB1571" s="494" t="s">
        <v>173</v>
      </c>
      <c r="AC1571" s="547" t="str">
        <f t="shared" ca="1" si="266"/>
        <v/>
      </c>
      <c r="AD1571" s="557"/>
      <c r="AE1571" s="958"/>
    </row>
    <row r="1572" spans="1:31" ht="15" customHeight="1">
      <c r="A1572" s="957">
        <v>1</v>
      </c>
      <c r="B1572" s="566" t="s">
        <v>1251</v>
      </c>
      <c r="C1572" s="567" t="s">
        <v>1643</v>
      </c>
      <c r="D1572" s="958">
        <v>1.1000000000000001</v>
      </c>
      <c r="E1572" s="959" t="s">
        <v>367</v>
      </c>
      <c r="F1572" s="558" t="s">
        <v>1488</v>
      </c>
      <c r="G1572" s="558">
        <v>98</v>
      </c>
      <c r="H1572" s="558" t="s">
        <v>1205</v>
      </c>
      <c r="I1572" s="559" t="s">
        <v>1680</v>
      </c>
      <c r="J1572" s="567" t="s">
        <v>1644</v>
      </c>
      <c r="K1572" s="961" t="s">
        <v>1568</v>
      </c>
      <c r="L1572" s="555" t="str">
        <f t="shared" ca="1" si="261"/>
        <v/>
      </c>
      <c r="M1572" s="494" t="s">
        <v>1569</v>
      </c>
      <c r="N1572" s="555" t="str">
        <f t="shared" ca="1" si="262"/>
        <v/>
      </c>
      <c r="O1572" s="494" t="s">
        <v>1570</v>
      </c>
      <c r="P1572" s="555" t="str">
        <f t="shared" ca="1" si="263"/>
        <v/>
      </c>
      <c r="Q1572" s="494" t="s">
        <v>1645</v>
      </c>
      <c r="R1572" s="494" t="str">
        <f t="shared" si="258"/>
        <v>I1572</v>
      </c>
      <c r="S1572" s="494" t="s">
        <v>1646</v>
      </c>
      <c r="T1572" s="494">
        <v>6</v>
      </c>
      <c r="U1572" s="556" t="str">
        <f t="shared" ca="1" si="259"/>
        <v/>
      </c>
      <c r="V1572" s="494">
        <v>7</v>
      </c>
      <c r="W1572" s="556" t="str">
        <f t="shared" ca="1" si="260"/>
        <v/>
      </c>
      <c r="X1572" s="494" t="s">
        <v>1647</v>
      </c>
      <c r="Y1572" s="547" t="str">
        <f t="shared" ca="1" si="264"/>
        <v/>
      </c>
      <c r="Z1572" s="494" t="s">
        <v>1583</v>
      </c>
      <c r="AA1572" s="547" t="str">
        <f t="shared" ca="1" si="265"/>
        <v/>
      </c>
      <c r="AB1572" s="494" t="s">
        <v>173</v>
      </c>
      <c r="AC1572" s="547" t="str">
        <f t="shared" ca="1" si="266"/>
        <v/>
      </c>
      <c r="AD1572" s="557"/>
      <c r="AE1572" s="958"/>
    </row>
    <row r="1573" spans="1:31" ht="15" customHeight="1">
      <c r="A1573" s="957">
        <v>1</v>
      </c>
      <c r="B1573" s="566" t="s">
        <v>1251</v>
      </c>
      <c r="C1573" s="567" t="s">
        <v>1643</v>
      </c>
      <c r="D1573" s="958">
        <v>1.1000000000000001</v>
      </c>
      <c r="E1573" s="959" t="s">
        <v>367</v>
      </c>
      <c r="F1573" s="558" t="s">
        <v>1488</v>
      </c>
      <c r="G1573" s="558">
        <v>99</v>
      </c>
      <c r="H1573" s="558" t="s">
        <v>1207</v>
      </c>
      <c r="I1573" s="559" t="s">
        <v>1681</v>
      </c>
      <c r="J1573" s="567" t="s">
        <v>1644</v>
      </c>
      <c r="K1573" s="961" t="s">
        <v>1568</v>
      </c>
      <c r="L1573" s="555" t="str">
        <f t="shared" ca="1" si="261"/>
        <v/>
      </c>
      <c r="M1573" s="494" t="s">
        <v>1569</v>
      </c>
      <c r="N1573" s="555" t="str">
        <f t="shared" ca="1" si="262"/>
        <v/>
      </c>
      <c r="O1573" s="494" t="s">
        <v>1570</v>
      </c>
      <c r="P1573" s="555" t="str">
        <f t="shared" ca="1" si="263"/>
        <v/>
      </c>
      <c r="Q1573" s="494" t="s">
        <v>1645</v>
      </c>
      <c r="R1573" s="494" t="str">
        <f t="shared" si="258"/>
        <v>I1573</v>
      </c>
      <c r="S1573" s="494" t="s">
        <v>1646</v>
      </c>
      <c r="T1573" s="494">
        <v>6</v>
      </c>
      <c r="U1573" s="556" t="str">
        <f t="shared" ca="1" si="259"/>
        <v/>
      </c>
      <c r="V1573" s="494">
        <v>7</v>
      </c>
      <c r="W1573" s="556" t="str">
        <f t="shared" ca="1" si="260"/>
        <v/>
      </c>
      <c r="X1573" s="494" t="s">
        <v>1647</v>
      </c>
      <c r="Y1573" s="547" t="str">
        <f t="shared" ca="1" si="264"/>
        <v/>
      </c>
      <c r="Z1573" s="494" t="s">
        <v>1583</v>
      </c>
      <c r="AA1573" s="547" t="str">
        <f t="shared" ca="1" si="265"/>
        <v/>
      </c>
      <c r="AB1573" s="494" t="s">
        <v>173</v>
      </c>
      <c r="AC1573" s="547" t="str">
        <f t="shared" ca="1" si="266"/>
        <v/>
      </c>
      <c r="AD1573" s="557"/>
      <c r="AE1573" s="958"/>
    </row>
    <row r="1574" spans="1:31" ht="15" customHeight="1">
      <c r="A1574" s="957">
        <v>1</v>
      </c>
      <c r="B1574" s="566" t="s">
        <v>1251</v>
      </c>
      <c r="C1574" s="567" t="s">
        <v>1643</v>
      </c>
      <c r="D1574" s="958">
        <v>1.1000000000000001</v>
      </c>
      <c r="E1574" s="959" t="s">
        <v>367</v>
      </c>
      <c r="F1574" s="558" t="s">
        <v>1488</v>
      </c>
      <c r="G1574" s="558">
        <v>63</v>
      </c>
      <c r="H1574" s="558" t="s">
        <v>1682</v>
      </c>
      <c r="I1574" s="559" t="s">
        <v>1202</v>
      </c>
      <c r="J1574" s="567" t="s">
        <v>1644</v>
      </c>
      <c r="K1574" s="961" t="s">
        <v>1568</v>
      </c>
      <c r="L1574" s="555" t="str">
        <f t="shared" ca="1" si="261"/>
        <v/>
      </c>
      <c r="M1574" s="494" t="s">
        <v>1569</v>
      </c>
      <c r="N1574" s="555" t="str">
        <f t="shared" ca="1" si="262"/>
        <v/>
      </c>
      <c r="O1574" s="494" t="s">
        <v>1570</v>
      </c>
      <c r="P1574" s="555" t="str">
        <f t="shared" ca="1" si="263"/>
        <v/>
      </c>
      <c r="Q1574" s="494" t="s">
        <v>1645</v>
      </c>
      <c r="R1574" s="494" t="str">
        <f>CONCATENATE("I",ROW(J1574))</f>
        <v>I1574</v>
      </c>
      <c r="S1574" s="494" t="s">
        <v>1646</v>
      </c>
      <c r="T1574" s="494">
        <v>6</v>
      </c>
      <c r="U1574" s="556" t="str">
        <f t="shared" ca="1" si="259"/>
        <v/>
      </c>
      <c r="V1574" s="494">
        <v>7</v>
      </c>
      <c r="W1574" s="556" t="str">
        <f t="shared" ca="1" si="260"/>
        <v/>
      </c>
      <c r="X1574" s="494" t="s">
        <v>1647</v>
      </c>
      <c r="Y1574" s="547" t="str">
        <f t="shared" ca="1" si="264"/>
        <v/>
      </c>
      <c r="Z1574" s="494" t="s">
        <v>1583</v>
      </c>
      <c r="AA1574" s="547" t="str">
        <f t="shared" ca="1" si="265"/>
        <v/>
      </c>
      <c r="AB1574" s="494" t="s">
        <v>173</v>
      </c>
      <c r="AC1574" s="547" t="str">
        <f t="shared" ca="1" si="266"/>
        <v/>
      </c>
      <c r="AD1574" s="557"/>
      <c r="AE1574" s="958"/>
    </row>
    <row r="1575" spans="1:31" ht="15" customHeight="1">
      <c r="A1575" s="957">
        <v>1</v>
      </c>
      <c r="B1575" s="566" t="s">
        <v>1251</v>
      </c>
      <c r="C1575" s="567" t="s">
        <v>1643</v>
      </c>
      <c r="D1575" s="958">
        <v>1.1000000000000001</v>
      </c>
      <c r="E1575" s="959" t="s">
        <v>367</v>
      </c>
      <c r="F1575" s="558" t="s">
        <v>1488</v>
      </c>
      <c r="G1575" s="558">
        <v>101</v>
      </c>
      <c r="H1575" s="558" t="s">
        <v>1211</v>
      </c>
      <c r="I1575" s="559" t="s">
        <v>1204</v>
      </c>
      <c r="J1575" s="567" t="s">
        <v>1644</v>
      </c>
      <c r="K1575" s="961" t="s">
        <v>1568</v>
      </c>
      <c r="L1575" s="555" t="str">
        <f t="shared" ca="1" si="261"/>
        <v/>
      </c>
      <c r="M1575" s="494" t="s">
        <v>1569</v>
      </c>
      <c r="N1575" s="555" t="str">
        <f t="shared" ca="1" si="262"/>
        <v/>
      </c>
      <c r="O1575" s="494" t="s">
        <v>1570</v>
      </c>
      <c r="P1575" s="555" t="str">
        <f t="shared" ca="1" si="263"/>
        <v/>
      </c>
      <c r="Q1575" s="494" t="s">
        <v>1645</v>
      </c>
      <c r="R1575" s="494" t="str">
        <f>CONCATENATE("I",ROW(J1575))</f>
        <v>I1575</v>
      </c>
      <c r="S1575" s="494" t="s">
        <v>1646</v>
      </c>
      <c r="T1575" s="494">
        <v>6</v>
      </c>
      <c r="U1575" s="556" t="str">
        <f t="shared" ca="1" si="259"/>
        <v/>
      </c>
      <c r="V1575" s="494">
        <v>7</v>
      </c>
      <c r="W1575" s="556" t="str">
        <f t="shared" ca="1" si="260"/>
        <v/>
      </c>
      <c r="X1575" s="494" t="s">
        <v>1647</v>
      </c>
      <c r="Y1575" s="547" t="str">
        <f t="shared" ca="1" si="264"/>
        <v/>
      </c>
      <c r="Z1575" s="494" t="s">
        <v>1583</v>
      </c>
      <c r="AA1575" s="547" t="str">
        <f t="shared" ca="1" si="265"/>
        <v/>
      </c>
      <c r="AB1575" s="494" t="s">
        <v>173</v>
      </c>
      <c r="AC1575" s="547" t="str">
        <f t="shared" ca="1" si="266"/>
        <v/>
      </c>
      <c r="AD1575" s="557"/>
      <c r="AE1575" s="958"/>
    </row>
    <row r="1576" spans="1:31" ht="15" customHeight="1">
      <c r="A1576" s="957">
        <v>1</v>
      </c>
      <c r="B1576" s="566" t="s">
        <v>1251</v>
      </c>
      <c r="C1576" s="567" t="s">
        <v>1643</v>
      </c>
      <c r="D1576" s="958">
        <v>1.1000000000000001</v>
      </c>
      <c r="E1576" s="959" t="s">
        <v>396</v>
      </c>
      <c r="F1576" s="558" t="s">
        <v>1498</v>
      </c>
      <c r="G1576" s="558">
        <v>126</v>
      </c>
      <c r="H1576" s="558" t="s">
        <v>1039</v>
      </c>
      <c r="I1576" s="559" t="s">
        <v>1683</v>
      </c>
      <c r="J1576" s="567" t="s">
        <v>1644</v>
      </c>
      <c r="K1576" s="961" t="s">
        <v>1568</v>
      </c>
      <c r="L1576" s="555" t="str">
        <f t="shared" ca="1" si="261"/>
        <v/>
      </c>
      <c r="M1576" s="494" t="s">
        <v>1569</v>
      </c>
      <c r="N1576" s="555" t="str">
        <f t="shared" ca="1" si="262"/>
        <v/>
      </c>
      <c r="O1576" s="494" t="s">
        <v>1570</v>
      </c>
      <c r="P1576" s="555" t="str">
        <f t="shared" ca="1" si="263"/>
        <v/>
      </c>
      <c r="Q1576" s="494" t="s">
        <v>1645</v>
      </c>
      <c r="R1576" s="494" t="str">
        <f t="shared" si="258"/>
        <v>I1576</v>
      </c>
      <c r="S1576" s="494" t="s">
        <v>1646</v>
      </c>
      <c r="T1576" s="494">
        <v>6</v>
      </c>
      <c r="U1576" s="556" t="str">
        <f t="shared" ca="1" si="259"/>
        <v/>
      </c>
      <c r="V1576" s="494">
        <v>7</v>
      </c>
      <c r="W1576" s="556" t="str">
        <f t="shared" ca="1" si="260"/>
        <v/>
      </c>
      <c r="X1576" s="494" t="s">
        <v>1647</v>
      </c>
      <c r="Y1576" s="547" t="str">
        <f t="shared" ca="1" si="264"/>
        <v/>
      </c>
      <c r="Z1576" s="494" t="s">
        <v>1583</v>
      </c>
      <c r="AA1576" s="547" t="str">
        <f t="shared" ca="1" si="265"/>
        <v/>
      </c>
      <c r="AB1576" s="494" t="s">
        <v>173</v>
      </c>
      <c r="AC1576" s="547" t="str">
        <f t="shared" ca="1" si="266"/>
        <v/>
      </c>
      <c r="AD1576" s="557"/>
      <c r="AE1576" s="958"/>
    </row>
    <row r="1577" spans="1:31" ht="15" customHeight="1">
      <c r="A1577" s="957">
        <v>1</v>
      </c>
      <c r="B1577" s="566" t="s">
        <v>1251</v>
      </c>
      <c r="C1577" s="567" t="s">
        <v>1643</v>
      </c>
      <c r="D1577" s="958">
        <v>1.1000000000000001</v>
      </c>
      <c r="E1577" s="959" t="s">
        <v>396</v>
      </c>
      <c r="F1577" s="558" t="s">
        <v>1498</v>
      </c>
      <c r="G1577" s="558">
        <v>114</v>
      </c>
      <c r="H1577" s="558" t="s">
        <v>1045</v>
      </c>
      <c r="I1577" s="559" t="s">
        <v>1684</v>
      </c>
      <c r="J1577" s="567" t="s">
        <v>1644</v>
      </c>
      <c r="K1577" s="961" t="s">
        <v>1568</v>
      </c>
      <c r="L1577" s="555" t="str">
        <f t="shared" ca="1" si="261"/>
        <v/>
      </c>
      <c r="M1577" s="494" t="s">
        <v>1569</v>
      </c>
      <c r="N1577" s="555" t="str">
        <f t="shared" ca="1" si="262"/>
        <v/>
      </c>
      <c r="O1577" s="494" t="s">
        <v>1570</v>
      </c>
      <c r="P1577" s="555" t="str">
        <f t="shared" ca="1" si="263"/>
        <v/>
      </c>
      <c r="Q1577" s="494" t="s">
        <v>1645</v>
      </c>
      <c r="R1577" s="494" t="str">
        <f t="shared" si="258"/>
        <v>I1577</v>
      </c>
      <c r="S1577" s="494" t="s">
        <v>1646</v>
      </c>
      <c r="T1577" s="494">
        <v>6</v>
      </c>
      <c r="U1577" s="556" t="str">
        <f t="shared" ca="1" si="259"/>
        <v/>
      </c>
      <c r="V1577" s="494">
        <v>7</v>
      </c>
      <c r="W1577" s="556" t="str">
        <f t="shared" ca="1" si="260"/>
        <v/>
      </c>
      <c r="X1577" s="494" t="s">
        <v>1647</v>
      </c>
      <c r="Y1577" s="547" t="str">
        <f t="shared" ca="1" si="264"/>
        <v/>
      </c>
      <c r="Z1577" s="494" t="s">
        <v>1583</v>
      </c>
      <c r="AA1577" s="547" t="str">
        <f t="shared" ca="1" si="265"/>
        <v/>
      </c>
      <c r="AB1577" s="494" t="s">
        <v>173</v>
      </c>
      <c r="AC1577" s="547" t="str">
        <f t="shared" ca="1" si="266"/>
        <v/>
      </c>
      <c r="AD1577" s="557"/>
      <c r="AE1577" s="958"/>
    </row>
    <row r="1578" spans="1:31" ht="15" customHeight="1">
      <c r="A1578" s="957">
        <v>1</v>
      </c>
      <c r="B1578" s="566" t="s">
        <v>1251</v>
      </c>
      <c r="C1578" s="567" t="s">
        <v>1643</v>
      </c>
      <c r="D1578" s="958">
        <v>1.1000000000000001</v>
      </c>
      <c r="E1578" s="959" t="s">
        <v>396</v>
      </c>
      <c r="F1578" s="558" t="s">
        <v>1498</v>
      </c>
      <c r="G1578" s="558">
        <v>115</v>
      </c>
      <c r="H1578" s="558" t="s">
        <v>1046</v>
      </c>
      <c r="I1578" s="559" t="s">
        <v>1685</v>
      </c>
      <c r="J1578" s="567" t="s">
        <v>1644</v>
      </c>
      <c r="K1578" s="961" t="s">
        <v>1568</v>
      </c>
      <c r="L1578" s="555" t="str">
        <f t="shared" ca="1" si="261"/>
        <v/>
      </c>
      <c r="M1578" s="494" t="s">
        <v>1569</v>
      </c>
      <c r="N1578" s="555" t="str">
        <f t="shared" ca="1" si="262"/>
        <v/>
      </c>
      <c r="O1578" s="494" t="s">
        <v>1570</v>
      </c>
      <c r="P1578" s="555" t="str">
        <f t="shared" ca="1" si="263"/>
        <v/>
      </c>
      <c r="Q1578" s="494" t="s">
        <v>1645</v>
      </c>
      <c r="R1578" s="494" t="str">
        <f t="shared" si="258"/>
        <v>I1578</v>
      </c>
      <c r="S1578" s="494" t="s">
        <v>1646</v>
      </c>
      <c r="T1578" s="494">
        <v>6</v>
      </c>
      <c r="U1578" s="556" t="str">
        <f t="shared" ca="1" si="259"/>
        <v/>
      </c>
      <c r="V1578" s="494">
        <v>7</v>
      </c>
      <c r="W1578" s="556" t="str">
        <f t="shared" ca="1" si="260"/>
        <v/>
      </c>
      <c r="X1578" s="494" t="s">
        <v>1647</v>
      </c>
      <c r="Y1578" s="547" t="str">
        <f t="shared" ca="1" si="264"/>
        <v/>
      </c>
      <c r="Z1578" s="494" t="s">
        <v>1583</v>
      </c>
      <c r="AA1578" s="547" t="str">
        <f t="shared" ca="1" si="265"/>
        <v/>
      </c>
      <c r="AB1578" s="494" t="s">
        <v>173</v>
      </c>
      <c r="AC1578" s="547" t="str">
        <f t="shared" ca="1" si="266"/>
        <v/>
      </c>
      <c r="AD1578" s="557"/>
      <c r="AE1578" s="958"/>
    </row>
    <row r="1579" spans="1:31" ht="15" customHeight="1">
      <c r="A1579" s="957">
        <v>1</v>
      </c>
      <c r="B1579" s="566" t="s">
        <v>1251</v>
      </c>
      <c r="C1579" s="567" t="s">
        <v>1643</v>
      </c>
      <c r="D1579" s="958">
        <v>1.1000000000000001</v>
      </c>
      <c r="E1579" s="959" t="s">
        <v>396</v>
      </c>
      <c r="F1579" s="558" t="s">
        <v>1498</v>
      </c>
      <c r="G1579" s="558">
        <v>116</v>
      </c>
      <c r="H1579" s="558" t="s">
        <v>1047</v>
      </c>
      <c r="I1579" s="559" t="s">
        <v>1686</v>
      </c>
      <c r="J1579" s="567" t="s">
        <v>1644</v>
      </c>
      <c r="K1579" s="961" t="s">
        <v>1568</v>
      </c>
      <c r="L1579" s="555" t="str">
        <f t="shared" ca="1" si="261"/>
        <v/>
      </c>
      <c r="M1579" s="494" t="s">
        <v>1569</v>
      </c>
      <c r="N1579" s="555" t="str">
        <f t="shared" ca="1" si="262"/>
        <v/>
      </c>
      <c r="O1579" s="494" t="s">
        <v>1570</v>
      </c>
      <c r="P1579" s="555" t="str">
        <f t="shared" ca="1" si="263"/>
        <v/>
      </c>
      <c r="Q1579" s="494" t="s">
        <v>1645</v>
      </c>
      <c r="R1579" s="494" t="str">
        <f t="shared" si="258"/>
        <v>I1579</v>
      </c>
      <c r="S1579" s="494" t="s">
        <v>1646</v>
      </c>
      <c r="T1579" s="494">
        <v>6</v>
      </c>
      <c r="U1579" s="556" t="str">
        <f t="shared" ca="1" si="259"/>
        <v/>
      </c>
      <c r="V1579" s="494">
        <v>7</v>
      </c>
      <c r="W1579" s="556" t="str">
        <f t="shared" ca="1" si="260"/>
        <v/>
      </c>
      <c r="X1579" s="494" t="s">
        <v>1647</v>
      </c>
      <c r="Y1579" s="547" t="str">
        <f t="shared" ca="1" si="264"/>
        <v/>
      </c>
      <c r="Z1579" s="494" t="s">
        <v>1583</v>
      </c>
      <c r="AA1579" s="547" t="str">
        <f t="shared" ca="1" si="265"/>
        <v/>
      </c>
      <c r="AB1579" s="494" t="s">
        <v>173</v>
      </c>
      <c r="AC1579" s="547" t="str">
        <f t="shared" ca="1" si="266"/>
        <v/>
      </c>
      <c r="AD1579" s="557"/>
      <c r="AE1579" s="958"/>
    </row>
    <row r="1580" spans="1:31" ht="15" customHeight="1">
      <c r="A1580" s="957">
        <v>1</v>
      </c>
      <c r="B1580" s="566" t="s">
        <v>1251</v>
      </c>
      <c r="C1580" s="567" t="s">
        <v>1643</v>
      </c>
      <c r="D1580" s="958">
        <v>1.1000000000000001</v>
      </c>
      <c r="E1580" s="959" t="s">
        <v>396</v>
      </c>
      <c r="F1580" s="558" t="s">
        <v>1498</v>
      </c>
      <c r="G1580" s="558">
        <v>129</v>
      </c>
      <c r="H1580" s="558" t="s">
        <v>1048</v>
      </c>
      <c r="I1580" s="559" t="s">
        <v>1687</v>
      </c>
      <c r="J1580" s="567" t="s">
        <v>1644</v>
      </c>
      <c r="K1580" s="961" t="s">
        <v>1568</v>
      </c>
      <c r="L1580" s="555" t="str">
        <f t="shared" ca="1" si="261"/>
        <v/>
      </c>
      <c r="M1580" s="494" t="s">
        <v>1569</v>
      </c>
      <c r="N1580" s="555" t="str">
        <f t="shared" ca="1" si="262"/>
        <v/>
      </c>
      <c r="O1580" s="494" t="s">
        <v>1570</v>
      </c>
      <c r="P1580" s="555" t="str">
        <f t="shared" ca="1" si="263"/>
        <v/>
      </c>
      <c r="Q1580" s="494" t="s">
        <v>1645</v>
      </c>
      <c r="R1580" s="494" t="str">
        <f t="shared" si="258"/>
        <v>I1580</v>
      </c>
      <c r="S1580" s="494" t="s">
        <v>1646</v>
      </c>
      <c r="T1580" s="494">
        <v>6</v>
      </c>
      <c r="U1580" s="556" t="str">
        <f t="shared" ca="1" si="259"/>
        <v/>
      </c>
      <c r="V1580" s="494">
        <v>7</v>
      </c>
      <c r="W1580" s="556" t="str">
        <f t="shared" ca="1" si="260"/>
        <v/>
      </c>
      <c r="X1580" s="494" t="s">
        <v>1647</v>
      </c>
      <c r="Y1580" s="547" t="str">
        <f t="shared" ca="1" si="264"/>
        <v/>
      </c>
      <c r="Z1580" s="494" t="s">
        <v>1583</v>
      </c>
      <c r="AA1580" s="547" t="str">
        <f t="shared" ca="1" si="265"/>
        <v/>
      </c>
      <c r="AB1580" s="494" t="s">
        <v>173</v>
      </c>
      <c r="AC1580" s="547" t="str">
        <f t="shared" ca="1" si="266"/>
        <v/>
      </c>
      <c r="AD1580" s="557"/>
      <c r="AE1580" s="958"/>
    </row>
    <row r="1581" spans="1:31" ht="15" customHeight="1">
      <c r="A1581" s="957">
        <v>1</v>
      </c>
      <c r="B1581" s="566" t="s">
        <v>1251</v>
      </c>
      <c r="C1581" s="567" t="s">
        <v>1643</v>
      </c>
      <c r="D1581" s="958">
        <v>1.1000000000000001</v>
      </c>
      <c r="E1581" s="959" t="s">
        <v>396</v>
      </c>
      <c r="F1581" s="558" t="s">
        <v>1498</v>
      </c>
      <c r="G1581" s="558">
        <v>119</v>
      </c>
      <c r="H1581" s="558" t="s">
        <v>1049</v>
      </c>
      <c r="I1581" s="559" t="s">
        <v>1688</v>
      </c>
      <c r="J1581" s="567" t="s">
        <v>1644</v>
      </c>
      <c r="K1581" s="961" t="s">
        <v>1568</v>
      </c>
      <c r="L1581" s="555" t="str">
        <f t="shared" ca="1" si="261"/>
        <v/>
      </c>
      <c r="M1581" s="494" t="s">
        <v>1569</v>
      </c>
      <c r="N1581" s="555" t="str">
        <f t="shared" ca="1" si="262"/>
        <v/>
      </c>
      <c r="O1581" s="494" t="s">
        <v>1570</v>
      </c>
      <c r="P1581" s="555" t="str">
        <f t="shared" ca="1" si="263"/>
        <v/>
      </c>
      <c r="Q1581" s="494" t="s">
        <v>1645</v>
      </c>
      <c r="R1581" s="494" t="str">
        <f t="shared" si="258"/>
        <v>I1581</v>
      </c>
      <c r="S1581" s="494" t="s">
        <v>1646</v>
      </c>
      <c r="T1581" s="494">
        <v>6</v>
      </c>
      <c r="U1581" s="556" t="str">
        <f t="shared" ca="1" si="259"/>
        <v/>
      </c>
      <c r="V1581" s="494">
        <v>7</v>
      </c>
      <c r="W1581" s="556" t="str">
        <f t="shared" ca="1" si="260"/>
        <v/>
      </c>
      <c r="X1581" s="494" t="s">
        <v>1647</v>
      </c>
      <c r="Y1581" s="547" t="str">
        <f t="shared" ca="1" si="264"/>
        <v/>
      </c>
      <c r="Z1581" s="494" t="s">
        <v>1583</v>
      </c>
      <c r="AA1581" s="547" t="str">
        <f t="shared" ca="1" si="265"/>
        <v/>
      </c>
      <c r="AB1581" s="494" t="s">
        <v>173</v>
      </c>
      <c r="AC1581" s="547" t="str">
        <f t="shared" ca="1" si="266"/>
        <v/>
      </c>
      <c r="AD1581" s="557"/>
      <c r="AE1581" s="958"/>
    </row>
    <row r="1582" spans="1:31" ht="15" customHeight="1">
      <c r="A1582" s="957">
        <v>1</v>
      </c>
      <c r="B1582" s="566" t="s">
        <v>1251</v>
      </c>
      <c r="C1582" s="567" t="s">
        <v>1643</v>
      </c>
      <c r="D1582" s="958">
        <v>1.1000000000000001</v>
      </c>
      <c r="E1582" s="959" t="s">
        <v>404</v>
      </c>
      <c r="F1582" s="558" t="s">
        <v>1499</v>
      </c>
      <c r="G1582" s="558">
        <v>120</v>
      </c>
      <c r="H1582" s="558" t="s">
        <v>1223</v>
      </c>
      <c r="I1582" s="559" t="s">
        <v>1689</v>
      </c>
      <c r="J1582" s="567" t="s">
        <v>1644</v>
      </c>
      <c r="K1582" s="961" t="s">
        <v>1568</v>
      </c>
      <c r="L1582" s="555" t="str">
        <f t="shared" ca="1" si="261"/>
        <v/>
      </c>
      <c r="M1582" s="494" t="s">
        <v>1569</v>
      </c>
      <c r="N1582" s="555" t="str">
        <f t="shared" ca="1" si="262"/>
        <v/>
      </c>
      <c r="O1582" s="494" t="s">
        <v>1570</v>
      </c>
      <c r="P1582" s="555" t="str">
        <f t="shared" ca="1" si="263"/>
        <v/>
      </c>
      <c r="Q1582" s="494" t="s">
        <v>1645</v>
      </c>
      <c r="R1582" s="494" t="str">
        <f t="shared" si="258"/>
        <v>I1582</v>
      </c>
      <c r="S1582" s="494" t="s">
        <v>1646</v>
      </c>
      <c r="T1582" s="494">
        <v>6</v>
      </c>
      <c r="U1582" s="556" t="str">
        <f t="shared" ca="1" si="259"/>
        <v/>
      </c>
      <c r="V1582" s="494">
        <v>7</v>
      </c>
      <c r="W1582" s="556" t="str">
        <f t="shared" ca="1" si="260"/>
        <v/>
      </c>
      <c r="X1582" s="494" t="s">
        <v>1647</v>
      </c>
      <c r="Y1582" s="547" t="str">
        <f t="shared" ca="1" si="264"/>
        <v/>
      </c>
      <c r="Z1582" s="494" t="s">
        <v>1583</v>
      </c>
      <c r="AA1582" s="547" t="str">
        <f t="shared" ca="1" si="265"/>
        <v/>
      </c>
      <c r="AB1582" s="494" t="s">
        <v>173</v>
      </c>
      <c r="AC1582" s="547" t="str">
        <f t="shared" ca="1" si="266"/>
        <v/>
      </c>
      <c r="AD1582" s="557"/>
      <c r="AE1582" s="958"/>
    </row>
    <row r="1583" spans="1:31" ht="15" customHeight="1">
      <c r="A1583" s="957">
        <v>1</v>
      </c>
      <c r="B1583" s="566" t="s">
        <v>1251</v>
      </c>
      <c r="C1583" s="567" t="s">
        <v>1643</v>
      </c>
      <c r="D1583" s="958">
        <v>1.1000000000000001</v>
      </c>
      <c r="E1583" s="959" t="s">
        <v>404</v>
      </c>
      <c r="F1583" s="558" t="s">
        <v>1499</v>
      </c>
      <c r="G1583" s="558">
        <v>121</v>
      </c>
      <c r="H1583" s="558" t="s">
        <v>1225</v>
      </c>
      <c r="I1583" s="559" t="s">
        <v>1690</v>
      </c>
      <c r="J1583" s="567" t="s">
        <v>1644</v>
      </c>
      <c r="K1583" s="961" t="s">
        <v>1568</v>
      </c>
      <c r="L1583" s="555" t="str">
        <f t="shared" ca="1" si="261"/>
        <v/>
      </c>
      <c r="M1583" s="494" t="s">
        <v>1569</v>
      </c>
      <c r="N1583" s="555" t="str">
        <f t="shared" ca="1" si="262"/>
        <v/>
      </c>
      <c r="O1583" s="494" t="s">
        <v>1570</v>
      </c>
      <c r="P1583" s="555" t="str">
        <f t="shared" ca="1" si="263"/>
        <v/>
      </c>
      <c r="Q1583" s="494" t="s">
        <v>1645</v>
      </c>
      <c r="R1583" s="494" t="str">
        <f t="shared" si="258"/>
        <v>I1583</v>
      </c>
      <c r="S1583" s="494" t="s">
        <v>1646</v>
      </c>
      <c r="T1583" s="494">
        <v>6</v>
      </c>
      <c r="U1583" s="556" t="str">
        <f t="shared" ca="1" si="259"/>
        <v/>
      </c>
      <c r="V1583" s="494">
        <v>7</v>
      </c>
      <c r="W1583" s="556" t="str">
        <f t="shared" ca="1" si="260"/>
        <v/>
      </c>
      <c r="X1583" s="494" t="s">
        <v>1647</v>
      </c>
      <c r="Y1583" s="547" t="str">
        <f t="shared" ca="1" si="264"/>
        <v/>
      </c>
      <c r="Z1583" s="494" t="s">
        <v>1583</v>
      </c>
      <c r="AA1583" s="547" t="str">
        <f t="shared" ca="1" si="265"/>
        <v/>
      </c>
      <c r="AB1583" s="494" t="s">
        <v>173</v>
      </c>
      <c r="AC1583" s="547" t="str">
        <f t="shared" ca="1" si="266"/>
        <v/>
      </c>
      <c r="AD1583" s="557"/>
      <c r="AE1583" s="958"/>
    </row>
    <row r="1584" spans="1:31" ht="15" customHeight="1">
      <c r="A1584" s="957">
        <v>1</v>
      </c>
      <c r="B1584" s="566" t="s">
        <v>1251</v>
      </c>
      <c r="C1584" s="567" t="s">
        <v>1643</v>
      </c>
      <c r="D1584" s="958">
        <v>1.1000000000000001</v>
      </c>
      <c r="E1584" s="959" t="s">
        <v>419</v>
      </c>
      <c r="F1584" s="558" t="s">
        <v>1501</v>
      </c>
      <c r="G1584" s="558">
        <v>18</v>
      </c>
      <c r="H1584" s="558" t="s">
        <v>1079</v>
      </c>
      <c r="I1584" s="559" t="s">
        <v>1242</v>
      </c>
      <c r="J1584" s="567" t="s">
        <v>1644</v>
      </c>
      <c r="K1584" s="961" t="s">
        <v>1568</v>
      </c>
      <c r="L1584" s="555" t="str">
        <f t="shared" ca="1" si="261"/>
        <v/>
      </c>
      <c r="M1584" s="494" t="s">
        <v>1569</v>
      </c>
      <c r="N1584" s="555" t="str">
        <f t="shared" ca="1" si="262"/>
        <v/>
      </c>
      <c r="O1584" s="494" t="s">
        <v>1570</v>
      </c>
      <c r="P1584" s="555" t="str">
        <f t="shared" ca="1" si="263"/>
        <v/>
      </c>
      <c r="Q1584" s="494" t="s">
        <v>1645</v>
      </c>
      <c r="R1584" s="494" t="str">
        <f>CONCATENATE("I",ROW(J1584))</f>
        <v>I1584</v>
      </c>
      <c r="S1584" s="494" t="s">
        <v>1646</v>
      </c>
      <c r="T1584" s="494">
        <v>6</v>
      </c>
      <c r="U1584" s="556" t="str">
        <f t="shared" ca="1" si="259"/>
        <v/>
      </c>
      <c r="V1584" s="494">
        <v>7</v>
      </c>
      <c r="W1584" s="556" t="str">
        <f t="shared" ca="1" si="260"/>
        <v/>
      </c>
      <c r="X1584" s="494" t="s">
        <v>1647</v>
      </c>
      <c r="Y1584" s="547" t="str">
        <f t="shared" ca="1" si="264"/>
        <v/>
      </c>
      <c r="Z1584" s="494" t="s">
        <v>1583</v>
      </c>
      <c r="AA1584" s="547" t="str">
        <f t="shared" ca="1" si="265"/>
        <v/>
      </c>
      <c r="AB1584" s="494" t="s">
        <v>173</v>
      </c>
      <c r="AC1584" s="547" t="str">
        <f t="shared" ca="1" si="266"/>
        <v/>
      </c>
      <c r="AD1584" s="557"/>
      <c r="AE1584" s="958"/>
    </row>
    <row r="1585" spans="1:31" ht="15" customHeight="1">
      <c r="A1585" s="957">
        <v>1</v>
      </c>
      <c r="B1585" s="566" t="s">
        <v>1251</v>
      </c>
      <c r="C1585" s="567" t="s">
        <v>1643</v>
      </c>
      <c r="D1585" s="958">
        <v>1.1000000000000001</v>
      </c>
      <c r="E1585" s="959" t="s">
        <v>419</v>
      </c>
      <c r="F1585" s="558" t="s">
        <v>1501</v>
      </c>
      <c r="G1585" s="558">
        <v>24</v>
      </c>
      <c r="H1585" s="558" t="s">
        <v>1243</v>
      </c>
      <c r="I1585" s="559" t="s">
        <v>1244</v>
      </c>
      <c r="J1585" s="567" t="s">
        <v>1644</v>
      </c>
      <c r="K1585" s="961" t="s">
        <v>1568</v>
      </c>
      <c r="L1585" s="555" t="str">
        <f t="shared" ca="1" si="261"/>
        <v/>
      </c>
      <c r="M1585" s="494" t="s">
        <v>1569</v>
      </c>
      <c r="N1585" s="555" t="str">
        <f t="shared" ca="1" si="262"/>
        <v/>
      </c>
      <c r="O1585" s="494" t="s">
        <v>1570</v>
      </c>
      <c r="P1585" s="555" t="str">
        <f t="shared" ca="1" si="263"/>
        <v/>
      </c>
      <c r="Q1585" s="494" t="s">
        <v>1645</v>
      </c>
      <c r="R1585" s="494" t="str">
        <f>CONCATENATE("I",ROW(J1585))</f>
        <v>I1585</v>
      </c>
      <c r="S1585" s="494" t="s">
        <v>1646</v>
      </c>
      <c r="T1585" s="494">
        <v>6</v>
      </c>
      <c r="U1585" s="556" t="str">
        <f t="shared" ca="1" si="259"/>
        <v/>
      </c>
      <c r="V1585" s="494">
        <v>7</v>
      </c>
      <c r="W1585" s="556" t="str">
        <f t="shared" ca="1" si="260"/>
        <v/>
      </c>
      <c r="X1585" s="494" t="s">
        <v>1647</v>
      </c>
      <c r="Y1585" s="547" t="str">
        <f t="shared" ca="1" si="264"/>
        <v/>
      </c>
      <c r="Z1585" s="494" t="s">
        <v>1583</v>
      </c>
      <c r="AA1585" s="547" t="str">
        <f t="shared" ca="1" si="265"/>
        <v/>
      </c>
      <c r="AB1585" s="494" t="s">
        <v>173</v>
      </c>
      <c r="AC1585" s="547" t="str">
        <f t="shared" ca="1" si="266"/>
        <v/>
      </c>
      <c r="AD1585" s="557"/>
      <c r="AE1585" s="958"/>
    </row>
    <row r="1586" spans="1:31" ht="15" customHeight="1">
      <c r="A1586" s="957">
        <v>1</v>
      </c>
      <c r="B1586" s="566" t="s">
        <v>1251</v>
      </c>
      <c r="C1586" s="567" t="s">
        <v>1643</v>
      </c>
      <c r="D1586" s="958">
        <v>1.1000000000000001</v>
      </c>
      <c r="E1586" s="959" t="s">
        <v>419</v>
      </c>
      <c r="F1586" s="558" t="s">
        <v>1501</v>
      </c>
      <c r="G1586" s="558">
        <v>28</v>
      </c>
      <c r="H1586" s="558" t="s">
        <v>1245</v>
      </c>
      <c r="I1586" s="559" t="s">
        <v>1246</v>
      </c>
      <c r="J1586" s="567" t="s">
        <v>1644</v>
      </c>
      <c r="K1586" s="961" t="s">
        <v>1568</v>
      </c>
      <c r="L1586" s="555" t="str">
        <f t="shared" ca="1" si="261"/>
        <v/>
      </c>
      <c r="M1586" s="494" t="s">
        <v>1569</v>
      </c>
      <c r="N1586" s="555" t="str">
        <f t="shared" ca="1" si="262"/>
        <v/>
      </c>
      <c r="O1586" s="494" t="s">
        <v>1570</v>
      </c>
      <c r="P1586" s="555" t="str">
        <f t="shared" ca="1" si="263"/>
        <v/>
      </c>
      <c r="Q1586" s="494" t="s">
        <v>1645</v>
      </c>
      <c r="R1586" s="494" t="str">
        <f>CONCATENATE("I",ROW(J1586))</f>
        <v>I1586</v>
      </c>
      <c r="S1586" s="494" t="s">
        <v>1646</v>
      </c>
      <c r="T1586" s="494">
        <v>6</v>
      </c>
      <c r="U1586" s="556" t="str">
        <f t="shared" ca="1" si="259"/>
        <v/>
      </c>
      <c r="V1586" s="494">
        <v>7</v>
      </c>
      <c r="W1586" s="556" t="str">
        <f t="shared" ca="1" si="260"/>
        <v/>
      </c>
      <c r="X1586" s="494" t="s">
        <v>1647</v>
      </c>
      <c r="Y1586" s="547" t="str">
        <f t="shared" ca="1" si="264"/>
        <v/>
      </c>
      <c r="Z1586" s="494" t="s">
        <v>1583</v>
      </c>
      <c r="AA1586" s="547" t="str">
        <f t="shared" ca="1" si="265"/>
        <v/>
      </c>
      <c r="AB1586" s="494" t="s">
        <v>173</v>
      </c>
      <c r="AC1586" s="547" t="str">
        <f t="shared" ca="1" si="266"/>
        <v/>
      </c>
      <c r="AD1586" s="557"/>
      <c r="AE1586" s="958"/>
    </row>
    <row r="1587" spans="1:31" ht="15" customHeight="1">
      <c r="A1587" s="957" t="str">
        <f ca="1">IF(N1587="Design Review",2,IF(N1587="As Built",3,"2/3"))</f>
        <v>2/3</v>
      </c>
      <c r="B1587" s="566" t="s">
        <v>1249</v>
      </c>
      <c r="C1587" s="567" t="str">
        <f ca="1">IF(N1587="Design Review","Green Star - Office Design",IF(N1587="As Built","Green Star - Office As Built","Green Star - Office"))</f>
        <v>Green Star - Office</v>
      </c>
      <c r="D1587" s="958">
        <v>2</v>
      </c>
      <c r="E1587" s="959" t="s">
        <v>254</v>
      </c>
      <c r="F1587" s="558" t="s">
        <v>1444</v>
      </c>
      <c r="G1587" s="558">
        <v>16</v>
      </c>
      <c r="H1587" s="558" t="s">
        <v>1091</v>
      </c>
      <c r="I1587" s="559" t="s">
        <v>257</v>
      </c>
      <c r="J1587" s="567" t="s">
        <v>1644</v>
      </c>
      <c r="K1587" s="961" t="s">
        <v>1568</v>
      </c>
      <c r="L1587" s="555" t="str">
        <f t="shared" ca="1" si="261"/>
        <v/>
      </c>
      <c r="M1587" s="494" t="s">
        <v>1569</v>
      </c>
      <c r="N1587" s="555" t="str">
        <f t="shared" ca="1" si="262"/>
        <v/>
      </c>
      <c r="O1587" s="494" t="s">
        <v>1570</v>
      </c>
      <c r="P1587" s="555" t="str">
        <f t="shared" ca="1" si="263"/>
        <v/>
      </c>
      <c r="Q1587" s="494" t="s">
        <v>1645</v>
      </c>
      <c r="R1587" s="494" t="str">
        <f t="shared" si="258"/>
        <v>I1587</v>
      </c>
      <c r="S1587" s="494" t="s">
        <v>1646</v>
      </c>
      <c r="T1587" s="494">
        <v>6</v>
      </c>
      <c r="U1587" s="556" t="str">
        <f t="shared" ca="1" si="259"/>
        <v/>
      </c>
      <c r="V1587" s="494">
        <v>7</v>
      </c>
      <c r="W1587" s="556" t="str">
        <f t="shared" ca="1" si="260"/>
        <v/>
      </c>
      <c r="X1587" s="494" t="s">
        <v>1647</v>
      </c>
      <c r="Y1587" s="547" t="str">
        <f t="shared" ca="1" si="264"/>
        <v/>
      </c>
      <c r="Z1587" s="494" t="s">
        <v>1583</v>
      </c>
      <c r="AA1587" s="547" t="str">
        <f t="shared" ca="1" si="265"/>
        <v/>
      </c>
      <c r="AB1587" s="494" t="s">
        <v>173</v>
      </c>
      <c r="AC1587" s="547" t="str">
        <f t="shared" ca="1" si="266"/>
        <v/>
      </c>
      <c r="AD1587" s="557"/>
      <c r="AE1587" s="958"/>
    </row>
    <row r="1588" spans="1:31" ht="15" customHeight="1">
      <c r="A1588" s="957" t="str">
        <f t="shared" ref="A1588:A1651" ca="1" si="268">IF(N1588="Design Review",2,IF(N1588="As Built",3,"2/3"))</f>
        <v>2/3</v>
      </c>
      <c r="B1588" s="566" t="s">
        <v>1249</v>
      </c>
      <c r="C1588" s="567" t="str">
        <f t="shared" ref="C1588:C1651" ca="1" si="269">IF(N1588="Design Review","Green Star - Office Design",IF(N1588="As Built","Green Star - Office As Built","Green Star - Office"))</f>
        <v>Green Star - Office</v>
      </c>
      <c r="D1588" s="958">
        <v>2</v>
      </c>
      <c r="E1588" s="959" t="s">
        <v>254</v>
      </c>
      <c r="F1588" s="558" t="s">
        <v>1444</v>
      </c>
      <c r="G1588" s="558">
        <v>86</v>
      </c>
      <c r="H1588" s="558" t="s">
        <v>1093</v>
      </c>
      <c r="I1588" s="559" t="s">
        <v>1095</v>
      </c>
      <c r="J1588" s="567" t="s">
        <v>1644</v>
      </c>
      <c r="K1588" s="961" t="s">
        <v>1568</v>
      </c>
      <c r="L1588" s="555" t="str">
        <f t="shared" ca="1" si="261"/>
        <v/>
      </c>
      <c r="M1588" s="494" t="s">
        <v>1569</v>
      </c>
      <c r="N1588" s="555" t="str">
        <f t="shared" ca="1" si="262"/>
        <v/>
      </c>
      <c r="O1588" s="494" t="s">
        <v>1570</v>
      </c>
      <c r="P1588" s="555" t="str">
        <f t="shared" ca="1" si="263"/>
        <v/>
      </c>
      <c r="Q1588" s="494" t="s">
        <v>1645</v>
      </c>
      <c r="R1588" s="494" t="str">
        <f t="shared" si="258"/>
        <v>I1588</v>
      </c>
      <c r="S1588" s="494" t="s">
        <v>1648</v>
      </c>
      <c r="T1588" s="494">
        <v>6</v>
      </c>
      <c r="U1588" s="556" t="str">
        <f t="shared" ca="1" si="259"/>
        <v/>
      </c>
      <c r="V1588" s="494">
        <v>7</v>
      </c>
      <c r="W1588" s="556" t="str">
        <f t="shared" ca="1" si="260"/>
        <v/>
      </c>
      <c r="X1588" s="494" t="s">
        <v>1647</v>
      </c>
      <c r="Y1588" s="547" t="str">
        <f t="shared" ca="1" si="264"/>
        <v/>
      </c>
      <c r="Z1588" s="494" t="s">
        <v>1583</v>
      </c>
      <c r="AA1588" s="547" t="str">
        <f t="shared" ca="1" si="265"/>
        <v/>
      </c>
      <c r="AB1588" s="494" t="s">
        <v>173</v>
      </c>
      <c r="AC1588" s="547" t="str">
        <f t="shared" ca="1" si="266"/>
        <v/>
      </c>
      <c r="AD1588" s="557"/>
      <c r="AE1588" s="958"/>
    </row>
    <row r="1589" spans="1:31" ht="15" customHeight="1">
      <c r="A1589" s="957" t="str">
        <f t="shared" ca="1" si="268"/>
        <v>2/3</v>
      </c>
      <c r="B1589" s="566" t="s">
        <v>1249</v>
      </c>
      <c r="C1589" s="567" t="str">
        <f t="shared" ca="1" si="269"/>
        <v>Green Star - Office</v>
      </c>
      <c r="D1589" s="958">
        <v>2</v>
      </c>
      <c r="E1589" s="959" t="s">
        <v>254</v>
      </c>
      <c r="F1589" s="558" t="s">
        <v>1444</v>
      </c>
      <c r="G1589" s="558">
        <v>86</v>
      </c>
      <c r="H1589" s="558" t="s">
        <v>1093</v>
      </c>
      <c r="I1589" s="559" t="s">
        <v>1097</v>
      </c>
      <c r="J1589" s="567" t="s">
        <v>1644</v>
      </c>
      <c r="K1589" s="961" t="s">
        <v>1568</v>
      </c>
      <c r="L1589" s="555" t="str">
        <f t="shared" ca="1" si="261"/>
        <v/>
      </c>
      <c r="M1589" s="494" t="s">
        <v>1569</v>
      </c>
      <c r="N1589" s="555" t="str">
        <f t="shared" ca="1" si="262"/>
        <v/>
      </c>
      <c r="O1589" s="494" t="s">
        <v>1570</v>
      </c>
      <c r="P1589" s="555" t="str">
        <f t="shared" ca="1" si="263"/>
        <v/>
      </c>
      <c r="Q1589" s="494" t="s">
        <v>1645</v>
      </c>
      <c r="R1589" s="494" t="str">
        <f t="shared" si="258"/>
        <v>I1589</v>
      </c>
      <c r="S1589" s="494" t="s">
        <v>1648</v>
      </c>
      <c r="T1589" s="494">
        <v>6</v>
      </c>
      <c r="U1589" s="556" t="str">
        <f t="shared" ca="1" si="259"/>
        <v/>
      </c>
      <c r="V1589" s="494">
        <v>7</v>
      </c>
      <c r="W1589" s="556" t="str">
        <f t="shared" ca="1" si="260"/>
        <v/>
      </c>
      <c r="X1589" s="494" t="s">
        <v>1647</v>
      </c>
      <c r="Y1589" s="547" t="str">
        <f t="shared" ca="1" si="264"/>
        <v/>
      </c>
      <c r="Z1589" s="494" t="s">
        <v>1583</v>
      </c>
      <c r="AA1589" s="547" t="str">
        <f t="shared" ca="1" si="265"/>
        <v/>
      </c>
      <c r="AB1589" s="494" t="s">
        <v>173</v>
      </c>
      <c r="AC1589" s="547" t="str">
        <f t="shared" ca="1" si="266"/>
        <v/>
      </c>
      <c r="AD1589" s="557"/>
      <c r="AE1589" s="958"/>
    </row>
    <row r="1590" spans="1:31" ht="15" customHeight="1">
      <c r="A1590" s="957" t="str">
        <f t="shared" ca="1" si="268"/>
        <v>2/3</v>
      </c>
      <c r="B1590" s="566" t="s">
        <v>1249</v>
      </c>
      <c r="C1590" s="567" t="str">
        <f t="shared" ca="1" si="269"/>
        <v>Green Star - Office</v>
      </c>
      <c r="D1590" s="958">
        <v>2</v>
      </c>
      <c r="E1590" s="959" t="s">
        <v>254</v>
      </c>
      <c r="F1590" s="558" t="s">
        <v>1444</v>
      </c>
      <c r="G1590" s="558">
        <v>87</v>
      </c>
      <c r="H1590" s="558" t="s">
        <v>1098</v>
      </c>
      <c r="I1590" s="559" t="s">
        <v>1691</v>
      </c>
      <c r="J1590" s="567" t="s">
        <v>1644</v>
      </c>
      <c r="K1590" s="961" t="s">
        <v>1568</v>
      </c>
      <c r="L1590" s="555" t="str">
        <f t="shared" ca="1" si="261"/>
        <v/>
      </c>
      <c r="M1590" s="494" t="s">
        <v>1569</v>
      </c>
      <c r="N1590" s="555" t="str">
        <f t="shared" ca="1" si="262"/>
        <v/>
      </c>
      <c r="O1590" s="494" t="s">
        <v>1570</v>
      </c>
      <c r="P1590" s="555" t="str">
        <f t="shared" ca="1" si="263"/>
        <v/>
      </c>
      <c r="Q1590" s="494" t="s">
        <v>1645</v>
      </c>
      <c r="R1590" s="494" t="str">
        <f t="shared" ref="R1590:R1653" si="270">CONCATENATE("I",ROW(J1590))</f>
        <v>I1590</v>
      </c>
      <c r="S1590" s="494" t="s">
        <v>1646</v>
      </c>
      <c r="T1590" s="494">
        <v>6</v>
      </c>
      <c r="U1590" s="556" t="str">
        <f t="shared" ca="1" si="259"/>
        <v/>
      </c>
      <c r="V1590" s="494">
        <v>7</v>
      </c>
      <c r="W1590" s="556" t="str">
        <f t="shared" ca="1" si="260"/>
        <v/>
      </c>
      <c r="X1590" s="494" t="s">
        <v>1647</v>
      </c>
      <c r="Y1590" s="547" t="str">
        <f t="shared" ca="1" si="264"/>
        <v/>
      </c>
      <c r="Z1590" s="494" t="s">
        <v>1583</v>
      </c>
      <c r="AA1590" s="547" t="str">
        <f t="shared" ca="1" si="265"/>
        <v/>
      </c>
      <c r="AB1590" s="494" t="s">
        <v>173</v>
      </c>
      <c r="AC1590" s="547" t="str">
        <f t="shared" ca="1" si="266"/>
        <v/>
      </c>
      <c r="AD1590" s="557"/>
      <c r="AE1590" s="958"/>
    </row>
    <row r="1591" spans="1:31" ht="15" customHeight="1">
      <c r="A1591" s="957" t="str">
        <f t="shared" ca="1" si="268"/>
        <v>2/3</v>
      </c>
      <c r="B1591" s="566" t="s">
        <v>1249</v>
      </c>
      <c r="C1591" s="567" t="str">
        <f t="shared" ca="1" si="269"/>
        <v>Green Star - Office</v>
      </c>
      <c r="D1591" s="958">
        <v>2</v>
      </c>
      <c r="E1591" s="959" t="s">
        <v>254</v>
      </c>
      <c r="F1591" s="558" t="s">
        <v>1444</v>
      </c>
      <c r="G1591" s="558">
        <v>88</v>
      </c>
      <c r="H1591" s="558" t="s">
        <v>1100</v>
      </c>
      <c r="I1591" s="559" t="s">
        <v>1692</v>
      </c>
      <c r="J1591" s="567" t="s">
        <v>1644</v>
      </c>
      <c r="K1591" s="961" t="s">
        <v>1568</v>
      </c>
      <c r="L1591" s="555" t="str">
        <f t="shared" ca="1" si="261"/>
        <v/>
      </c>
      <c r="M1591" s="494" t="s">
        <v>1569</v>
      </c>
      <c r="N1591" s="555" t="str">
        <f t="shared" ca="1" si="262"/>
        <v/>
      </c>
      <c r="O1591" s="494" t="s">
        <v>1570</v>
      </c>
      <c r="P1591" s="555" t="str">
        <f t="shared" ca="1" si="263"/>
        <v/>
      </c>
      <c r="Q1591" s="494" t="s">
        <v>1645</v>
      </c>
      <c r="R1591" s="494" t="str">
        <f t="shared" si="270"/>
        <v>I1591</v>
      </c>
      <c r="S1591" s="494" t="s">
        <v>1646</v>
      </c>
      <c r="T1591" s="494">
        <v>6</v>
      </c>
      <c r="U1591" s="556" t="str">
        <f t="shared" ca="1" si="259"/>
        <v/>
      </c>
      <c r="V1591" s="494">
        <v>7</v>
      </c>
      <c r="W1591" s="556" t="str">
        <f t="shared" ca="1" si="260"/>
        <v/>
      </c>
      <c r="X1591" s="494" t="s">
        <v>1647</v>
      </c>
      <c r="Y1591" s="547" t="str">
        <f t="shared" ca="1" si="264"/>
        <v/>
      </c>
      <c r="Z1591" s="494" t="s">
        <v>1583</v>
      </c>
      <c r="AA1591" s="547" t="str">
        <f t="shared" ca="1" si="265"/>
        <v/>
      </c>
      <c r="AB1591" s="494" t="s">
        <v>173</v>
      </c>
      <c r="AC1591" s="547" t="str">
        <f t="shared" ca="1" si="266"/>
        <v/>
      </c>
      <c r="AD1591" s="557"/>
      <c r="AE1591" s="958"/>
    </row>
    <row r="1592" spans="1:31" ht="15" customHeight="1">
      <c r="A1592" s="957" t="str">
        <f t="shared" ca="1" si="268"/>
        <v>2/3</v>
      </c>
      <c r="B1592" s="566" t="s">
        <v>1249</v>
      </c>
      <c r="C1592" s="567" t="str">
        <f t="shared" ca="1" si="269"/>
        <v>Green Star - Office</v>
      </c>
      <c r="D1592" s="958">
        <v>2</v>
      </c>
      <c r="E1592" s="959" t="s">
        <v>254</v>
      </c>
      <c r="F1592" s="558" t="s">
        <v>1444</v>
      </c>
      <c r="G1592" s="558">
        <v>91</v>
      </c>
      <c r="H1592" s="558" t="s">
        <v>1101</v>
      </c>
      <c r="I1592" s="559" t="s">
        <v>1272</v>
      </c>
      <c r="J1592" s="567" t="s">
        <v>1644</v>
      </c>
      <c r="K1592" s="961" t="s">
        <v>1568</v>
      </c>
      <c r="L1592" s="555" t="str">
        <f t="shared" ca="1" si="261"/>
        <v/>
      </c>
      <c r="M1592" s="494" t="s">
        <v>1569</v>
      </c>
      <c r="N1592" s="555" t="str">
        <f t="shared" ca="1" si="262"/>
        <v/>
      </c>
      <c r="O1592" s="494" t="s">
        <v>1570</v>
      </c>
      <c r="P1592" s="555" t="str">
        <f t="shared" ca="1" si="263"/>
        <v/>
      </c>
      <c r="Q1592" s="494" t="s">
        <v>1645</v>
      </c>
      <c r="R1592" s="494" t="str">
        <f t="shared" si="270"/>
        <v>I1592</v>
      </c>
      <c r="S1592" s="494" t="s">
        <v>1646</v>
      </c>
      <c r="T1592" s="494">
        <v>6</v>
      </c>
      <c r="U1592" s="556" t="str">
        <f t="shared" ca="1" si="259"/>
        <v/>
      </c>
      <c r="V1592" s="494">
        <v>7</v>
      </c>
      <c r="W1592" s="556" t="str">
        <f t="shared" ca="1" si="260"/>
        <v/>
      </c>
      <c r="X1592" s="494" t="s">
        <v>1647</v>
      </c>
      <c r="Y1592" s="547" t="str">
        <f t="shared" ca="1" si="264"/>
        <v/>
      </c>
      <c r="Z1592" s="494" t="s">
        <v>1583</v>
      </c>
      <c r="AA1592" s="547" t="str">
        <f t="shared" ca="1" si="265"/>
        <v/>
      </c>
      <c r="AB1592" s="494" t="s">
        <v>173</v>
      </c>
      <c r="AC1592" s="547" t="str">
        <f t="shared" ca="1" si="266"/>
        <v/>
      </c>
      <c r="AD1592" s="557"/>
      <c r="AE1592" s="958"/>
    </row>
    <row r="1593" spans="1:31" ht="15" customHeight="1">
      <c r="A1593" s="957" t="str">
        <f t="shared" ca="1" si="268"/>
        <v>2/3</v>
      </c>
      <c r="B1593" s="566" t="s">
        <v>1249</v>
      </c>
      <c r="C1593" s="567" t="str">
        <f t="shared" ca="1" si="269"/>
        <v>Green Star - Office</v>
      </c>
      <c r="D1593" s="958">
        <v>2</v>
      </c>
      <c r="E1593" s="959" t="s">
        <v>254</v>
      </c>
      <c r="F1593" s="558" t="s">
        <v>1444</v>
      </c>
      <c r="G1593" s="558">
        <v>94</v>
      </c>
      <c r="H1593" s="558" t="s">
        <v>1103</v>
      </c>
      <c r="I1593" s="559" t="s">
        <v>1693</v>
      </c>
      <c r="J1593" s="567" t="s">
        <v>1644</v>
      </c>
      <c r="K1593" s="961" t="s">
        <v>1568</v>
      </c>
      <c r="L1593" s="555" t="str">
        <f t="shared" ca="1" si="261"/>
        <v/>
      </c>
      <c r="M1593" s="494" t="s">
        <v>1569</v>
      </c>
      <c r="N1593" s="555" t="str">
        <f t="shared" ca="1" si="262"/>
        <v/>
      </c>
      <c r="O1593" s="494" t="s">
        <v>1570</v>
      </c>
      <c r="P1593" s="555" t="str">
        <f t="shared" ca="1" si="263"/>
        <v/>
      </c>
      <c r="Q1593" s="494" t="s">
        <v>1645</v>
      </c>
      <c r="R1593" s="494" t="str">
        <f t="shared" si="270"/>
        <v>I1593</v>
      </c>
      <c r="S1593" s="494" t="s">
        <v>1648</v>
      </c>
      <c r="T1593" s="494">
        <v>6</v>
      </c>
      <c r="U1593" s="556" t="str">
        <f t="shared" ca="1" si="259"/>
        <v/>
      </c>
      <c r="V1593" s="494">
        <v>7</v>
      </c>
      <c r="W1593" s="556" t="str">
        <f t="shared" ca="1" si="260"/>
        <v/>
      </c>
      <c r="X1593" s="494" t="s">
        <v>1647</v>
      </c>
      <c r="Y1593" s="547" t="str">
        <f t="shared" ca="1" si="264"/>
        <v/>
      </c>
      <c r="Z1593" s="494" t="s">
        <v>1583</v>
      </c>
      <c r="AA1593" s="547" t="str">
        <f t="shared" ca="1" si="265"/>
        <v/>
      </c>
      <c r="AB1593" s="494" t="s">
        <v>173</v>
      </c>
      <c r="AC1593" s="547" t="str">
        <f t="shared" ca="1" si="266"/>
        <v/>
      </c>
      <c r="AD1593" s="557"/>
      <c r="AE1593" s="958"/>
    </row>
    <row r="1594" spans="1:31" ht="15" customHeight="1">
      <c r="A1594" s="957" t="str">
        <f t="shared" ca="1" si="268"/>
        <v>2/3</v>
      </c>
      <c r="B1594" s="566" t="s">
        <v>1249</v>
      </c>
      <c r="C1594" s="567" t="str">
        <f t="shared" ca="1" si="269"/>
        <v>Green Star - Office</v>
      </c>
      <c r="D1594" s="958">
        <v>2</v>
      </c>
      <c r="E1594" s="959" t="s">
        <v>254</v>
      </c>
      <c r="F1594" s="558" t="s">
        <v>1444</v>
      </c>
      <c r="G1594" s="558">
        <v>94</v>
      </c>
      <c r="H1594" s="558" t="s">
        <v>1103</v>
      </c>
      <c r="I1594" s="559" t="s">
        <v>1694</v>
      </c>
      <c r="J1594" s="567" t="s">
        <v>1644</v>
      </c>
      <c r="K1594" s="961" t="s">
        <v>1568</v>
      </c>
      <c r="L1594" s="555" t="str">
        <f t="shared" ca="1" si="261"/>
        <v/>
      </c>
      <c r="M1594" s="494" t="s">
        <v>1569</v>
      </c>
      <c r="N1594" s="555" t="str">
        <f t="shared" ca="1" si="262"/>
        <v/>
      </c>
      <c r="O1594" s="494" t="s">
        <v>1570</v>
      </c>
      <c r="P1594" s="555" t="str">
        <f t="shared" ca="1" si="263"/>
        <v/>
      </c>
      <c r="Q1594" s="494" t="s">
        <v>1645</v>
      </c>
      <c r="R1594" s="494" t="str">
        <f t="shared" si="270"/>
        <v>I1594</v>
      </c>
      <c r="S1594" s="494" t="s">
        <v>1648</v>
      </c>
      <c r="T1594" s="494">
        <v>6</v>
      </c>
      <c r="U1594" s="556" t="str">
        <f t="shared" ca="1" si="259"/>
        <v/>
      </c>
      <c r="V1594" s="494">
        <v>7</v>
      </c>
      <c r="W1594" s="556" t="str">
        <f t="shared" ca="1" si="260"/>
        <v/>
      </c>
      <c r="X1594" s="494" t="s">
        <v>1647</v>
      </c>
      <c r="Y1594" s="547" t="str">
        <f t="shared" ca="1" si="264"/>
        <v/>
      </c>
      <c r="Z1594" s="494" t="s">
        <v>1583</v>
      </c>
      <c r="AA1594" s="547" t="str">
        <f t="shared" ca="1" si="265"/>
        <v/>
      </c>
      <c r="AB1594" s="494" t="s">
        <v>173</v>
      </c>
      <c r="AC1594" s="547" t="str">
        <f t="shared" ca="1" si="266"/>
        <v/>
      </c>
      <c r="AD1594" s="557"/>
      <c r="AE1594" s="958"/>
    </row>
    <row r="1595" spans="1:31" ht="15" customHeight="1">
      <c r="A1595" s="957" t="str">
        <f t="shared" ca="1" si="268"/>
        <v>2/3</v>
      </c>
      <c r="B1595" s="566" t="s">
        <v>1249</v>
      </c>
      <c r="C1595" s="567" t="str">
        <f t="shared" ca="1" si="269"/>
        <v>Green Star - Office</v>
      </c>
      <c r="D1595" s="958">
        <v>2</v>
      </c>
      <c r="E1595" s="959" t="s">
        <v>254</v>
      </c>
      <c r="F1595" s="558" t="s">
        <v>1444</v>
      </c>
      <c r="G1595" s="558">
        <v>97</v>
      </c>
      <c r="H1595" s="558" t="s">
        <v>1104</v>
      </c>
      <c r="I1595" s="559" t="s">
        <v>785</v>
      </c>
      <c r="J1595" s="567" t="s">
        <v>1644</v>
      </c>
      <c r="K1595" s="961" t="s">
        <v>1568</v>
      </c>
      <c r="L1595" s="555" t="str">
        <f t="shared" ca="1" si="261"/>
        <v/>
      </c>
      <c r="M1595" s="494" t="s">
        <v>1569</v>
      </c>
      <c r="N1595" s="555" t="str">
        <f t="shared" ca="1" si="262"/>
        <v/>
      </c>
      <c r="O1595" s="494" t="s">
        <v>1570</v>
      </c>
      <c r="P1595" s="555" t="str">
        <f t="shared" ca="1" si="263"/>
        <v/>
      </c>
      <c r="Q1595" s="494" t="s">
        <v>1645</v>
      </c>
      <c r="R1595" s="494" t="str">
        <f t="shared" si="270"/>
        <v>I1595</v>
      </c>
      <c r="S1595" s="494" t="s">
        <v>1646</v>
      </c>
      <c r="T1595" s="494">
        <v>6</v>
      </c>
      <c r="U1595" s="556" t="str">
        <f t="shared" ca="1" si="259"/>
        <v/>
      </c>
      <c r="V1595" s="494">
        <v>7</v>
      </c>
      <c r="W1595" s="556" t="str">
        <f t="shared" ca="1" si="260"/>
        <v/>
      </c>
      <c r="X1595" s="494" t="s">
        <v>1647</v>
      </c>
      <c r="Y1595" s="547" t="str">
        <f t="shared" ca="1" si="264"/>
        <v/>
      </c>
      <c r="Z1595" s="494" t="s">
        <v>1583</v>
      </c>
      <c r="AA1595" s="547" t="str">
        <f t="shared" ca="1" si="265"/>
        <v/>
      </c>
      <c r="AB1595" s="494" t="s">
        <v>173</v>
      </c>
      <c r="AC1595" s="547" t="str">
        <f t="shared" ca="1" si="266"/>
        <v/>
      </c>
      <c r="AD1595" s="557"/>
      <c r="AE1595" s="958"/>
    </row>
    <row r="1596" spans="1:31" ht="15" customHeight="1">
      <c r="A1596" s="957" t="str">
        <f t="shared" ca="1" si="268"/>
        <v>2/3</v>
      </c>
      <c r="B1596" s="566" t="s">
        <v>1249</v>
      </c>
      <c r="C1596" s="567" t="str">
        <f t="shared" ca="1" si="269"/>
        <v>Green Star - Office</v>
      </c>
      <c r="D1596" s="958">
        <v>2</v>
      </c>
      <c r="E1596" s="959" t="s">
        <v>306</v>
      </c>
      <c r="F1596" s="558" t="s">
        <v>1454</v>
      </c>
      <c r="G1596" s="558">
        <v>34</v>
      </c>
      <c r="H1596" s="558" t="s">
        <v>1116</v>
      </c>
      <c r="I1596" s="559" t="s">
        <v>1117</v>
      </c>
      <c r="J1596" s="567" t="s">
        <v>1644</v>
      </c>
      <c r="K1596" s="961" t="s">
        <v>1568</v>
      </c>
      <c r="L1596" s="555" t="str">
        <f t="shared" ca="1" si="261"/>
        <v/>
      </c>
      <c r="M1596" s="494" t="s">
        <v>1569</v>
      </c>
      <c r="N1596" s="555" t="str">
        <f t="shared" ca="1" si="262"/>
        <v/>
      </c>
      <c r="O1596" s="494" t="s">
        <v>1570</v>
      </c>
      <c r="P1596" s="555" t="str">
        <f t="shared" ca="1" si="263"/>
        <v/>
      </c>
      <c r="Q1596" s="494" t="s">
        <v>1645</v>
      </c>
      <c r="R1596" s="494" t="str">
        <f t="shared" si="270"/>
        <v>I1596</v>
      </c>
      <c r="S1596" s="494" t="s">
        <v>1646</v>
      </c>
      <c r="T1596" s="494">
        <v>6</v>
      </c>
      <c r="U1596" s="556" t="str">
        <f t="shared" ca="1" si="259"/>
        <v/>
      </c>
      <c r="V1596" s="494">
        <v>7</v>
      </c>
      <c r="W1596" s="556" t="str">
        <f t="shared" ca="1" si="260"/>
        <v/>
      </c>
      <c r="X1596" s="494" t="s">
        <v>1647</v>
      </c>
      <c r="Y1596" s="547" t="str">
        <f t="shared" ca="1" si="264"/>
        <v/>
      </c>
      <c r="Z1596" s="494" t="s">
        <v>1583</v>
      </c>
      <c r="AA1596" s="547" t="str">
        <f t="shared" ca="1" si="265"/>
        <v/>
      </c>
      <c r="AB1596" s="494" t="s">
        <v>173</v>
      </c>
      <c r="AC1596" s="547" t="str">
        <f t="shared" ca="1" si="266"/>
        <v/>
      </c>
      <c r="AD1596" s="557"/>
      <c r="AE1596" s="958"/>
    </row>
    <row r="1597" spans="1:31" ht="15" customHeight="1">
      <c r="A1597" s="957" t="str">
        <f t="shared" ca="1" si="268"/>
        <v>2/3</v>
      </c>
      <c r="B1597" s="566" t="s">
        <v>1249</v>
      </c>
      <c r="C1597" s="567" t="str">
        <f t="shared" ca="1" si="269"/>
        <v>Green Star - Office</v>
      </c>
      <c r="D1597" s="958">
        <v>2</v>
      </c>
      <c r="E1597" s="959" t="s">
        <v>306</v>
      </c>
      <c r="F1597" s="558" t="s">
        <v>1454</v>
      </c>
      <c r="G1597" s="558">
        <v>65</v>
      </c>
      <c r="H1597" s="558" t="s">
        <v>1118</v>
      </c>
      <c r="I1597" s="559" t="s">
        <v>1119</v>
      </c>
      <c r="J1597" s="567" t="s">
        <v>1644</v>
      </c>
      <c r="K1597" s="961" t="s">
        <v>1568</v>
      </c>
      <c r="L1597" s="555" t="str">
        <f t="shared" ca="1" si="261"/>
        <v/>
      </c>
      <c r="M1597" s="494" t="s">
        <v>1569</v>
      </c>
      <c r="N1597" s="555" t="str">
        <f t="shared" ca="1" si="262"/>
        <v/>
      </c>
      <c r="O1597" s="494" t="s">
        <v>1570</v>
      </c>
      <c r="P1597" s="555" t="str">
        <f t="shared" ca="1" si="263"/>
        <v/>
      </c>
      <c r="Q1597" s="494" t="s">
        <v>1645</v>
      </c>
      <c r="R1597" s="494" t="str">
        <f t="shared" si="270"/>
        <v>I1597</v>
      </c>
      <c r="S1597" s="494" t="s">
        <v>1646</v>
      </c>
      <c r="T1597" s="494">
        <v>6</v>
      </c>
      <c r="U1597" s="556" t="str">
        <f t="shared" ca="1" si="259"/>
        <v/>
      </c>
      <c r="V1597" s="494">
        <v>7</v>
      </c>
      <c r="W1597" s="556" t="str">
        <f t="shared" ca="1" si="260"/>
        <v/>
      </c>
      <c r="X1597" s="494" t="s">
        <v>1647</v>
      </c>
      <c r="Y1597" s="547" t="str">
        <f t="shared" ca="1" si="264"/>
        <v/>
      </c>
      <c r="Z1597" s="494" t="s">
        <v>1583</v>
      </c>
      <c r="AA1597" s="547" t="str">
        <f t="shared" ca="1" si="265"/>
        <v/>
      </c>
      <c r="AB1597" s="494" t="s">
        <v>173</v>
      </c>
      <c r="AC1597" s="547" t="str">
        <f t="shared" ca="1" si="266"/>
        <v/>
      </c>
      <c r="AD1597" s="557"/>
      <c r="AE1597" s="958"/>
    </row>
    <row r="1598" spans="1:31" ht="15" customHeight="1">
      <c r="A1598" s="957" t="str">
        <f t="shared" ca="1" si="268"/>
        <v>2/3</v>
      </c>
      <c r="B1598" s="566" t="s">
        <v>1249</v>
      </c>
      <c r="C1598" s="567" t="str">
        <f t="shared" ca="1" si="269"/>
        <v>Green Star - Office</v>
      </c>
      <c r="D1598" s="958">
        <v>2</v>
      </c>
      <c r="E1598" s="959" t="s">
        <v>306</v>
      </c>
      <c r="F1598" s="558" t="s">
        <v>1454</v>
      </c>
      <c r="G1598" s="558">
        <v>100</v>
      </c>
      <c r="H1598" s="558" t="s">
        <v>1120</v>
      </c>
      <c r="I1598" s="559" t="s">
        <v>1695</v>
      </c>
      <c r="J1598" s="567" t="s">
        <v>1644</v>
      </c>
      <c r="K1598" s="961" t="s">
        <v>1568</v>
      </c>
      <c r="L1598" s="555" t="str">
        <f t="shared" ca="1" si="261"/>
        <v/>
      </c>
      <c r="M1598" s="494" t="s">
        <v>1569</v>
      </c>
      <c r="N1598" s="555" t="str">
        <f t="shared" ca="1" si="262"/>
        <v/>
      </c>
      <c r="O1598" s="494" t="s">
        <v>1570</v>
      </c>
      <c r="P1598" s="555" t="str">
        <f t="shared" ca="1" si="263"/>
        <v/>
      </c>
      <c r="Q1598" s="494" t="s">
        <v>1645</v>
      </c>
      <c r="R1598" s="494" t="str">
        <f t="shared" si="270"/>
        <v>I1598</v>
      </c>
      <c r="S1598" s="494" t="s">
        <v>1646</v>
      </c>
      <c r="T1598" s="494">
        <v>6</v>
      </c>
      <c r="U1598" s="556" t="str">
        <f t="shared" ca="1" si="259"/>
        <v/>
      </c>
      <c r="V1598" s="494">
        <v>7</v>
      </c>
      <c r="W1598" s="556" t="str">
        <f t="shared" ca="1" si="260"/>
        <v/>
      </c>
      <c r="X1598" s="494" t="s">
        <v>1647</v>
      </c>
      <c r="Y1598" s="547" t="str">
        <f t="shared" ca="1" si="264"/>
        <v/>
      </c>
      <c r="Z1598" s="494" t="s">
        <v>1583</v>
      </c>
      <c r="AA1598" s="547" t="str">
        <f t="shared" ca="1" si="265"/>
        <v/>
      </c>
      <c r="AB1598" s="494" t="s">
        <v>173</v>
      </c>
      <c r="AC1598" s="547" t="str">
        <f t="shared" ca="1" si="266"/>
        <v/>
      </c>
      <c r="AD1598" s="557"/>
      <c r="AE1598" s="958"/>
    </row>
    <row r="1599" spans="1:31" ht="15" customHeight="1">
      <c r="A1599" s="957" t="str">
        <f t="shared" ca="1" si="268"/>
        <v>2/3</v>
      </c>
      <c r="B1599" s="566" t="s">
        <v>1249</v>
      </c>
      <c r="C1599" s="567" t="str">
        <f t="shared" ca="1" si="269"/>
        <v>Green Star - Office</v>
      </c>
      <c r="D1599" s="958">
        <v>2</v>
      </c>
      <c r="E1599" s="959" t="s">
        <v>306</v>
      </c>
      <c r="F1599" s="558" t="s">
        <v>1454</v>
      </c>
      <c r="G1599" s="558">
        <v>44</v>
      </c>
      <c r="H1599" s="558" t="s">
        <v>1122</v>
      </c>
      <c r="I1599" s="559" t="s">
        <v>1696</v>
      </c>
      <c r="J1599" s="567" t="s">
        <v>1644</v>
      </c>
      <c r="K1599" s="961" t="s">
        <v>1568</v>
      </c>
      <c r="L1599" s="555" t="str">
        <f t="shared" ca="1" si="261"/>
        <v/>
      </c>
      <c r="M1599" s="494" t="s">
        <v>1569</v>
      </c>
      <c r="N1599" s="555" t="str">
        <f t="shared" ca="1" si="262"/>
        <v/>
      </c>
      <c r="O1599" s="494" t="s">
        <v>1570</v>
      </c>
      <c r="P1599" s="555" t="str">
        <f t="shared" ca="1" si="263"/>
        <v/>
      </c>
      <c r="Q1599" s="494" t="s">
        <v>1645</v>
      </c>
      <c r="R1599" s="494" t="str">
        <f t="shared" si="270"/>
        <v>I1599</v>
      </c>
      <c r="S1599" s="494" t="s">
        <v>1646</v>
      </c>
      <c r="T1599" s="494">
        <v>6</v>
      </c>
      <c r="U1599" s="556" t="str">
        <f t="shared" ref="U1599:U1662" ca="1" si="271">IF(AND($B1599=INDIRECT(CONCATENATE($J1599,$K1599,5)),ISBLANK(INDEX(INDIRECT(CONCATENATE($J1599,$Q1599)),MATCH(INDIRECT($R1599),INDIRECT(CONCATENATE($J1599,$S1599)),0),T1599))=FALSE),INDEX(INDIRECT(CONCATENATE($J1599,$Q1599)),MATCH(INDIRECT($R1599),INDIRECT(CONCATENATE($J1599,$S1599)),0),T1599),"")</f>
        <v/>
      </c>
      <c r="V1599" s="494">
        <v>7</v>
      </c>
      <c r="W1599" s="556" t="str">
        <f t="shared" ref="W1599:W1662" ca="1" si="272">IF(AND($B1599=INDIRECT(CONCATENATE($J1599,$K1599,5)),ISBLANK(INDEX(INDIRECT(CONCATENATE($J1599,$Q1599)),MATCH(INDIRECT($R1599),INDIRECT(CONCATENATE($J1599,$S1599)),0),V1599))=FALSE),INDEX(INDIRECT(CONCATENATE($J1599,$Q1599)),MATCH(INDIRECT($R1599),INDIRECT(CONCATENATE($J1599,$S1599)),0),V1599),"")</f>
        <v/>
      </c>
      <c r="X1599" s="494" t="s">
        <v>1647</v>
      </c>
      <c r="Y1599" s="547" t="str">
        <f t="shared" ca="1" si="264"/>
        <v/>
      </c>
      <c r="Z1599" s="494" t="s">
        <v>1583</v>
      </c>
      <c r="AA1599" s="547" t="str">
        <f t="shared" ca="1" si="265"/>
        <v/>
      </c>
      <c r="AB1599" s="494" t="s">
        <v>173</v>
      </c>
      <c r="AC1599" s="547" t="str">
        <f t="shared" ca="1" si="266"/>
        <v/>
      </c>
      <c r="AD1599" s="557"/>
      <c r="AE1599" s="958"/>
    </row>
    <row r="1600" spans="1:31" ht="15" customHeight="1">
      <c r="A1600" s="957" t="str">
        <f t="shared" ca="1" si="268"/>
        <v>2/3</v>
      </c>
      <c r="B1600" s="566" t="s">
        <v>1249</v>
      </c>
      <c r="C1600" s="567" t="str">
        <f t="shared" ca="1" si="269"/>
        <v>Green Star - Office</v>
      </c>
      <c r="D1600" s="958">
        <v>2</v>
      </c>
      <c r="E1600" s="959" t="s">
        <v>306</v>
      </c>
      <c r="F1600" s="558" t="s">
        <v>1454</v>
      </c>
      <c r="G1600" s="558">
        <v>103</v>
      </c>
      <c r="H1600" s="558" t="s">
        <v>1123</v>
      </c>
      <c r="I1600" s="559" t="s">
        <v>1137</v>
      </c>
      <c r="J1600" s="567" t="s">
        <v>1644</v>
      </c>
      <c r="K1600" s="961" t="s">
        <v>1568</v>
      </c>
      <c r="L1600" s="555" t="str">
        <f t="shared" ca="1" si="261"/>
        <v/>
      </c>
      <c r="M1600" s="494" t="s">
        <v>1569</v>
      </c>
      <c r="N1600" s="555" t="str">
        <f t="shared" ca="1" si="262"/>
        <v/>
      </c>
      <c r="O1600" s="494" t="s">
        <v>1570</v>
      </c>
      <c r="P1600" s="555" t="str">
        <f t="shared" ca="1" si="263"/>
        <v/>
      </c>
      <c r="Q1600" s="494" t="s">
        <v>1645</v>
      </c>
      <c r="R1600" s="494" t="str">
        <f t="shared" si="270"/>
        <v>I1600</v>
      </c>
      <c r="S1600" s="494" t="s">
        <v>1646</v>
      </c>
      <c r="T1600" s="494">
        <v>6</v>
      </c>
      <c r="U1600" s="556" t="str">
        <f t="shared" ca="1" si="271"/>
        <v/>
      </c>
      <c r="V1600" s="494">
        <v>7</v>
      </c>
      <c r="W1600" s="556" t="str">
        <f t="shared" ca="1" si="272"/>
        <v/>
      </c>
      <c r="X1600" s="494" t="s">
        <v>1647</v>
      </c>
      <c r="Y1600" s="547" t="str">
        <f t="shared" ca="1" si="264"/>
        <v/>
      </c>
      <c r="Z1600" s="494" t="s">
        <v>1583</v>
      </c>
      <c r="AA1600" s="547" t="str">
        <f t="shared" ca="1" si="265"/>
        <v/>
      </c>
      <c r="AB1600" s="494" t="s">
        <v>173</v>
      </c>
      <c r="AC1600" s="547" t="str">
        <f t="shared" ca="1" si="266"/>
        <v/>
      </c>
      <c r="AD1600" s="557"/>
      <c r="AE1600" s="958"/>
    </row>
    <row r="1601" spans="1:31" ht="15" customHeight="1">
      <c r="A1601" s="957" t="str">
        <f t="shared" ca="1" si="268"/>
        <v>2/3</v>
      </c>
      <c r="B1601" s="566" t="s">
        <v>1249</v>
      </c>
      <c r="C1601" s="567" t="str">
        <f t="shared" ca="1" si="269"/>
        <v>Green Star - Office</v>
      </c>
      <c r="D1601" s="958">
        <v>2</v>
      </c>
      <c r="E1601" s="959" t="s">
        <v>306</v>
      </c>
      <c r="F1601" s="558" t="s">
        <v>1454</v>
      </c>
      <c r="G1601" s="558">
        <v>51</v>
      </c>
      <c r="H1601" s="558" t="s">
        <v>1124</v>
      </c>
      <c r="I1601" s="559" t="s">
        <v>1139</v>
      </c>
      <c r="J1601" s="567" t="s">
        <v>1644</v>
      </c>
      <c r="K1601" s="961" t="s">
        <v>1568</v>
      </c>
      <c r="L1601" s="555" t="str">
        <f t="shared" ca="1" si="261"/>
        <v/>
      </c>
      <c r="M1601" s="494" t="s">
        <v>1569</v>
      </c>
      <c r="N1601" s="555" t="str">
        <f t="shared" ca="1" si="262"/>
        <v/>
      </c>
      <c r="O1601" s="494" t="s">
        <v>1570</v>
      </c>
      <c r="P1601" s="555" t="str">
        <f t="shared" ca="1" si="263"/>
        <v/>
      </c>
      <c r="Q1601" s="494" t="s">
        <v>1645</v>
      </c>
      <c r="R1601" s="494" t="str">
        <f t="shared" si="270"/>
        <v>I1601</v>
      </c>
      <c r="S1601" s="494" t="s">
        <v>1646</v>
      </c>
      <c r="T1601" s="494">
        <v>6</v>
      </c>
      <c r="U1601" s="556" t="str">
        <f t="shared" ca="1" si="271"/>
        <v/>
      </c>
      <c r="V1601" s="494">
        <v>7</v>
      </c>
      <c r="W1601" s="556" t="str">
        <f t="shared" ca="1" si="272"/>
        <v/>
      </c>
      <c r="X1601" s="494" t="s">
        <v>1647</v>
      </c>
      <c r="Y1601" s="547" t="str">
        <f t="shared" ca="1" si="264"/>
        <v/>
      </c>
      <c r="Z1601" s="494" t="s">
        <v>1583</v>
      </c>
      <c r="AA1601" s="547" t="str">
        <f t="shared" ca="1" si="265"/>
        <v/>
      </c>
      <c r="AB1601" s="494" t="s">
        <v>173</v>
      </c>
      <c r="AC1601" s="547" t="str">
        <f t="shared" ca="1" si="266"/>
        <v/>
      </c>
      <c r="AD1601" s="557"/>
      <c r="AE1601" s="958"/>
    </row>
    <row r="1602" spans="1:31" ht="15" customHeight="1">
      <c r="A1602" s="957" t="str">
        <f t="shared" ca="1" si="268"/>
        <v>2/3</v>
      </c>
      <c r="B1602" s="566" t="s">
        <v>1249</v>
      </c>
      <c r="C1602" s="567" t="str">
        <f t="shared" ca="1" si="269"/>
        <v>Green Star - Office</v>
      </c>
      <c r="D1602" s="958">
        <v>2</v>
      </c>
      <c r="E1602" s="959" t="s">
        <v>306</v>
      </c>
      <c r="F1602" s="558" t="s">
        <v>1454</v>
      </c>
      <c r="G1602" s="558">
        <v>104</v>
      </c>
      <c r="H1602" s="558" t="s">
        <v>1125</v>
      </c>
      <c r="I1602" s="559" t="s">
        <v>1141</v>
      </c>
      <c r="J1602" s="567" t="s">
        <v>1644</v>
      </c>
      <c r="K1602" s="961" t="s">
        <v>1568</v>
      </c>
      <c r="L1602" s="555" t="str">
        <f t="shared" ref="L1602:L1665" ca="1" si="273">IF(AND(INDIRECT(CONCATENATE($J1602,$K1602,5))=$B1602,ISNUMBER(SEARCH("Please",INDIRECT(CONCATENATE($J1602,$K1602,2)),1))=FALSE),SUMPRODUCT(MID(0&amp;INDIRECT(CONCATENATE($J1602,$K1602,2)), LARGE(INDEX(ISNUMBER(--MID(INDIRECT(CONCATENATE($J1602,$K1602,2)), ROW(INDIRECT("1:"&amp;LEN(INDIRECT(CONCATENATE($J1602,$K1602,2))))),1))*ROW(INDIRECT("1:"&amp;LEN(INDIRECT(CONCATENATE($J1602,$K1602,2))))),0), ROW(INDIRECT("1:"&amp;LEN(INDIRECT(CONCATENATE($J1602,$K1602,2))))))+1,1)*10^ROW(INDIRECT("1:"&amp;LEN(INDIRECT(CONCATENATE($J1602,$K1602,2)))))/10),"")</f>
        <v/>
      </c>
      <c r="M1602" s="494" t="s">
        <v>1569</v>
      </c>
      <c r="N1602" s="555" t="str">
        <f t="shared" ref="N1602:N1665" ca="1" si="274">IF(AND(INDIRECT(CONCATENATE($J1602,$K1602,5))=$B1602,ISNUMBER(SEARCH("Select",INDIRECT(CONCATENATE($J1602,$M1602,6)),1))=FALSE),INDIRECT(CONCATENATE($J1602,$M1602,6)),"")</f>
        <v/>
      </c>
      <c r="O1602" s="494" t="s">
        <v>1570</v>
      </c>
      <c r="P1602" s="555" t="str">
        <f t="shared" ref="P1602:P1665" ca="1" si="275">IF(AND(INDIRECT(CONCATENATE($J1602,$K1602,5))=$B1602,ISNUMBER(SEARCH("Select",INDIRECT(CONCATENATE($J1602,$O1602,6)),1))=FALSE),INDIRECT(CONCATENATE($J1602,$O1602,6)),"")</f>
        <v/>
      </c>
      <c r="Q1602" s="494" t="s">
        <v>1645</v>
      </c>
      <c r="R1602" s="494" t="str">
        <f t="shared" si="270"/>
        <v>I1602</v>
      </c>
      <c r="S1602" s="494" t="s">
        <v>1646</v>
      </c>
      <c r="T1602" s="494">
        <v>6</v>
      </c>
      <c r="U1602" s="556" t="str">
        <f t="shared" ca="1" si="271"/>
        <v/>
      </c>
      <c r="V1602" s="494">
        <v>7</v>
      </c>
      <c r="W1602" s="556" t="str">
        <f t="shared" ca="1" si="272"/>
        <v/>
      </c>
      <c r="X1602" s="494" t="s">
        <v>1647</v>
      </c>
      <c r="Y1602" s="547" t="str">
        <f t="shared" ref="Y1602:Y1665" ca="1" si="276">IF(AND(INDIRECT(CONCATENATE($J1602,$K1602,5))=$B1602,ISBLANK(INDIRECT(CONCATENATE($J1602,X1602)))=FALSE),INDIRECT(CONCATENATE($J1602,X1602)),"")</f>
        <v/>
      </c>
      <c r="Z1602" s="494" t="s">
        <v>1583</v>
      </c>
      <c r="AA1602" s="547" t="str">
        <f t="shared" ref="AA1602:AA1665" ca="1" si="277">IF(AND(INDIRECT(CONCATENATE($J1602,$K1602,"5"))=$B1602,ISBLANK(INDIRECT(CONCATENATE($J1602,Z1602)))=FALSE),INDIRECT(CONCATENATE($J1602,Z1602)),"")</f>
        <v/>
      </c>
      <c r="AB1602" s="494" t="s">
        <v>173</v>
      </c>
      <c r="AC1602" s="547" t="str">
        <f t="shared" ref="AC1602:AC1665" ca="1" si="278">IF(AND(INDIRECT(CONCATENATE($J1602,$K1602,"5"))=$B1602,ISBLANK(INDIRECT(CONCATENATE($J1602,AB1602)))=FALSE),INDIRECT(CONCATENATE($J1602,AB1602)),"")</f>
        <v/>
      </c>
      <c r="AD1602" s="557"/>
      <c r="AE1602" s="958"/>
    </row>
    <row r="1603" spans="1:31" ht="15" customHeight="1">
      <c r="A1603" s="957" t="str">
        <f t="shared" ca="1" si="268"/>
        <v>2/3</v>
      </c>
      <c r="B1603" s="566" t="s">
        <v>1249</v>
      </c>
      <c r="C1603" s="567" t="str">
        <f t="shared" ca="1" si="269"/>
        <v>Green Star - Office</v>
      </c>
      <c r="D1603" s="958">
        <v>2</v>
      </c>
      <c r="E1603" s="959" t="s">
        <v>306</v>
      </c>
      <c r="F1603" s="558" t="s">
        <v>1454</v>
      </c>
      <c r="G1603" s="558">
        <v>105</v>
      </c>
      <c r="H1603" s="558" t="s">
        <v>1126</v>
      </c>
      <c r="I1603" s="559" t="s">
        <v>1143</v>
      </c>
      <c r="J1603" s="567" t="s">
        <v>1644</v>
      </c>
      <c r="K1603" s="961" t="s">
        <v>1568</v>
      </c>
      <c r="L1603" s="555" t="str">
        <f t="shared" ca="1" si="273"/>
        <v/>
      </c>
      <c r="M1603" s="494" t="s">
        <v>1569</v>
      </c>
      <c r="N1603" s="555" t="str">
        <f t="shared" ca="1" si="274"/>
        <v/>
      </c>
      <c r="O1603" s="494" t="s">
        <v>1570</v>
      </c>
      <c r="P1603" s="555" t="str">
        <f t="shared" ca="1" si="275"/>
        <v/>
      </c>
      <c r="Q1603" s="494" t="s">
        <v>1645</v>
      </c>
      <c r="R1603" s="494" t="str">
        <f t="shared" si="270"/>
        <v>I1603</v>
      </c>
      <c r="S1603" s="494" t="s">
        <v>1646</v>
      </c>
      <c r="T1603" s="494">
        <v>6</v>
      </c>
      <c r="U1603" s="556" t="str">
        <f t="shared" ca="1" si="271"/>
        <v/>
      </c>
      <c r="V1603" s="494">
        <v>7</v>
      </c>
      <c r="W1603" s="556" t="str">
        <f t="shared" ca="1" si="272"/>
        <v/>
      </c>
      <c r="X1603" s="494" t="s">
        <v>1647</v>
      </c>
      <c r="Y1603" s="547" t="str">
        <f t="shared" ca="1" si="276"/>
        <v/>
      </c>
      <c r="Z1603" s="494" t="s">
        <v>1583</v>
      </c>
      <c r="AA1603" s="547" t="str">
        <f t="shared" ca="1" si="277"/>
        <v/>
      </c>
      <c r="AB1603" s="494" t="s">
        <v>173</v>
      </c>
      <c r="AC1603" s="547" t="str">
        <f t="shared" ca="1" si="278"/>
        <v/>
      </c>
      <c r="AD1603" s="557"/>
      <c r="AE1603" s="958"/>
    </row>
    <row r="1604" spans="1:31" ht="15" customHeight="1">
      <c r="A1604" s="957" t="str">
        <f t="shared" ca="1" si="268"/>
        <v>2/3</v>
      </c>
      <c r="B1604" s="566" t="s">
        <v>1249</v>
      </c>
      <c r="C1604" s="567" t="str">
        <f t="shared" ca="1" si="269"/>
        <v>Green Star - Office</v>
      </c>
      <c r="D1604" s="958">
        <v>2</v>
      </c>
      <c r="E1604" s="959" t="s">
        <v>306</v>
      </c>
      <c r="F1604" s="558" t="s">
        <v>1454</v>
      </c>
      <c r="G1604" s="558">
        <v>73</v>
      </c>
      <c r="H1604" s="558" t="s">
        <v>1132</v>
      </c>
      <c r="I1604" s="559" t="s">
        <v>332</v>
      </c>
      <c r="J1604" s="567" t="s">
        <v>1644</v>
      </c>
      <c r="K1604" s="961" t="s">
        <v>1568</v>
      </c>
      <c r="L1604" s="555" t="str">
        <f t="shared" ca="1" si="273"/>
        <v/>
      </c>
      <c r="M1604" s="494" t="s">
        <v>1569</v>
      </c>
      <c r="N1604" s="555" t="str">
        <f t="shared" ca="1" si="274"/>
        <v/>
      </c>
      <c r="O1604" s="494" t="s">
        <v>1570</v>
      </c>
      <c r="P1604" s="555" t="str">
        <f t="shared" ca="1" si="275"/>
        <v/>
      </c>
      <c r="Q1604" s="494" t="s">
        <v>1645</v>
      </c>
      <c r="R1604" s="494" t="str">
        <f t="shared" si="270"/>
        <v>I1604</v>
      </c>
      <c r="S1604" s="494" t="s">
        <v>1646</v>
      </c>
      <c r="T1604" s="494">
        <v>6</v>
      </c>
      <c r="U1604" s="556" t="str">
        <f t="shared" ca="1" si="271"/>
        <v/>
      </c>
      <c r="V1604" s="494">
        <v>7</v>
      </c>
      <c r="W1604" s="556" t="str">
        <f t="shared" ca="1" si="272"/>
        <v/>
      </c>
      <c r="X1604" s="494" t="s">
        <v>1647</v>
      </c>
      <c r="Y1604" s="547" t="str">
        <f t="shared" ca="1" si="276"/>
        <v/>
      </c>
      <c r="Z1604" s="494" t="s">
        <v>1583</v>
      </c>
      <c r="AA1604" s="547" t="str">
        <f t="shared" ca="1" si="277"/>
        <v/>
      </c>
      <c r="AB1604" s="494" t="s">
        <v>173</v>
      </c>
      <c r="AC1604" s="547" t="str">
        <f t="shared" ca="1" si="278"/>
        <v/>
      </c>
      <c r="AD1604" s="557"/>
      <c r="AE1604" s="958"/>
    </row>
    <row r="1605" spans="1:31" ht="15" customHeight="1">
      <c r="A1605" s="957" t="str">
        <f t="shared" ca="1" si="268"/>
        <v>2/3</v>
      </c>
      <c r="B1605" s="566" t="s">
        <v>1249</v>
      </c>
      <c r="C1605" s="567" t="str">
        <f t="shared" ca="1" si="269"/>
        <v>Green Star - Office</v>
      </c>
      <c r="D1605" s="958">
        <v>2</v>
      </c>
      <c r="E1605" s="959" t="s">
        <v>306</v>
      </c>
      <c r="F1605" s="558" t="s">
        <v>1454</v>
      </c>
      <c r="G1605" s="558">
        <v>58</v>
      </c>
      <c r="H1605" s="558" t="s">
        <v>1134</v>
      </c>
      <c r="I1605" s="559" t="s">
        <v>1279</v>
      </c>
      <c r="J1605" s="567" t="s">
        <v>1644</v>
      </c>
      <c r="K1605" s="961" t="s">
        <v>1568</v>
      </c>
      <c r="L1605" s="555" t="str">
        <f t="shared" ca="1" si="273"/>
        <v/>
      </c>
      <c r="M1605" s="494" t="s">
        <v>1569</v>
      </c>
      <c r="N1605" s="555" t="str">
        <f t="shared" ca="1" si="274"/>
        <v/>
      </c>
      <c r="O1605" s="494" t="s">
        <v>1570</v>
      </c>
      <c r="P1605" s="555" t="str">
        <f t="shared" ca="1" si="275"/>
        <v/>
      </c>
      <c r="Q1605" s="494" t="s">
        <v>1645</v>
      </c>
      <c r="R1605" s="494" t="str">
        <f t="shared" ref="R1605:R1613" si="279">CONCATENATE("I",ROW(J1605))</f>
        <v>I1605</v>
      </c>
      <c r="S1605" s="494" t="s">
        <v>1646</v>
      </c>
      <c r="T1605" s="494">
        <v>6</v>
      </c>
      <c r="U1605" s="556" t="str">
        <f t="shared" ca="1" si="271"/>
        <v/>
      </c>
      <c r="V1605" s="494">
        <v>7</v>
      </c>
      <c r="W1605" s="556" t="str">
        <f t="shared" ca="1" si="272"/>
        <v/>
      </c>
      <c r="X1605" s="494" t="s">
        <v>1647</v>
      </c>
      <c r="Y1605" s="547" t="str">
        <f t="shared" ca="1" si="276"/>
        <v/>
      </c>
      <c r="Z1605" s="494" t="s">
        <v>1583</v>
      </c>
      <c r="AA1605" s="547" t="str">
        <f t="shared" ca="1" si="277"/>
        <v/>
      </c>
      <c r="AB1605" s="494" t="s">
        <v>173</v>
      </c>
      <c r="AC1605" s="547" t="str">
        <f t="shared" ca="1" si="278"/>
        <v/>
      </c>
      <c r="AD1605" s="557"/>
      <c r="AE1605" s="958"/>
    </row>
    <row r="1606" spans="1:31" ht="15" customHeight="1">
      <c r="A1606" s="957" t="str">
        <f t="shared" ca="1" si="268"/>
        <v>2/3</v>
      </c>
      <c r="B1606" s="566" t="s">
        <v>1249</v>
      </c>
      <c r="C1606" s="567" t="str">
        <f t="shared" ca="1" si="269"/>
        <v>Green Star - Office</v>
      </c>
      <c r="D1606" s="958">
        <v>2</v>
      </c>
      <c r="E1606" s="959" t="s">
        <v>306</v>
      </c>
      <c r="F1606" s="558" t="s">
        <v>1454</v>
      </c>
      <c r="G1606" s="558">
        <v>60</v>
      </c>
      <c r="H1606" s="558" t="s">
        <v>1136</v>
      </c>
      <c r="I1606" s="559" t="s">
        <v>1659</v>
      </c>
      <c r="J1606" s="567" t="s">
        <v>1644</v>
      </c>
      <c r="K1606" s="961" t="s">
        <v>1568</v>
      </c>
      <c r="L1606" s="555" t="str">
        <f t="shared" ca="1" si="273"/>
        <v/>
      </c>
      <c r="M1606" s="494" t="s">
        <v>1569</v>
      </c>
      <c r="N1606" s="555" t="str">
        <f t="shared" ca="1" si="274"/>
        <v/>
      </c>
      <c r="O1606" s="494" t="s">
        <v>1570</v>
      </c>
      <c r="P1606" s="555" t="str">
        <f t="shared" ca="1" si="275"/>
        <v/>
      </c>
      <c r="Q1606" s="494" t="s">
        <v>1645</v>
      </c>
      <c r="R1606" s="494" t="str">
        <f t="shared" si="279"/>
        <v>I1606</v>
      </c>
      <c r="S1606" s="494" t="s">
        <v>1646</v>
      </c>
      <c r="T1606" s="494">
        <v>6</v>
      </c>
      <c r="U1606" s="556" t="str">
        <f t="shared" ca="1" si="271"/>
        <v/>
      </c>
      <c r="V1606" s="494">
        <v>7</v>
      </c>
      <c r="W1606" s="556" t="str">
        <f t="shared" ca="1" si="272"/>
        <v/>
      </c>
      <c r="X1606" s="494" t="s">
        <v>1647</v>
      </c>
      <c r="Y1606" s="547" t="str">
        <f t="shared" ca="1" si="276"/>
        <v/>
      </c>
      <c r="Z1606" s="494" t="s">
        <v>1583</v>
      </c>
      <c r="AA1606" s="547" t="str">
        <f t="shared" ca="1" si="277"/>
        <v/>
      </c>
      <c r="AB1606" s="494" t="s">
        <v>173</v>
      </c>
      <c r="AC1606" s="547" t="str">
        <f t="shared" ca="1" si="278"/>
        <v/>
      </c>
      <c r="AD1606" s="557"/>
      <c r="AE1606" s="958"/>
    </row>
    <row r="1607" spans="1:31" ht="15" customHeight="1">
      <c r="A1607" s="957" t="str">
        <f t="shared" ca="1" si="268"/>
        <v>2/3</v>
      </c>
      <c r="B1607" s="566" t="s">
        <v>1249</v>
      </c>
      <c r="C1607" s="567" t="str">
        <f t="shared" ca="1" si="269"/>
        <v>Green Star - Office</v>
      </c>
      <c r="D1607" s="958">
        <v>2</v>
      </c>
      <c r="E1607" s="959" t="s">
        <v>306</v>
      </c>
      <c r="F1607" s="558" t="s">
        <v>1454</v>
      </c>
      <c r="G1607" s="558">
        <v>109</v>
      </c>
      <c r="H1607" s="558" t="s">
        <v>1138</v>
      </c>
      <c r="I1607" s="559" t="s">
        <v>314</v>
      </c>
      <c r="J1607" s="567" t="s">
        <v>1644</v>
      </c>
      <c r="K1607" s="961" t="s">
        <v>1568</v>
      </c>
      <c r="L1607" s="555" t="str">
        <f t="shared" ca="1" si="273"/>
        <v/>
      </c>
      <c r="M1607" s="494" t="s">
        <v>1569</v>
      </c>
      <c r="N1607" s="555" t="str">
        <f t="shared" ca="1" si="274"/>
        <v/>
      </c>
      <c r="O1607" s="494" t="s">
        <v>1570</v>
      </c>
      <c r="P1607" s="555" t="str">
        <f t="shared" ca="1" si="275"/>
        <v/>
      </c>
      <c r="Q1607" s="494" t="s">
        <v>1645</v>
      </c>
      <c r="R1607" s="494" t="str">
        <f t="shared" si="279"/>
        <v>I1607</v>
      </c>
      <c r="S1607" s="494" t="s">
        <v>1646</v>
      </c>
      <c r="T1607" s="494">
        <v>6</v>
      </c>
      <c r="U1607" s="556" t="str">
        <f t="shared" ca="1" si="271"/>
        <v/>
      </c>
      <c r="V1607" s="494">
        <v>7</v>
      </c>
      <c r="W1607" s="556" t="str">
        <f t="shared" ca="1" si="272"/>
        <v/>
      </c>
      <c r="X1607" s="494" t="s">
        <v>1647</v>
      </c>
      <c r="Y1607" s="547" t="str">
        <f t="shared" ca="1" si="276"/>
        <v/>
      </c>
      <c r="Z1607" s="494" t="s">
        <v>1583</v>
      </c>
      <c r="AA1607" s="547" t="str">
        <f t="shared" ca="1" si="277"/>
        <v/>
      </c>
      <c r="AB1607" s="494" t="s">
        <v>173</v>
      </c>
      <c r="AC1607" s="547" t="str">
        <f t="shared" ca="1" si="278"/>
        <v/>
      </c>
      <c r="AD1607" s="557"/>
      <c r="AE1607" s="958"/>
    </row>
    <row r="1608" spans="1:31" ht="15" customHeight="1">
      <c r="A1608" s="957" t="str">
        <f t="shared" ca="1" si="268"/>
        <v>2/3</v>
      </c>
      <c r="B1608" s="566" t="s">
        <v>1249</v>
      </c>
      <c r="C1608" s="567" t="str">
        <f t="shared" ca="1" si="269"/>
        <v>Green Star - Office</v>
      </c>
      <c r="D1608" s="958">
        <v>2</v>
      </c>
      <c r="E1608" s="959" t="s">
        <v>306</v>
      </c>
      <c r="F1608" s="558" t="s">
        <v>1454</v>
      </c>
      <c r="G1608" s="558">
        <v>110</v>
      </c>
      <c r="H1608" s="558" t="s">
        <v>1140</v>
      </c>
      <c r="I1608" s="559" t="s">
        <v>1128</v>
      </c>
      <c r="J1608" s="567" t="s">
        <v>1644</v>
      </c>
      <c r="K1608" s="961" t="s">
        <v>1568</v>
      </c>
      <c r="L1608" s="555" t="str">
        <f t="shared" ca="1" si="273"/>
        <v/>
      </c>
      <c r="M1608" s="494" t="s">
        <v>1569</v>
      </c>
      <c r="N1608" s="555" t="str">
        <f t="shared" ca="1" si="274"/>
        <v/>
      </c>
      <c r="O1608" s="494" t="s">
        <v>1570</v>
      </c>
      <c r="P1608" s="555" t="str">
        <f t="shared" ca="1" si="275"/>
        <v/>
      </c>
      <c r="Q1608" s="494" t="s">
        <v>1645</v>
      </c>
      <c r="R1608" s="494" t="str">
        <f t="shared" si="279"/>
        <v>I1608</v>
      </c>
      <c r="S1608" s="494" t="s">
        <v>1648</v>
      </c>
      <c r="T1608" s="494">
        <v>6</v>
      </c>
      <c r="U1608" s="556" t="str">
        <f t="shared" ca="1" si="271"/>
        <v/>
      </c>
      <c r="V1608" s="494">
        <v>7</v>
      </c>
      <c r="W1608" s="556" t="str">
        <f t="shared" ca="1" si="272"/>
        <v/>
      </c>
      <c r="X1608" s="494" t="s">
        <v>1647</v>
      </c>
      <c r="Y1608" s="547" t="str">
        <f t="shared" ca="1" si="276"/>
        <v/>
      </c>
      <c r="Z1608" s="494" t="s">
        <v>1583</v>
      </c>
      <c r="AA1608" s="547" t="str">
        <f t="shared" ca="1" si="277"/>
        <v/>
      </c>
      <c r="AB1608" s="494" t="s">
        <v>173</v>
      </c>
      <c r="AC1608" s="547" t="str">
        <f t="shared" ca="1" si="278"/>
        <v/>
      </c>
      <c r="AD1608" s="557"/>
      <c r="AE1608" s="958"/>
    </row>
    <row r="1609" spans="1:31" ht="15" customHeight="1">
      <c r="A1609" s="957" t="str">
        <f t="shared" ca="1" si="268"/>
        <v>2/3</v>
      </c>
      <c r="B1609" s="566" t="s">
        <v>1249</v>
      </c>
      <c r="C1609" s="567" t="str">
        <f t="shared" ca="1" si="269"/>
        <v>Green Star - Office</v>
      </c>
      <c r="D1609" s="958">
        <v>2</v>
      </c>
      <c r="E1609" s="959" t="s">
        <v>306</v>
      </c>
      <c r="F1609" s="558" t="s">
        <v>1454</v>
      </c>
      <c r="G1609" s="558">
        <v>110</v>
      </c>
      <c r="H1609" s="558" t="s">
        <v>1140</v>
      </c>
      <c r="I1609" s="559" t="s">
        <v>1129</v>
      </c>
      <c r="J1609" s="567" t="s">
        <v>1644</v>
      </c>
      <c r="K1609" s="961" t="s">
        <v>1568</v>
      </c>
      <c r="L1609" s="555" t="str">
        <f t="shared" ca="1" si="273"/>
        <v/>
      </c>
      <c r="M1609" s="494" t="s">
        <v>1569</v>
      </c>
      <c r="N1609" s="555" t="str">
        <f t="shared" ca="1" si="274"/>
        <v/>
      </c>
      <c r="O1609" s="494" t="s">
        <v>1570</v>
      </c>
      <c r="P1609" s="555" t="str">
        <f t="shared" ca="1" si="275"/>
        <v/>
      </c>
      <c r="Q1609" s="494" t="s">
        <v>1645</v>
      </c>
      <c r="R1609" s="494" t="str">
        <f t="shared" si="279"/>
        <v>I1609</v>
      </c>
      <c r="S1609" s="494" t="s">
        <v>1648</v>
      </c>
      <c r="T1609" s="494">
        <v>6</v>
      </c>
      <c r="U1609" s="556" t="str">
        <f t="shared" ca="1" si="271"/>
        <v/>
      </c>
      <c r="V1609" s="494">
        <v>7</v>
      </c>
      <c r="W1609" s="556" t="str">
        <f t="shared" ca="1" si="272"/>
        <v/>
      </c>
      <c r="X1609" s="494" t="s">
        <v>1647</v>
      </c>
      <c r="Y1609" s="547" t="str">
        <f t="shared" ca="1" si="276"/>
        <v/>
      </c>
      <c r="Z1609" s="494" t="s">
        <v>1583</v>
      </c>
      <c r="AA1609" s="547" t="str">
        <f t="shared" ca="1" si="277"/>
        <v/>
      </c>
      <c r="AB1609" s="494" t="s">
        <v>173</v>
      </c>
      <c r="AC1609" s="547" t="str">
        <f t="shared" ca="1" si="278"/>
        <v/>
      </c>
      <c r="AD1609" s="557"/>
      <c r="AE1609" s="958"/>
    </row>
    <row r="1610" spans="1:31" ht="15" customHeight="1">
      <c r="A1610" s="957" t="str">
        <f t="shared" ca="1" si="268"/>
        <v>2/3</v>
      </c>
      <c r="B1610" s="566" t="s">
        <v>1249</v>
      </c>
      <c r="C1610" s="567" t="str">
        <f t="shared" ca="1" si="269"/>
        <v>Green Star - Office</v>
      </c>
      <c r="D1610" s="958">
        <v>2</v>
      </c>
      <c r="E1610" s="959" t="s">
        <v>306</v>
      </c>
      <c r="F1610" s="558" t="s">
        <v>1454</v>
      </c>
      <c r="G1610" s="558">
        <v>110</v>
      </c>
      <c r="H1610" s="558" t="s">
        <v>1140</v>
      </c>
      <c r="I1610" s="559" t="s">
        <v>1260</v>
      </c>
      <c r="J1610" s="567" t="s">
        <v>1644</v>
      </c>
      <c r="K1610" s="961" t="s">
        <v>1568</v>
      </c>
      <c r="L1610" s="555" t="str">
        <f t="shared" ca="1" si="273"/>
        <v/>
      </c>
      <c r="M1610" s="494" t="s">
        <v>1569</v>
      </c>
      <c r="N1610" s="555" t="str">
        <f t="shared" ca="1" si="274"/>
        <v/>
      </c>
      <c r="O1610" s="494" t="s">
        <v>1570</v>
      </c>
      <c r="P1610" s="555" t="str">
        <f t="shared" ca="1" si="275"/>
        <v/>
      </c>
      <c r="Q1610" s="494" t="s">
        <v>1645</v>
      </c>
      <c r="R1610" s="494" t="str">
        <f t="shared" si="279"/>
        <v>I1610</v>
      </c>
      <c r="S1610" s="494" t="s">
        <v>1648</v>
      </c>
      <c r="T1610" s="494">
        <v>6</v>
      </c>
      <c r="U1610" s="556" t="str">
        <f t="shared" ca="1" si="271"/>
        <v/>
      </c>
      <c r="V1610" s="494">
        <v>7</v>
      </c>
      <c r="W1610" s="556" t="str">
        <f t="shared" ca="1" si="272"/>
        <v/>
      </c>
      <c r="X1610" s="494" t="s">
        <v>1647</v>
      </c>
      <c r="Y1610" s="547" t="str">
        <f t="shared" ca="1" si="276"/>
        <v/>
      </c>
      <c r="Z1610" s="494" t="s">
        <v>1583</v>
      </c>
      <c r="AA1610" s="547" t="str">
        <f t="shared" ca="1" si="277"/>
        <v/>
      </c>
      <c r="AB1610" s="494" t="s">
        <v>173</v>
      </c>
      <c r="AC1610" s="547" t="str">
        <f t="shared" ca="1" si="278"/>
        <v/>
      </c>
      <c r="AD1610" s="557"/>
      <c r="AE1610" s="958"/>
    </row>
    <row r="1611" spans="1:31" ht="15" customHeight="1">
      <c r="A1611" s="957" t="str">
        <f t="shared" ca="1" si="268"/>
        <v>2/3</v>
      </c>
      <c r="B1611" s="566" t="s">
        <v>1249</v>
      </c>
      <c r="C1611" s="567" t="str">
        <f t="shared" ca="1" si="269"/>
        <v>Green Star - Office</v>
      </c>
      <c r="D1611" s="958">
        <v>2</v>
      </c>
      <c r="E1611" s="959" t="s">
        <v>306</v>
      </c>
      <c r="F1611" s="558" t="s">
        <v>1454</v>
      </c>
      <c r="G1611" s="558">
        <v>111</v>
      </c>
      <c r="H1611" s="558" t="s">
        <v>1142</v>
      </c>
      <c r="I1611" s="559" t="s">
        <v>1133</v>
      </c>
      <c r="J1611" s="567" t="s">
        <v>1644</v>
      </c>
      <c r="K1611" s="961" t="s">
        <v>1568</v>
      </c>
      <c r="L1611" s="555" t="str">
        <f t="shared" ca="1" si="273"/>
        <v/>
      </c>
      <c r="M1611" s="494" t="s">
        <v>1569</v>
      </c>
      <c r="N1611" s="555" t="str">
        <f t="shared" ca="1" si="274"/>
        <v/>
      </c>
      <c r="O1611" s="494" t="s">
        <v>1570</v>
      </c>
      <c r="P1611" s="555" t="str">
        <f t="shared" ca="1" si="275"/>
        <v/>
      </c>
      <c r="Q1611" s="494" t="s">
        <v>1645</v>
      </c>
      <c r="R1611" s="494" t="str">
        <f t="shared" si="279"/>
        <v>I1611</v>
      </c>
      <c r="S1611" s="494" t="s">
        <v>1646</v>
      </c>
      <c r="T1611" s="494">
        <v>6</v>
      </c>
      <c r="U1611" s="556" t="str">
        <f t="shared" ca="1" si="271"/>
        <v/>
      </c>
      <c r="V1611" s="494">
        <v>7</v>
      </c>
      <c r="W1611" s="556" t="str">
        <f t="shared" ca="1" si="272"/>
        <v/>
      </c>
      <c r="X1611" s="494" t="s">
        <v>1647</v>
      </c>
      <c r="Y1611" s="547" t="str">
        <f t="shared" ca="1" si="276"/>
        <v/>
      </c>
      <c r="Z1611" s="494" t="s">
        <v>1583</v>
      </c>
      <c r="AA1611" s="547" t="str">
        <f t="shared" ca="1" si="277"/>
        <v/>
      </c>
      <c r="AB1611" s="494" t="s">
        <v>173</v>
      </c>
      <c r="AC1611" s="547" t="str">
        <f t="shared" ca="1" si="278"/>
        <v/>
      </c>
      <c r="AD1611" s="557"/>
      <c r="AE1611" s="958"/>
    </row>
    <row r="1612" spans="1:31" ht="15" customHeight="1">
      <c r="A1612" s="957" t="str">
        <f t="shared" ca="1" si="268"/>
        <v>2/3</v>
      </c>
      <c r="B1612" s="566" t="s">
        <v>1249</v>
      </c>
      <c r="C1612" s="567" t="str">
        <f t="shared" ca="1" si="269"/>
        <v>Green Star - Office</v>
      </c>
      <c r="D1612" s="958">
        <v>2</v>
      </c>
      <c r="E1612" s="959" t="s">
        <v>306</v>
      </c>
      <c r="F1612" s="558" t="s">
        <v>1454</v>
      </c>
      <c r="G1612" s="558">
        <v>76</v>
      </c>
      <c r="H1612" s="558" t="s">
        <v>1144</v>
      </c>
      <c r="I1612" s="559" t="s">
        <v>1697</v>
      </c>
      <c r="J1612" s="567" t="s">
        <v>1644</v>
      </c>
      <c r="K1612" s="961" t="s">
        <v>1568</v>
      </c>
      <c r="L1612" s="555" t="str">
        <f t="shared" ca="1" si="273"/>
        <v/>
      </c>
      <c r="M1612" s="494" t="s">
        <v>1569</v>
      </c>
      <c r="N1612" s="555" t="str">
        <f t="shared" ca="1" si="274"/>
        <v/>
      </c>
      <c r="O1612" s="494" t="s">
        <v>1570</v>
      </c>
      <c r="P1612" s="555" t="str">
        <f t="shared" ca="1" si="275"/>
        <v/>
      </c>
      <c r="Q1612" s="494" t="s">
        <v>1645</v>
      </c>
      <c r="R1612" s="494" t="str">
        <f t="shared" si="279"/>
        <v>I1612</v>
      </c>
      <c r="S1612" s="494" t="s">
        <v>1646</v>
      </c>
      <c r="T1612" s="494">
        <v>6</v>
      </c>
      <c r="U1612" s="556" t="str">
        <f t="shared" ca="1" si="271"/>
        <v/>
      </c>
      <c r="V1612" s="494">
        <v>7</v>
      </c>
      <c r="W1612" s="556" t="str">
        <f t="shared" ca="1" si="272"/>
        <v/>
      </c>
      <c r="X1612" s="494" t="s">
        <v>1647</v>
      </c>
      <c r="Y1612" s="547" t="str">
        <f t="shared" ca="1" si="276"/>
        <v/>
      </c>
      <c r="Z1612" s="494" t="s">
        <v>1583</v>
      </c>
      <c r="AA1612" s="547" t="str">
        <f t="shared" ca="1" si="277"/>
        <v/>
      </c>
      <c r="AB1612" s="494" t="s">
        <v>173</v>
      </c>
      <c r="AC1612" s="547" t="str">
        <f t="shared" ca="1" si="278"/>
        <v/>
      </c>
      <c r="AD1612" s="557"/>
      <c r="AE1612" s="958"/>
    </row>
    <row r="1613" spans="1:31" ht="15" customHeight="1">
      <c r="A1613" s="957" t="str">
        <f t="shared" ca="1" si="268"/>
        <v>2/3</v>
      </c>
      <c r="B1613" s="566" t="s">
        <v>1249</v>
      </c>
      <c r="C1613" s="567" t="str">
        <f t="shared" ca="1" si="269"/>
        <v>Green Star - Office</v>
      </c>
      <c r="D1613" s="958">
        <v>2</v>
      </c>
      <c r="E1613" s="959" t="s">
        <v>306</v>
      </c>
      <c r="F1613" s="558" t="s">
        <v>1454</v>
      </c>
      <c r="G1613" s="558">
        <v>78</v>
      </c>
      <c r="H1613" s="558" t="s">
        <v>1146</v>
      </c>
      <c r="I1613" s="559" t="s">
        <v>1698</v>
      </c>
      <c r="J1613" s="567" t="s">
        <v>1644</v>
      </c>
      <c r="K1613" s="961" t="s">
        <v>1568</v>
      </c>
      <c r="L1613" s="555" t="str">
        <f t="shared" ca="1" si="273"/>
        <v/>
      </c>
      <c r="M1613" s="494" t="s">
        <v>1569</v>
      </c>
      <c r="N1613" s="555" t="str">
        <f t="shared" ca="1" si="274"/>
        <v/>
      </c>
      <c r="O1613" s="494" t="s">
        <v>1570</v>
      </c>
      <c r="P1613" s="555" t="str">
        <f t="shared" ca="1" si="275"/>
        <v/>
      </c>
      <c r="Q1613" s="494" t="s">
        <v>1645</v>
      </c>
      <c r="R1613" s="494" t="str">
        <f t="shared" si="279"/>
        <v>I1613</v>
      </c>
      <c r="S1613" s="494" t="s">
        <v>1646</v>
      </c>
      <c r="T1613" s="494">
        <v>6</v>
      </c>
      <c r="U1613" s="556" t="str">
        <f t="shared" ca="1" si="271"/>
        <v/>
      </c>
      <c r="V1613" s="494">
        <v>7</v>
      </c>
      <c r="W1613" s="556" t="str">
        <f t="shared" ca="1" si="272"/>
        <v/>
      </c>
      <c r="X1613" s="494" t="s">
        <v>1647</v>
      </c>
      <c r="Y1613" s="547" t="str">
        <f t="shared" ca="1" si="276"/>
        <v/>
      </c>
      <c r="Z1613" s="494" t="s">
        <v>1583</v>
      </c>
      <c r="AA1613" s="547" t="str">
        <f t="shared" ca="1" si="277"/>
        <v/>
      </c>
      <c r="AB1613" s="494" t="s">
        <v>173</v>
      </c>
      <c r="AC1613" s="547" t="str">
        <f t="shared" ca="1" si="278"/>
        <v/>
      </c>
      <c r="AD1613" s="557"/>
      <c r="AE1613" s="958"/>
    </row>
    <row r="1614" spans="1:31" ht="15" customHeight="1">
      <c r="A1614" s="957" t="str">
        <f t="shared" ca="1" si="268"/>
        <v>2/3</v>
      </c>
      <c r="B1614" s="566" t="s">
        <v>1249</v>
      </c>
      <c r="C1614" s="567" t="str">
        <f t="shared" ca="1" si="269"/>
        <v>Green Star - Office</v>
      </c>
      <c r="D1614" s="958">
        <v>2</v>
      </c>
      <c r="E1614" s="959" t="s">
        <v>335</v>
      </c>
      <c r="F1614" s="558" t="s">
        <v>1455</v>
      </c>
      <c r="G1614" s="558">
        <v>106</v>
      </c>
      <c r="H1614" s="558" t="s">
        <v>1153</v>
      </c>
      <c r="I1614" s="559" t="s">
        <v>1699</v>
      </c>
      <c r="J1614" s="567" t="s">
        <v>1644</v>
      </c>
      <c r="K1614" s="961" t="s">
        <v>1568</v>
      </c>
      <c r="L1614" s="555" t="str">
        <f t="shared" ca="1" si="273"/>
        <v/>
      </c>
      <c r="M1614" s="494" t="s">
        <v>1569</v>
      </c>
      <c r="N1614" s="555" t="str">
        <f t="shared" ca="1" si="274"/>
        <v/>
      </c>
      <c r="O1614" s="494" t="s">
        <v>1570</v>
      </c>
      <c r="P1614" s="555" t="str">
        <f t="shared" ca="1" si="275"/>
        <v/>
      </c>
      <c r="Q1614" s="494" t="s">
        <v>1645</v>
      </c>
      <c r="R1614" s="494" t="str">
        <f t="shared" si="270"/>
        <v>I1614</v>
      </c>
      <c r="S1614" s="494" t="s">
        <v>1646</v>
      </c>
      <c r="T1614" s="494">
        <v>6</v>
      </c>
      <c r="U1614" s="556" t="str">
        <f t="shared" ca="1" si="271"/>
        <v/>
      </c>
      <c r="V1614" s="494">
        <v>7</v>
      </c>
      <c r="W1614" s="556" t="str">
        <f t="shared" ca="1" si="272"/>
        <v/>
      </c>
      <c r="X1614" s="494" t="s">
        <v>1647</v>
      </c>
      <c r="Y1614" s="547" t="str">
        <f t="shared" ca="1" si="276"/>
        <v/>
      </c>
      <c r="Z1614" s="494" t="s">
        <v>1583</v>
      </c>
      <c r="AA1614" s="547" t="str">
        <f t="shared" ca="1" si="277"/>
        <v/>
      </c>
      <c r="AB1614" s="494" t="s">
        <v>173</v>
      </c>
      <c r="AC1614" s="547" t="str">
        <f t="shared" ca="1" si="278"/>
        <v/>
      </c>
      <c r="AD1614" s="557"/>
      <c r="AE1614" s="958"/>
    </row>
    <row r="1615" spans="1:31" ht="15" customHeight="1">
      <c r="A1615" s="957" t="str">
        <f t="shared" ca="1" si="268"/>
        <v>2/3</v>
      </c>
      <c r="B1615" s="566" t="s">
        <v>1249</v>
      </c>
      <c r="C1615" s="567" t="str">
        <f t="shared" ca="1" si="269"/>
        <v>Green Star - Office</v>
      </c>
      <c r="D1615" s="958">
        <v>2</v>
      </c>
      <c r="E1615" s="959" t="s">
        <v>335</v>
      </c>
      <c r="F1615" s="558" t="s">
        <v>1455</v>
      </c>
      <c r="G1615" s="558">
        <v>32</v>
      </c>
      <c r="H1615" s="558" t="s">
        <v>1154</v>
      </c>
      <c r="I1615" s="559" t="s">
        <v>1700</v>
      </c>
      <c r="J1615" s="567" t="s">
        <v>1644</v>
      </c>
      <c r="K1615" s="961" t="s">
        <v>1568</v>
      </c>
      <c r="L1615" s="555" t="str">
        <f t="shared" ca="1" si="273"/>
        <v/>
      </c>
      <c r="M1615" s="494" t="s">
        <v>1569</v>
      </c>
      <c r="N1615" s="555" t="str">
        <f t="shared" ca="1" si="274"/>
        <v/>
      </c>
      <c r="O1615" s="494" t="s">
        <v>1570</v>
      </c>
      <c r="P1615" s="555" t="str">
        <f t="shared" ca="1" si="275"/>
        <v/>
      </c>
      <c r="Q1615" s="494" t="s">
        <v>1645</v>
      </c>
      <c r="R1615" s="494" t="str">
        <f t="shared" si="270"/>
        <v>I1615</v>
      </c>
      <c r="S1615" s="494" t="s">
        <v>1646</v>
      </c>
      <c r="T1615" s="494">
        <v>6</v>
      </c>
      <c r="U1615" s="556" t="str">
        <f t="shared" ca="1" si="271"/>
        <v/>
      </c>
      <c r="V1615" s="494">
        <v>7</v>
      </c>
      <c r="W1615" s="556" t="str">
        <f t="shared" ca="1" si="272"/>
        <v/>
      </c>
      <c r="X1615" s="494" t="s">
        <v>1647</v>
      </c>
      <c r="Y1615" s="547" t="str">
        <f t="shared" ca="1" si="276"/>
        <v/>
      </c>
      <c r="Z1615" s="494" t="s">
        <v>1583</v>
      </c>
      <c r="AA1615" s="547" t="str">
        <f t="shared" ca="1" si="277"/>
        <v/>
      </c>
      <c r="AB1615" s="494" t="s">
        <v>173</v>
      </c>
      <c r="AC1615" s="547" t="str">
        <f t="shared" ca="1" si="278"/>
        <v/>
      </c>
      <c r="AD1615" s="557"/>
      <c r="AE1615" s="958"/>
    </row>
    <row r="1616" spans="1:31" ht="15" customHeight="1">
      <c r="A1616" s="957" t="str">
        <f t="shared" ca="1" si="268"/>
        <v>2/3</v>
      </c>
      <c r="B1616" s="566" t="s">
        <v>1249</v>
      </c>
      <c r="C1616" s="567" t="str">
        <f t="shared" ca="1" si="269"/>
        <v>Green Star - Office</v>
      </c>
      <c r="D1616" s="958">
        <v>2</v>
      </c>
      <c r="E1616" s="959" t="s">
        <v>335</v>
      </c>
      <c r="F1616" s="558" t="s">
        <v>1455</v>
      </c>
      <c r="G1616" s="558">
        <v>36</v>
      </c>
      <c r="H1616" s="558" t="s">
        <v>1156</v>
      </c>
      <c r="I1616" s="559" t="s">
        <v>1701</v>
      </c>
      <c r="J1616" s="567" t="s">
        <v>1644</v>
      </c>
      <c r="K1616" s="961" t="s">
        <v>1568</v>
      </c>
      <c r="L1616" s="555" t="str">
        <f t="shared" ca="1" si="273"/>
        <v/>
      </c>
      <c r="M1616" s="494" t="s">
        <v>1569</v>
      </c>
      <c r="N1616" s="555" t="str">
        <f t="shared" ca="1" si="274"/>
        <v/>
      </c>
      <c r="O1616" s="494" t="s">
        <v>1570</v>
      </c>
      <c r="P1616" s="555" t="str">
        <f t="shared" ca="1" si="275"/>
        <v/>
      </c>
      <c r="Q1616" s="494" t="s">
        <v>1645</v>
      </c>
      <c r="R1616" s="494" t="str">
        <f t="shared" si="270"/>
        <v>I1616</v>
      </c>
      <c r="S1616" s="494" t="s">
        <v>1646</v>
      </c>
      <c r="T1616" s="494">
        <v>6</v>
      </c>
      <c r="U1616" s="556" t="str">
        <f t="shared" ca="1" si="271"/>
        <v/>
      </c>
      <c r="V1616" s="494">
        <v>7</v>
      </c>
      <c r="W1616" s="556" t="str">
        <f t="shared" ca="1" si="272"/>
        <v/>
      </c>
      <c r="X1616" s="494" t="s">
        <v>1647</v>
      </c>
      <c r="Y1616" s="547" t="str">
        <f t="shared" ca="1" si="276"/>
        <v/>
      </c>
      <c r="Z1616" s="494" t="s">
        <v>1583</v>
      </c>
      <c r="AA1616" s="547" t="str">
        <f t="shared" ca="1" si="277"/>
        <v/>
      </c>
      <c r="AB1616" s="494" t="s">
        <v>173</v>
      </c>
      <c r="AC1616" s="547" t="str">
        <f t="shared" ca="1" si="278"/>
        <v/>
      </c>
      <c r="AD1616" s="557"/>
      <c r="AE1616" s="958"/>
    </row>
    <row r="1617" spans="1:31" ht="15" customHeight="1">
      <c r="A1617" s="957" t="str">
        <f t="shared" ca="1" si="268"/>
        <v>2/3</v>
      </c>
      <c r="B1617" s="566" t="s">
        <v>1249</v>
      </c>
      <c r="C1617" s="567" t="str">
        <f t="shared" ca="1" si="269"/>
        <v>Green Star - Office</v>
      </c>
      <c r="D1617" s="958">
        <v>2</v>
      </c>
      <c r="E1617" s="959" t="s">
        <v>335</v>
      </c>
      <c r="F1617" s="558" t="s">
        <v>1455</v>
      </c>
      <c r="G1617" s="558">
        <v>38</v>
      </c>
      <c r="H1617" s="558" t="s">
        <v>1158</v>
      </c>
      <c r="I1617" s="559" t="s">
        <v>1702</v>
      </c>
      <c r="J1617" s="567" t="s">
        <v>1644</v>
      </c>
      <c r="K1617" s="961" t="s">
        <v>1568</v>
      </c>
      <c r="L1617" s="555" t="str">
        <f t="shared" ca="1" si="273"/>
        <v/>
      </c>
      <c r="M1617" s="494" t="s">
        <v>1569</v>
      </c>
      <c r="N1617" s="555" t="str">
        <f t="shared" ca="1" si="274"/>
        <v/>
      </c>
      <c r="O1617" s="494" t="s">
        <v>1570</v>
      </c>
      <c r="P1617" s="555" t="str">
        <f t="shared" ca="1" si="275"/>
        <v/>
      </c>
      <c r="Q1617" s="494" t="s">
        <v>1645</v>
      </c>
      <c r="R1617" s="494" t="str">
        <f t="shared" si="270"/>
        <v>I1617</v>
      </c>
      <c r="S1617" s="494" t="s">
        <v>1646</v>
      </c>
      <c r="T1617" s="494">
        <v>6</v>
      </c>
      <c r="U1617" s="556" t="str">
        <f t="shared" ca="1" si="271"/>
        <v/>
      </c>
      <c r="V1617" s="494">
        <v>7</v>
      </c>
      <c r="W1617" s="556" t="str">
        <f t="shared" ca="1" si="272"/>
        <v/>
      </c>
      <c r="X1617" s="494" t="s">
        <v>1647</v>
      </c>
      <c r="Y1617" s="547" t="str">
        <f t="shared" ca="1" si="276"/>
        <v/>
      </c>
      <c r="Z1617" s="494" t="s">
        <v>1583</v>
      </c>
      <c r="AA1617" s="547" t="str">
        <f t="shared" ca="1" si="277"/>
        <v/>
      </c>
      <c r="AB1617" s="494" t="s">
        <v>173</v>
      </c>
      <c r="AC1617" s="547" t="str">
        <f t="shared" ca="1" si="278"/>
        <v/>
      </c>
      <c r="AD1617" s="557"/>
      <c r="AE1617" s="958"/>
    </row>
    <row r="1618" spans="1:31" ht="15" customHeight="1">
      <c r="A1618" s="957" t="str">
        <f t="shared" ca="1" si="268"/>
        <v>2/3</v>
      </c>
      <c r="B1618" s="566" t="s">
        <v>1249</v>
      </c>
      <c r="C1618" s="567" t="str">
        <f t="shared" ca="1" si="269"/>
        <v>Green Star - Office</v>
      </c>
      <c r="D1618" s="958">
        <v>2</v>
      </c>
      <c r="E1618" s="959" t="s">
        <v>335</v>
      </c>
      <c r="F1618" s="558" t="s">
        <v>1455</v>
      </c>
      <c r="G1618" s="558">
        <v>41</v>
      </c>
      <c r="H1618" s="558" t="s">
        <v>1703</v>
      </c>
      <c r="I1618" s="559" t="s">
        <v>1704</v>
      </c>
      <c r="J1618" s="567" t="s">
        <v>1644</v>
      </c>
      <c r="K1618" s="961" t="s">
        <v>1568</v>
      </c>
      <c r="L1618" s="555" t="str">
        <f t="shared" ca="1" si="273"/>
        <v/>
      </c>
      <c r="M1618" s="494" t="s">
        <v>1569</v>
      </c>
      <c r="N1618" s="555" t="str">
        <f t="shared" ca="1" si="274"/>
        <v/>
      </c>
      <c r="O1618" s="494" t="s">
        <v>1570</v>
      </c>
      <c r="P1618" s="555" t="str">
        <f t="shared" ca="1" si="275"/>
        <v/>
      </c>
      <c r="Q1618" s="494" t="s">
        <v>1645</v>
      </c>
      <c r="R1618" s="494" t="str">
        <f t="shared" si="270"/>
        <v>I1618</v>
      </c>
      <c r="S1618" s="494" t="s">
        <v>1646</v>
      </c>
      <c r="T1618" s="494">
        <v>6</v>
      </c>
      <c r="U1618" s="556" t="str">
        <f t="shared" ca="1" si="271"/>
        <v/>
      </c>
      <c r="V1618" s="494">
        <v>7</v>
      </c>
      <c r="W1618" s="556" t="str">
        <f t="shared" ca="1" si="272"/>
        <v/>
      </c>
      <c r="X1618" s="494" t="s">
        <v>1647</v>
      </c>
      <c r="Y1618" s="547" t="str">
        <f t="shared" ca="1" si="276"/>
        <v/>
      </c>
      <c r="Z1618" s="494" t="s">
        <v>1583</v>
      </c>
      <c r="AA1618" s="547" t="str">
        <f t="shared" ca="1" si="277"/>
        <v/>
      </c>
      <c r="AB1618" s="494" t="s">
        <v>173</v>
      </c>
      <c r="AC1618" s="547" t="str">
        <f t="shared" ca="1" si="278"/>
        <v/>
      </c>
      <c r="AD1618" s="557"/>
      <c r="AE1618" s="958"/>
    </row>
    <row r="1619" spans="1:31" ht="15" customHeight="1">
      <c r="A1619" s="957" t="str">
        <f t="shared" ca="1" si="268"/>
        <v>2/3</v>
      </c>
      <c r="B1619" s="566" t="s">
        <v>1249</v>
      </c>
      <c r="C1619" s="567" t="str">
        <f t="shared" ca="1" si="269"/>
        <v>Green Star - Office</v>
      </c>
      <c r="D1619" s="958">
        <v>2</v>
      </c>
      <c r="E1619" s="959" t="s">
        <v>335</v>
      </c>
      <c r="F1619" s="558" t="s">
        <v>1455</v>
      </c>
      <c r="G1619" s="558">
        <v>43</v>
      </c>
      <c r="H1619" s="558" t="s">
        <v>1160</v>
      </c>
      <c r="I1619" s="559" t="s">
        <v>1705</v>
      </c>
      <c r="J1619" s="567" t="s">
        <v>1644</v>
      </c>
      <c r="K1619" s="961" t="s">
        <v>1568</v>
      </c>
      <c r="L1619" s="555" t="str">
        <f t="shared" ca="1" si="273"/>
        <v/>
      </c>
      <c r="M1619" s="494" t="s">
        <v>1569</v>
      </c>
      <c r="N1619" s="555" t="str">
        <f t="shared" ca="1" si="274"/>
        <v/>
      </c>
      <c r="O1619" s="494" t="s">
        <v>1570</v>
      </c>
      <c r="P1619" s="555" t="str">
        <f t="shared" ca="1" si="275"/>
        <v/>
      </c>
      <c r="Q1619" s="494" t="s">
        <v>1645</v>
      </c>
      <c r="R1619" s="494" t="str">
        <f t="shared" si="270"/>
        <v>I1619</v>
      </c>
      <c r="S1619" s="494" t="s">
        <v>1646</v>
      </c>
      <c r="T1619" s="494">
        <v>6</v>
      </c>
      <c r="U1619" s="556" t="str">
        <f t="shared" ca="1" si="271"/>
        <v/>
      </c>
      <c r="V1619" s="494">
        <v>7</v>
      </c>
      <c r="W1619" s="556" t="str">
        <f t="shared" ca="1" si="272"/>
        <v/>
      </c>
      <c r="X1619" s="494" t="s">
        <v>1647</v>
      </c>
      <c r="Y1619" s="547" t="str">
        <f t="shared" ca="1" si="276"/>
        <v/>
      </c>
      <c r="Z1619" s="494" t="s">
        <v>1583</v>
      </c>
      <c r="AA1619" s="547" t="str">
        <f t="shared" ca="1" si="277"/>
        <v/>
      </c>
      <c r="AB1619" s="494" t="s">
        <v>173</v>
      </c>
      <c r="AC1619" s="547" t="str">
        <f t="shared" ca="1" si="278"/>
        <v/>
      </c>
      <c r="AD1619" s="557"/>
      <c r="AE1619" s="958"/>
    </row>
    <row r="1620" spans="1:31" ht="15" customHeight="1">
      <c r="A1620" s="957" t="str">
        <f t="shared" ca="1" si="268"/>
        <v>2/3</v>
      </c>
      <c r="B1620" s="566" t="s">
        <v>1249</v>
      </c>
      <c r="C1620" s="567" t="str">
        <f t="shared" ca="1" si="269"/>
        <v>Green Star - Office</v>
      </c>
      <c r="D1620" s="958">
        <v>2</v>
      </c>
      <c r="E1620" s="959" t="s">
        <v>335</v>
      </c>
      <c r="F1620" s="558" t="s">
        <v>1455</v>
      </c>
      <c r="G1620" s="558">
        <v>45</v>
      </c>
      <c r="H1620" s="558" t="s">
        <v>1263</v>
      </c>
      <c r="I1620" s="559" t="s">
        <v>1157</v>
      </c>
      <c r="J1620" s="567" t="s">
        <v>1644</v>
      </c>
      <c r="K1620" s="961" t="s">
        <v>1568</v>
      </c>
      <c r="L1620" s="555" t="str">
        <f t="shared" ca="1" si="273"/>
        <v/>
      </c>
      <c r="M1620" s="494" t="s">
        <v>1569</v>
      </c>
      <c r="N1620" s="555" t="str">
        <f t="shared" ca="1" si="274"/>
        <v/>
      </c>
      <c r="O1620" s="494" t="s">
        <v>1570</v>
      </c>
      <c r="P1620" s="555" t="str">
        <f t="shared" ca="1" si="275"/>
        <v/>
      </c>
      <c r="Q1620" s="494" t="s">
        <v>1645</v>
      </c>
      <c r="R1620" s="494" t="str">
        <f t="shared" si="270"/>
        <v>I1620</v>
      </c>
      <c r="S1620" s="494" t="s">
        <v>1646</v>
      </c>
      <c r="T1620" s="494">
        <v>6</v>
      </c>
      <c r="U1620" s="556" t="str">
        <f t="shared" ca="1" si="271"/>
        <v/>
      </c>
      <c r="V1620" s="494">
        <v>7</v>
      </c>
      <c r="W1620" s="556" t="str">
        <f t="shared" ca="1" si="272"/>
        <v/>
      </c>
      <c r="X1620" s="494" t="s">
        <v>1647</v>
      </c>
      <c r="Y1620" s="547" t="str">
        <f t="shared" ca="1" si="276"/>
        <v/>
      </c>
      <c r="Z1620" s="494" t="s">
        <v>1583</v>
      </c>
      <c r="AA1620" s="547" t="str">
        <f t="shared" ca="1" si="277"/>
        <v/>
      </c>
      <c r="AB1620" s="494" t="s">
        <v>173</v>
      </c>
      <c r="AC1620" s="547" t="str">
        <f t="shared" ca="1" si="278"/>
        <v/>
      </c>
      <c r="AD1620" s="557"/>
      <c r="AE1620" s="958"/>
    </row>
    <row r="1621" spans="1:31" ht="15" customHeight="1">
      <c r="A1621" s="957" t="str">
        <f t="shared" ca="1" si="268"/>
        <v>2/3</v>
      </c>
      <c r="B1621" s="566" t="s">
        <v>1249</v>
      </c>
      <c r="C1621" s="567" t="str">
        <f t="shared" ca="1" si="269"/>
        <v>Green Star - Office</v>
      </c>
      <c r="D1621" s="958">
        <v>2</v>
      </c>
      <c r="E1621" s="959" t="s">
        <v>345</v>
      </c>
      <c r="F1621" s="558" t="s">
        <v>1484</v>
      </c>
      <c r="G1621" s="558">
        <v>50</v>
      </c>
      <c r="H1621" s="558" t="s">
        <v>1164</v>
      </c>
      <c r="I1621" s="559" t="s">
        <v>1165</v>
      </c>
      <c r="J1621" s="567" t="s">
        <v>1644</v>
      </c>
      <c r="K1621" s="961" t="s">
        <v>1568</v>
      </c>
      <c r="L1621" s="555" t="str">
        <f t="shared" ca="1" si="273"/>
        <v/>
      </c>
      <c r="M1621" s="494" t="s">
        <v>1569</v>
      </c>
      <c r="N1621" s="555" t="str">
        <f t="shared" ca="1" si="274"/>
        <v/>
      </c>
      <c r="O1621" s="494" t="s">
        <v>1570</v>
      </c>
      <c r="P1621" s="555" t="str">
        <f t="shared" ca="1" si="275"/>
        <v/>
      </c>
      <c r="Q1621" s="494" t="s">
        <v>1645</v>
      </c>
      <c r="R1621" s="494" t="str">
        <f t="shared" si="270"/>
        <v>I1621</v>
      </c>
      <c r="S1621" s="494" t="s">
        <v>1646</v>
      </c>
      <c r="T1621" s="494">
        <v>6</v>
      </c>
      <c r="U1621" s="556" t="str">
        <f t="shared" ca="1" si="271"/>
        <v/>
      </c>
      <c r="V1621" s="494">
        <v>7</v>
      </c>
      <c r="W1621" s="556" t="str">
        <f t="shared" ca="1" si="272"/>
        <v/>
      </c>
      <c r="X1621" s="494" t="s">
        <v>1647</v>
      </c>
      <c r="Y1621" s="547" t="str">
        <f t="shared" ca="1" si="276"/>
        <v/>
      </c>
      <c r="Z1621" s="494" t="s">
        <v>1583</v>
      </c>
      <c r="AA1621" s="547" t="str">
        <f t="shared" ca="1" si="277"/>
        <v/>
      </c>
      <c r="AB1621" s="494" t="s">
        <v>173</v>
      </c>
      <c r="AC1621" s="547" t="str">
        <f t="shared" ca="1" si="278"/>
        <v/>
      </c>
      <c r="AD1621" s="557"/>
      <c r="AE1621" s="958"/>
    </row>
    <row r="1622" spans="1:31" ht="15" customHeight="1">
      <c r="A1622" s="957" t="str">
        <f t="shared" ca="1" si="268"/>
        <v>2/3</v>
      </c>
      <c r="B1622" s="566" t="s">
        <v>1249</v>
      </c>
      <c r="C1622" s="567" t="str">
        <f t="shared" ca="1" si="269"/>
        <v>Green Star - Office</v>
      </c>
      <c r="D1622" s="958">
        <v>2</v>
      </c>
      <c r="E1622" s="959" t="s">
        <v>345</v>
      </c>
      <c r="F1622" s="558" t="s">
        <v>1484</v>
      </c>
      <c r="G1622" s="558">
        <v>52</v>
      </c>
      <c r="H1622" s="558" t="s">
        <v>1166</v>
      </c>
      <c r="I1622" s="559" t="s">
        <v>1706</v>
      </c>
      <c r="J1622" s="567" t="s">
        <v>1644</v>
      </c>
      <c r="K1622" s="961" t="s">
        <v>1568</v>
      </c>
      <c r="L1622" s="555" t="str">
        <f t="shared" ca="1" si="273"/>
        <v/>
      </c>
      <c r="M1622" s="494" t="s">
        <v>1569</v>
      </c>
      <c r="N1622" s="555" t="str">
        <f t="shared" ca="1" si="274"/>
        <v/>
      </c>
      <c r="O1622" s="494" t="s">
        <v>1570</v>
      </c>
      <c r="P1622" s="555" t="str">
        <f t="shared" ca="1" si="275"/>
        <v/>
      </c>
      <c r="Q1622" s="494" t="s">
        <v>1645</v>
      </c>
      <c r="R1622" s="494" t="str">
        <f t="shared" si="270"/>
        <v>I1622</v>
      </c>
      <c r="S1622" s="494" t="s">
        <v>1646</v>
      </c>
      <c r="T1622" s="494">
        <v>6</v>
      </c>
      <c r="U1622" s="556" t="str">
        <f t="shared" ca="1" si="271"/>
        <v/>
      </c>
      <c r="V1622" s="494">
        <v>7</v>
      </c>
      <c r="W1622" s="556" t="str">
        <f t="shared" ca="1" si="272"/>
        <v/>
      </c>
      <c r="X1622" s="494" t="s">
        <v>1647</v>
      </c>
      <c r="Y1622" s="547" t="str">
        <f t="shared" ca="1" si="276"/>
        <v/>
      </c>
      <c r="Z1622" s="494" t="s">
        <v>1583</v>
      </c>
      <c r="AA1622" s="547" t="str">
        <f t="shared" ca="1" si="277"/>
        <v/>
      </c>
      <c r="AB1622" s="494" t="s">
        <v>173</v>
      </c>
      <c r="AC1622" s="547" t="str">
        <f t="shared" ca="1" si="278"/>
        <v/>
      </c>
      <c r="AD1622" s="557"/>
      <c r="AE1622" s="958"/>
    </row>
    <row r="1623" spans="1:31" ht="15" customHeight="1">
      <c r="A1623" s="957" t="str">
        <f t="shared" ca="1" si="268"/>
        <v>2/3</v>
      </c>
      <c r="B1623" s="566" t="s">
        <v>1249</v>
      </c>
      <c r="C1623" s="567" t="str">
        <f t="shared" ca="1" si="269"/>
        <v>Green Star - Office</v>
      </c>
      <c r="D1623" s="958">
        <v>2</v>
      </c>
      <c r="E1623" s="959" t="s">
        <v>345</v>
      </c>
      <c r="F1623" s="558" t="s">
        <v>1484</v>
      </c>
      <c r="G1623" s="558">
        <v>53</v>
      </c>
      <c r="H1623" s="558" t="s">
        <v>1168</v>
      </c>
      <c r="I1623" s="559" t="s">
        <v>1707</v>
      </c>
      <c r="J1623" s="567" t="s">
        <v>1644</v>
      </c>
      <c r="K1623" s="961" t="s">
        <v>1568</v>
      </c>
      <c r="L1623" s="555" t="str">
        <f t="shared" ca="1" si="273"/>
        <v/>
      </c>
      <c r="M1623" s="494" t="s">
        <v>1569</v>
      </c>
      <c r="N1623" s="555" t="str">
        <f t="shared" ca="1" si="274"/>
        <v/>
      </c>
      <c r="O1623" s="494" t="s">
        <v>1570</v>
      </c>
      <c r="P1623" s="555" t="str">
        <f t="shared" ca="1" si="275"/>
        <v/>
      </c>
      <c r="Q1623" s="494" t="s">
        <v>1645</v>
      </c>
      <c r="R1623" s="494" t="str">
        <f t="shared" si="270"/>
        <v>I1623</v>
      </c>
      <c r="S1623" s="494" t="s">
        <v>1648</v>
      </c>
      <c r="T1623" s="494">
        <v>6</v>
      </c>
      <c r="U1623" s="556" t="str">
        <f t="shared" ca="1" si="271"/>
        <v/>
      </c>
      <c r="V1623" s="494">
        <v>7</v>
      </c>
      <c r="W1623" s="556" t="str">
        <f t="shared" ca="1" si="272"/>
        <v/>
      </c>
      <c r="X1623" s="494" t="s">
        <v>1647</v>
      </c>
      <c r="Y1623" s="547" t="str">
        <f t="shared" ca="1" si="276"/>
        <v/>
      </c>
      <c r="Z1623" s="494" t="s">
        <v>1583</v>
      </c>
      <c r="AA1623" s="547" t="str">
        <f t="shared" ca="1" si="277"/>
        <v/>
      </c>
      <c r="AB1623" s="494" t="s">
        <v>173</v>
      </c>
      <c r="AC1623" s="547" t="str">
        <f t="shared" ca="1" si="278"/>
        <v/>
      </c>
      <c r="AD1623" s="557"/>
      <c r="AE1623" s="958"/>
    </row>
    <row r="1624" spans="1:31" ht="15" customHeight="1">
      <c r="A1624" s="957" t="str">
        <f t="shared" ca="1" si="268"/>
        <v>2/3</v>
      </c>
      <c r="B1624" s="566" t="s">
        <v>1249</v>
      </c>
      <c r="C1624" s="567" t="str">
        <f t="shared" ca="1" si="269"/>
        <v>Green Star - Office</v>
      </c>
      <c r="D1624" s="958">
        <v>2</v>
      </c>
      <c r="E1624" s="959" t="s">
        <v>345</v>
      </c>
      <c r="F1624" s="558" t="s">
        <v>1484</v>
      </c>
      <c r="G1624" s="558">
        <v>53</v>
      </c>
      <c r="H1624" s="558" t="s">
        <v>1168</v>
      </c>
      <c r="I1624" s="559" t="s">
        <v>1708</v>
      </c>
      <c r="J1624" s="567" t="s">
        <v>1644</v>
      </c>
      <c r="K1624" s="961" t="s">
        <v>1568</v>
      </c>
      <c r="L1624" s="555" t="str">
        <f t="shared" ca="1" si="273"/>
        <v/>
      </c>
      <c r="M1624" s="494" t="s">
        <v>1569</v>
      </c>
      <c r="N1624" s="555" t="str">
        <f t="shared" ca="1" si="274"/>
        <v/>
      </c>
      <c r="O1624" s="494" t="s">
        <v>1570</v>
      </c>
      <c r="P1624" s="555" t="str">
        <f t="shared" ca="1" si="275"/>
        <v/>
      </c>
      <c r="Q1624" s="494" t="s">
        <v>1645</v>
      </c>
      <c r="R1624" s="494" t="str">
        <f t="shared" si="270"/>
        <v>I1624</v>
      </c>
      <c r="S1624" s="494" t="s">
        <v>1648</v>
      </c>
      <c r="T1624" s="494">
        <v>6</v>
      </c>
      <c r="U1624" s="556" t="str">
        <f t="shared" ca="1" si="271"/>
        <v/>
      </c>
      <c r="V1624" s="494">
        <v>7</v>
      </c>
      <c r="W1624" s="556" t="str">
        <f t="shared" ca="1" si="272"/>
        <v/>
      </c>
      <c r="X1624" s="494" t="s">
        <v>1647</v>
      </c>
      <c r="Y1624" s="547" t="str">
        <f t="shared" ca="1" si="276"/>
        <v/>
      </c>
      <c r="Z1624" s="494" t="s">
        <v>1583</v>
      </c>
      <c r="AA1624" s="547" t="str">
        <f t="shared" ca="1" si="277"/>
        <v/>
      </c>
      <c r="AB1624" s="494" t="s">
        <v>173</v>
      </c>
      <c r="AC1624" s="547" t="str">
        <f t="shared" ca="1" si="278"/>
        <v/>
      </c>
      <c r="AD1624" s="557"/>
      <c r="AE1624" s="958"/>
    </row>
    <row r="1625" spans="1:31" ht="15" customHeight="1">
      <c r="A1625" s="957" t="str">
        <f t="shared" ca="1" si="268"/>
        <v>2/3</v>
      </c>
      <c r="B1625" s="566" t="s">
        <v>1249</v>
      </c>
      <c r="C1625" s="567" t="str">
        <f t="shared" ca="1" si="269"/>
        <v>Green Star - Office</v>
      </c>
      <c r="D1625" s="958">
        <v>2</v>
      </c>
      <c r="E1625" s="959" t="s">
        <v>345</v>
      </c>
      <c r="F1625" s="558" t="s">
        <v>1484</v>
      </c>
      <c r="G1625" s="558">
        <v>83</v>
      </c>
      <c r="H1625" s="558" t="s">
        <v>1172</v>
      </c>
      <c r="I1625" s="559" t="s">
        <v>1709</v>
      </c>
      <c r="J1625" s="567" t="s">
        <v>1644</v>
      </c>
      <c r="K1625" s="961" t="s">
        <v>1568</v>
      </c>
      <c r="L1625" s="555" t="str">
        <f t="shared" ca="1" si="273"/>
        <v/>
      </c>
      <c r="M1625" s="494" t="s">
        <v>1569</v>
      </c>
      <c r="N1625" s="555" t="str">
        <f t="shared" ca="1" si="274"/>
        <v/>
      </c>
      <c r="O1625" s="494" t="s">
        <v>1570</v>
      </c>
      <c r="P1625" s="555" t="str">
        <f t="shared" ca="1" si="275"/>
        <v/>
      </c>
      <c r="Q1625" s="494" t="s">
        <v>1645</v>
      </c>
      <c r="R1625" s="494" t="str">
        <f t="shared" si="270"/>
        <v>I1625</v>
      </c>
      <c r="S1625" s="494" t="s">
        <v>1646</v>
      </c>
      <c r="T1625" s="494">
        <v>6</v>
      </c>
      <c r="U1625" s="556" t="str">
        <f t="shared" ca="1" si="271"/>
        <v/>
      </c>
      <c r="V1625" s="494">
        <v>7</v>
      </c>
      <c r="W1625" s="556" t="str">
        <f t="shared" ca="1" si="272"/>
        <v/>
      </c>
      <c r="X1625" s="494" t="s">
        <v>1647</v>
      </c>
      <c r="Y1625" s="547" t="str">
        <f t="shared" ca="1" si="276"/>
        <v/>
      </c>
      <c r="Z1625" s="494" t="s">
        <v>1583</v>
      </c>
      <c r="AA1625" s="547" t="str">
        <f t="shared" ca="1" si="277"/>
        <v/>
      </c>
      <c r="AB1625" s="494" t="s">
        <v>173</v>
      </c>
      <c r="AC1625" s="547" t="str">
        <f t="shared" ca="1" si="278"/>
        <v/>
      </c>
      <c r="AD1625" s="557"/>
      <c r="AE1625" s="958"/>
    </row>
    <row r="1626" spans="1:31" ht="15" customHeight="1">
      <c r="A1626" s="957" t="str">
        <f t="shared" ca="1" si="268"/>
        <v>2/3</v>
      </c>
      <c r="B1626" s="566" t="s">
        <v>1249</v>
      </c>
      <c r="C1626" s="567" t="str">
        <f t="shared" ca="1" si="269"/>
        <v>Green Star - Office</v>
      </c>
      <c r="D1626" s="958">
        <v>2</v>
      </c>
      <c r="E1626" s="959" t="s">
        <v>353</v>
      </c>
      <c r="F1626" s="558" t="s">
        <v>1486</v>
      </c>
      <c r="G1626" s="558">
        <v>67</v>
      </c>
      <c r="H1626" s="558" t="s">
        <v>1175</v>
      </c>
      <c r="I1626" s="559" t="s">
        <v>1710</v>
      </c>
      <c r="J1626" s="567" t="s">
        <v>1644</v>
      </c>
      <c r="K1626" s="961" t="s">
        <v>1568</v>
      </c>
      <c r="L1626" s="555" t="str">
        <f t="shared" ca="1" si="273"/>
        <v/>
      </c>
      <c r="M1626" s="494" t="s">
        <v>1569</v>
      </c>
      <c r="N1626" s="555" t="str">
        <f t="shared" ca="1" si="274"/>
        <v/>
      </c>
      <c r="O1626" s="494" t="s">
        <v>1570</v>
      </c>
      <c r="P1626" s="555" t="str">
        <f t="shared" ca="1" si="275"/>
        <v/>
      </c>
      <c r="Q1626" s="494" t="s">
        <v>1645</v>
      </c>
      <c r="R1626" s="494" t="str">
        <f t="shared" si="270"/>
        <v>I1626</v>
      </c>
      <c r="S1626" s="494" t="s">
        <v>1646</v>
      </c>
      <c r="T1626" s="494">
        <v>6</v>
      </c>
      <c r="U1626" s="556" t="str">
        <f t="shared" ca="1" si="271"/>
        <v/>
      </c>
      <c r="V1626" s="494">
        <v>7</v>
      </c>
      <c r="W1626" s="556" t="str">
        <f t="shared" ca="1" si="272"/>
        <v/>
      </c>
      <c r="X1626" s="494" t="s">
        <v>1647</v>
      </c>
      <c r="Y1626" s="547" t="str">
        <f t="shared" ca="1" si="276"/>
        <v/>
      </c>
      <c r="Z1626" s="494" t="s">
        <v>1583</v>
      </c>
      <c r="AA1626" s="547" t="str">
        <f t="shared" ca="1" si="277"/>
        <v/>
      </c>
      <c r="AB1626" s="494" t="s">
        <v>173</v>
      </c>
      <c r="AC1626" s="547" t="str">
        <f t="shared" ca="1" si="278"/>
        <v/>
      </c>
      <c r="AD1626" s="557"/>
      <c r="AE1626" s="958"/>
    </row>
    <row r="1627" spans="1:31" ht="15" customHeight="1">
      <c r="A1627" s="957" t="str">
        <f t="shared" ca="1" si="268"/>
        <v>2/3</v>
      </c>
      <c r="B1627" s="566" t="s">
        <v>1249</v>
      </c>
      <c r="C1627" s="567" t="str">
        <f t="shared" ca="1" si="269"/>
        <v>Green Star - Office</v>
      </c>
      <c r="D1627" s="958">
        <v>2</v>
      </c>
      <c r="E1627" s="959" t="s">
        <v>353</v>
      </c>
      <c r="F1627" s="558" t="s">
        <v>1486</v>
      </c>
      <c r="G1627" s="558">
        <v>68</v>
      </c>
      <c r="H1627" s="558" t="s">
        <v>1177</v>
      </c>
      <c r="I1627" s="559" t="s">
        <v>1178</v>
      </c>
      <c r="J1627" s="567" t="s">
        <v>1644</v>
      </c>
      <c r="K1627" s="961" t="s">
        <v>1568</v>
      </c>
      <c r="L1627" s="555" t="str">
        <f t="shared" ca="1" si="273"/>
        <v/>
      </c>
      <c r="M1627" s="494" t="s">
        <v>1569</v>
      </c>
      <c r="N1627" s="555" t="str">
        <f t="shared" ca="1" si="274"/>
        <v/>
      </c>
      <c r="O1627" s="494" t="s">
        <v>1570</v>
      </c>
      <c r="P1627" s="555" t="str">
        <f t="shared" ca="1" si="275"/>
        <v/>
      </c>
      <c r="Q1627" s="494" t="s">
        <v>1645</v>
      </c>
      <c r="R1627" s="494" t="str">
        <f t="shared" si="270"/>
        <v>I1627</v>
      </c>
      <c r="S1627" s="494" t="s">
        <v>1646</v>
      </c>
      <c r="T1627" s="494">
        <v>6</v>
      </c>
      <c r="U1627" s="556" t="str">
        <f t="shared" ca="1" si="271"/>
        <v/>
      </c>
      <c r="V1627" s="494">
        <v>7</v>
      </c>
      <c r="W1627" s="556" t="str">
        <f t="shared" ca="1" si="272"/>
        <v/>
      </c>
      <c r="X1627" s="494" t="s">
        <v>1647</v>
      </c>
      <c r="Y1627" s="547" t="str">
        <f t="shared" ca="1" si="276"/>
        <v/>
      </c>
      <c r="Z1627" s="494" t="s">
        <v>1583</v>
      </c>
      <c r="AA1627" s="547" t="str">
        <f t="shared" ca="1" si="277"/>
        <v/>
      </c>
      <c r="AB1627" s="494" t="s">
        <v>173</v>
      </c>
      <c r="AC1627" s="547" t="str">
        <f t="shared" ca="1" si="278"/>
        <v/>
      </c>
      <c r="AD1627" s="557"/>
      <c r="AE1627" s="958"/>
    </row>
    <row r="1628" spans="1:31" ht="15" customHeight="1">
      <c r="A1628" s="957" t="str">
        <f t="shared" ca="1" si="268"/>
        <v>2/3</v>
      </c>
      <c r="B1628" s="566" t="s">
        <v>1249</v>
      </c>
      <c r="C1628" s="567" t="str">
        <f t="shared" ca="1" si="269"/>
        <v>Green Star - Office</v>
      </c>
      <c r="D1628" s="958">
        <v>2</v>
      </c>
      <c r="E1628" s="959" t="s">
        <v>353</v>
      </c>
      <c r="F1628" s="558" t="s">
        <v>1486</v>
      </c>
      <c r="G1628" s="558">
        <v>68</v>
      </c>
      <c r="H1628" s="558" t="s">
        <v>1177</v>
      </c>
      <c r="I1628" s="559" t="s">
        <v>1711</v>
      </c>
      <c r="J1628" s="567" t="s">
        <v>1644</v>
      </c>
      <c r="K1628" s="961" t="s">
        <v>1568</v>
      </c>
      <c r="L1628" s="555" t="str">
        <f t="shared" ca="1" si="273"/>
        <v/>
      </c>
      <c r="M1628" s="494" t="s">
        <v>1569</v>
      </c>
      <c r="N1628" s="555" t="str">
        <f t="shared" ca="1" si="274"/>
        <v/>
      </c>
      <c r="O1628" s="494" t="s">
        <v>1570</v>
      </c>
      <c r="P1628" s="555" t="str">
        <f t="shared" ca="1" si="275"/>
        <v/>
      </c>
      <c r="Q1628" s="494" t="s">
        <v>1645</v>
      </c>
      <c r="R1628" s="494" t="str">
        <f t="shared" si="270"/>
        <v>I1628</v>
      </c>
      <c r="S1628" s="494" t="s">
        <v>1648</v>
      </c>
      <c r="T1628" s="494">
        <v>6</v>
      </c>
      <c r="U1628" s="556" t="str">
        <f t="shared" ca="1" si="271"/>
        <v/>
      </c>
      <c r="V1628" s="494">
        <v>7</v>
      </c>
      <c r="W1628" s="556" t="str">
        <f t="shared" ca="1" si="272"/>
        <v/>
      </c>
      <c r="X1628" s="494" t="s">
        <v>1647</v>
      </c>
      <c r="Y1628" s="547" t="str">
        <f t="shared" ca="1" si="276"/>
        <v/>
      </c>
      <c r="Z1628" s="494" t="s">
        <v>1583</v>
      </c>
      <c r="AA1628" s="547" t="str">
        <f t="shared" ca="1" si="277"/>
        <v/>
      </c>
      <c r="AB1628" s="494" t="s">
        <v>173</v>
      </c>
      <c r="AC1628" s="547" t="str">
        <f t="shared" ca="1" si="278"/>
        <v/>
      </c>
      <c r="AD1628" s="557"/>
      <c r="AE1628" s="958"/>
    </row>
    <row r="1629" spans="1:31" ht="15" customHeight="1">
      <c r="A1629" s="957" t="str">
        <f t="shared" ca="1" si="268"/>
        <v>2/3</v>
      </c>
      <c r="B1629" s="566" t="s">
        <v>1249</v>
      </c>
      <c r="C1629" s="567" t="str">
        <f t="shared" ca="1" si="269"/>
        <v>Green Star - Office</v>
      </c>
      <c r="D1629" s="958">
        <v>2</v>
      </c>
      <c r="E1629" s="959" t="s">
        <v>353</v>
      </c>
      <c r="F1629" s="558" t="s">
        <v>1486</v>
      </c>
      <c r="G1629" s="558">
        <v>70</v>
      </c>
      <c r="H1629" s="558" t="s">
        <v>1179</v>
      </c>
      <c r="I1629" s="559" t="s">
        <v>1712</v>
      </c>
      <c r="J1629" s="567" t="s">
        <v>1644</v>
      </c>
      <c r="K1629" s="961" t="s">
        <v>1568</v>
      </c>
      <c r="L1629" s="555" t="str">
        <f t="shared" ca="1" si="273"/>
        <v/>
      </c>
      <c r="M1629" s="494" t="s">
        <v>1569</v>
      </c>
      <c r="N1629" s="555" t="str">
        <f t="shared" ca="1" si="274"/>
        <v/>
      </c>
      <c r="O1629" s="494" t="s">
        <v>1570</v>
      </c>
      <c r="P1629" s="555" t="str">
        <f t="shared" ca="1" si="275"/>
        <v/>
      </c>
      <c r="Q1629" s="494" t="s">
        <v>1645</v>
      </c>
      <c r="R1629" s="494" t="str">
        <f t="shared" si="270"/>
        <v>I1629</v>
      </c>
      <c r="S1629" s="494" t="s">
        <v>1646</v>
      </c>
      <c r="T1629" s="494">
        <v>6</v>
      </c>
      <c r="U1629" s="556" t="str">
        <f t="shared" ca="1" si="271"/>
        <v/>
      </c>
      <c r="V1629" s="494">
        <v>7</v>
      </c>
      <c r="W1629" s="556" t="str">
        <f t="shared" ca="1" si="272"/>
        <v/>
      </c>
      <c r="X1629" s="494" t="s">
        <v>1647</v>
      </c>
      <c r="Y1629" s="547" t="str">
        <f t="shared" ca="1" si="276"/>
        <v/>
      </c>
      <c r="Z1629" s="494" t="s">
        <v>1583</v>
      </c>
      <c r="AA1629" s="547" t="str">
        <f t="shared" ca="1" si="277"/>
        <v/>
      </c>
      <c r="AB1629" s="494" t="s">
        <v>173</v>
      </c>
      <c r="AC1629" s="547" t="str">
        <f t="shared" ca="1" si="278"/>
        <v/>
      </c>
      <c r="AD1629" s="557"/>
      <c r="AE1629" s="958"/>
    </row>
    <row r="1630" spans="1:31" ht="15" customHeight="1">
      <c r="A1630" s="957" t="str">
        <f t="shared" ca="1" si="268"/>
        <v>2/3</v>
      </c>
      <c r="B1630" s="566" t="s">
        <v>1249</v>
      </c>
      <c r="C1630" s="567" t="str">
        <f t="shared" ca="1" si="269"/>
        <v>Green Star - Office</v>
      </c>
      <c r="D1630" s="958">
        <v>2</v>
      </c>
      <c r="E1630" s="959" t="s">
        <v>353</v>
      </c>
      <c r="F1630" s="558" t="s">
        <v>1486</v>
      </c>
      <c r="G1630" s="558">
        <v>71</v>
      </c>
      <c r="H1630" s="558" t="s">
        <v>1180</v>
      </c>
      <c r="I1630" s="559" t="s">
        <v>1713</v>
      </c>
      <c r="J1630" s="567" t="s">
        <v>1644</v>
      </c>
      <c r="K1630" s="961" t="s">
        <v>1568</v>
      </c>
      <c r="L1630" s="555" t="str">
        <f t="shared" ca="1" si="273"/>
        <v/>
      </c>
      <c r="M1630" s="494" t="s">
        <v>1569</v>
      </c>
      <c r="N1630" s="555" t="str">
        <f t="shared" ca="1" si="274"/>
        <v/>
      </c>
      <c r="O1630" s="494" t="s">
        <v>1570</v>
      </c>
      <c r="P1630" s="555" t="str">
        <f t="shared" ca="1" si="275"/>
        <v/>
      </c>
      <c r="Q1630" s="494" t="s">
        <v>1645</v>
      </c>
      <c r="R1630" s="494" t="str">
        <f t="shared" si="270"/>
        <v>I1630</v>
      </c>
      <c r="S1630" s="494" t="s">
        <v>1646</v>
      </c>
      <c r="T1630" s="494">
        <v>6</v>
      </c>
      <c r="U1630" s="556" t="str">
        <f t="shared" ca="1" si="271"/>
        <v/>
      </c>
      <c r="V1630" s="494">
        <v>7</v>
      </c>
      <c r="W1630" s="556" t="str">
        <f t="shared" ca="1" si="272"/>
        <v/>
      </c>
      <c r="X1630" s="494" t="s">
        <v>1647</v>
      </c>
      <c r="Y1630" s="547" t="str">
        <f t="shared" ca="1" si="276"/>
        <v/>
      </c>
      <c r="Z1630" s="494" t="s">
        <v>1583</v>
      </c>
      <c r="AA1630" s="547" t="str">
        <f t="shared" ca="1" si="277"/>
        <v/>
      </c>
      <c r="AB1630" s="494" t="s">
        <v>173</v>
      </c>
      <c r="AC1630" s="547" t="str">
        <f t="shared" ca="1" si="278"/>
        <v/>
      </c>
      <c r="AD1630" s="557"/>
      <c r="AE1630" s="958"/>
    </row>
    <row r="1631" spans="1:31" ht="15" customHeight="1">
      <c r="A1631" s="957" t="str">
        <f t="shared" ca="1" si="268"/>
        <v>2/3</v>
      </c>
      <c r="B1631" s="566" t="s">
        <v>1249</v>
      </c>
      <c r="C1631" s="567" t="str">
        <f t="shared" ca="1" si="269"/>
        <v>Green Star - Office</v>
      </c>
      <c r="D1631" s="958">
        <v>2</v>
      </c>
      <c r="E1631" s="959" t="s">
        <v>353</v>
      </c>
      <c r="F1631" s="558" t="s">
        <v>1486</v>
      </c>
      <c r="G1631" s="558">
        <v>74</v>
      </c>
      <c r="H1631" s="558" t="s">
        <v>1182</v>
      </c>
      <c r="I1631" s="559" t="s">
        <v>1287</v>
      </c>
      <c r="J1631" s="567" t="s">
        <v>1644</v>
      </c>
      <c r="K1631" s="961" t="s">
        <v>1568</v>
      </c>
      <c r="L1631" s="555" t="str">
        <f t="shared" ca="1" si="273"/>
        <v/>
      </c>
      <c r="M1631" s="494" t="s">
        <v>1569</v>
      </c>
      <c r="N1631" s="555" t="str">
        <f t="shared" ca="1" si="274"/>
        <v/>
      </c>
      <c r="O1631" s="494" t="s">
        <v>1570</v>
      </c>
      <c r="P1631" s="555" t="str">
        <f t="shared" ca="1" si="275"/>
        <v/>
      </c>
      <c r="Q1631" s="494" t="s">
        <v>1645</v>
      </c>
      <c r="R1631" s="494" t="str">
        <f t="shared" si="270"/>
        <v>I1631</v>
      </c>
      <c r="S1631" s="494" t="s">
        <v>1646</v>
      </c>
      <c r="T1631" s="494">
        <v>6</v>
      </c>
      <c r="U1631" s="556" t="str">
        <f t="shared" ca="1" si="271"/>
        <v/>
      </c>
      <c r="V1631" s="494">
        <v>7</v>
      </c>
      <c r="W1631" s="556" t="str">
        <f t="shared" ca="1" si="272"/>
        <v/>
      </c>
      <c r="X1631" s="494" t="s">
        <v>1647</v>
      </c>
      <c r="Y1631" s="547" t="str">
        <f t="shared" ca="1" si="276"/>
        <v/>
      </c>
      <c r="Z1631" s="494" t="s">
        <v>1583</v>
      </c>
      <c r="AA1631" s="547" t="str">
        <f t="shared" ca="1" si="277"/>
        <v/>
      </c>
      <c r="AB1631" s="494" t="s">
        <v>173</v>
      </c>
      <c r="AC1631" s="547" t="str">
        <f t="shared" ca="1" si="278"/>
        <v/>
      </c>
      <c r="AD1631" s="557"/>
      <c r="AE1631" s="958"/>
    </row>
    <row r="1632" spans="1:31" ht="15" customHeight="1">
      <c r="A1632" s="957" t="str">
        <f t="shared" ca="1" si="268"/>
        <v>2/3</v>
      </c>
      <c r="B1632" s="566" t="s">
        <v>1249</v>
      </c>
      <c r="C1632" s="567" t="str">
        <f t="shared" ca="1" si="269"/>
        <v>Green Star - Office</v>
      </c>
      <c r="D1632" s="958">
        <v>2</v>
      </c>
      <c r="E1632" s="959" t="s">
        <v>367</v>
      </c>
      <c r="F1632" s="558" t="s">
        <v>1488</v>
      </c>
      <c r="G1632" s="558">
        <v>46</v>
      </c>
      <c r="H1632" s="558" t="s">
        <v>1186</v>
      </c>
      <c r="I1632" s="559" t="s">
        <v>1187</v>
      </c>
      <c r="J1632" s="567" t="s">
        <v>1644</v>
      </c>
      <c r="K1632" s="961" t="s">
        <v>1568</v>
      </c>
      <c r="L1632" s="555" t="str">
        <f t="shared" ca="1" si="273"/>
        <v/>
      </c>
      <c r="M1632" s="494" t="s">
        <v>1569</v>
      </c>
      <c r="N1632" s="555" t="str">
        <f t="shared" ca="1" si="274"/>
        <v/>
      </c>
      <c r="O1632" s="494" t="s">
        <v>1570</v>
      </c>
      <c r="P1632" s="555" t="str">
        <f t="shared" ca="1" si="275"/>
        <v/>
      </c>
      <c r="Q1632" s="494" t="s">
        <v>1645</v>
      </c>
      <c r="R1632" s="494" t="str">
        <f t="shared" si="270"/>
        <v>I1632</v>
      </c>
      <c r="S1632" s="494" t="s">
        <v>1646</v>
      </c>
      <c r="T1632" s="494">
        <v>6</v>
      </c>
      <c r="U1632" s="556" t="str">
        <f t="shared" ca="1" si="271"/>
        <v/>
      </c>
      <c r="V1632" s="494">
        <v>7</v>
      </c>
      <c r="W1632" s="556" t="str">
        <f t="shared" ca="1" si="272"/>
        <v/>
      </c>
      <c r="X1632" s="494" t="s">
        <v>1647</v>
      </c>
      <c r="Y1632" s="547" t="str">
        <f t="shared" ca="1" si="276"/>
        <v/>
      </c>
      <c r="Z1632" s="494" t="s">
        <v>1583</v>
      </c>
      <c r="AA1632" s="547" t="str">
        <f t="shared" ca="1" si="277"/>
        <v/>
      </c>
      <c r="AB1632" s="494" t="s">
        <v>173</v>
      </c>
      <c r="AC1632" s="547" t="str">
        <f t="shared" ca="1" si="278"/>
        <v/>
      </c>
      <c r="AD1632" s="557"/>
      <c r="AE1632" s="958"/>
    </row>
    <row r="1633" spans="1:31" ht="15" customHeight="1">
      <c r="A1633" s="957" t="str">
        <f t="shared" ca="1" si="268"/>
        <v>2/3</v>
      </c>
      <c r="B1633" s="566" t="s">
        <v>1249</v>
      </c>
      <c r="C1633" s="567" t="str">
        <f t="shared" ca="1" si="269"/>
        <v>Green Star - Office</v>
      </c>
      <c r="D1633" s="958">
        <v>2</v>
      </c>
      <c r="E1633" s="959" t="s">
        <v>367</v>
      </c>
      <c r="F1633" s="558" t="s">
        <v>1488</v>
      </c>
      <c r="G1633" s="558">
        <v>48</v>
      </c>
      <c r="H1633" s="558" t="s">
        <v>1188</v>
      </c>
      <c r="I1633" s="559" t="s">
        <v>1714</v>
      </c>
      <c r="J1633" s="567" t="s">
        <v>1644</v>
      </c>
      <c r="K1633" s="961" t="s">
        <v>1568</v>
      </c>
      <c r="L1633" s="555" t="str">
        <f t="shared" ca="1" si="273"/>
        <v/>
      </c>
      <c r="M1633" s="494" t="s">
        <v>1569</v>
      </c>
      <c r="N1633" s="555" t="str">
        <f t="shared" ca="1" si="274"/>
        <v/>
      </c>
      <c r="O1633" s="494" t="s">
        <v>1570</v>
      </c>
      <c r="P1633" s="555" t="str">
        <f t="shared" ca="1" si="275"/>
        <v/>
      </c>
      <c r="Q1633" s="494" t="s">
        <v>1645</v>
      </c>
      <c r="R1633" s="494" t="str">
        <f t="shared" si="270"/>
        <v>I1633</v>
      </c>
      <c r="S1633" s="494" t="s">
        <v>1646</v>
      </c>
      <c r="T1633" s="494">
        <v>6</v>
      </c>
      <c r="U1633" s="556" t="str">
        <f t="shared" ca="1" si="271"/>
        <v/>
      </c>
      <c r="V1633" s="494">
        <v>7</v>
      </c>
      <c r="W1633" s="556" t="str">
        <f t="shared" ca="1" si="272"/>
        <v/>
      </c>
      <c r="X1633" s="494" t="s">
        <v>1647</v>
      </c>
      <c r="Y1633" s="547" t="str">
        <f t="shared" ca="1" si="276"/>
        <v/>
      </c>
      <c r="Z1633" s="494" t="s">
        <v>1583</v>
      </c>
      <c r="AA1633" s="547" t="str">
        <f t="shared" ca="1" si="277"/>
        <v/>
      </c>
      <c r="AB1633" s="494" t="s">
        <v>173</v>
      </c>
      <c r="AC1633" s="547" t="str">
        <f t="shared" ca="1" si="278"/>
        <v/>
      </c>
      <c r="AD1633" s="557"/>
      <c r="AE1633" s="958"/>
    </row>
    <row r="1634" spans="1:31" ht="15" customHeight="1">
      <c r="A1634" s="957" t="str">
        <f t="shared" ca="1" si="268"/>
        <v>2/3</v>
      </c>
      <c r="B1634" s="566" t="s">
        <v>1249</v>
      </c>
      <c r="C1634" s="567" t="str">
        <f t="shared" ca="1" si="269"/>
        <v>Green Star - Office</v>
      </c>
      <c r="D1634" s="958">
        <v>2</v>
      </c>
      <c r="E1634" s="959" t="s">
        <v>367</v>
      </c>
      <c r="F1634" s="558" t="s">
        <v>1488</v>
      </c>
      <c r="G1634" s="558">
        <v>49</v>
      </c>
      <c r="H1634" s="558" t="s">
        <v>1191</v>
      </c>
      <c r="I1634" s="559" t="s">
        <v>1715</v>
      </c>
      <c r="J1634" s="567" t="s">
        <v>1644</v>
      </c>
      <c r="K1634" s="961" t="s">
        <v>1568</v>
      </c>
      <c r="L1634" s="555" t="str">
        <f t="shared" ca="1" si="273"/>
        <v/>
      </c>
      <c r="M1634" s="494" t="s">
        <v>1569</v>
      </c>
      <c r="N1634" s="555" t="str">
        <f t="shared" ca="1" si="274"/>
        <v/>
      </c>
      <c r="O1634" s="494" t="s">
        <v>1570</v>
      </c>
      <c r="P1634" s="555" t="str">
        <f t="shared" ca="1" si="275"/>
        <v/>
      </c>
      <c r="Q1634" s="494" t="s">
        <v>1645</v>
      </c>
      <c r="R1634" s="494" t="str">
        <f t="shared" si="270"/>
        <v>I1634</v>
      </c>
      <c r="S1634" s="494" t="s">
        <v>1646</v>
      </c>
      <c r="T1634" s="494">
        <v>6</v>
      </c>
      <c r="U1634" s="556" t="str">
        <f t="shared" ca="1" si="271"/>
        <v/>
      </c>
      <c r="V1634" s="494">
        <v>7</v>
      </c>
      <c r="W1634" s="556" t="str">
        <f t="shared" ca="1" si="272"/>
        <v/>
      </c>
      <c r="X1634" s="494" t="s">
        <v>1647</v>
      </c>
      <c r="Y1634" s="547" t="str">
        <f t="shared" ca="1" si="276"/>
        <v/>
      </c>
      <c r="Z1634" s="494" t="s">
        <v>1583</v>
      </c>
      <c r="AA1634" s="547" t="str">
        <f t="shared" ca="1" si="277"/>
        <v/>
      </c>
      <c r="AB1634" s="494" t="s">
        <v>173</v>
      </c>
      <c r="AC1634" s="547" t="str">
        <f t="shared" ca="1" si="278"/>
        <v/>
      </c>
      <c r="AD1634" s="557"/>
      <c r="AE1634" s="958"/>
    </row>
    <row r="1635" spans="1:31" ht="15" customHeight="1">
      <c r="A1635" s="957" t="str">
        <f t="shared" ca="1" si="268"/>
        <v>2/3</v>
      </c>
      <c r="B1635" s="566" t="s">
        <v>1249</v>
      </c>
      <c r="C1635" s="567" t="str">
        <f t="shared" ca="1" si="269"/>
        <v>Green Star - Office</v>
      </c>
      <c r="D1635" s="958">
        <v>2</v>
      </c>
      <c r="E1635" s="959" t="s">
        <v>367</v>
      </c>
      <c r="F1635" s="558" t="s">
        <v>1488</v>
      </c>
      <c r="G1635" s="558">
        <v>131</v>
      </c>
      <c r="H1635" s="558" t="s">
        <v>1193</v>
      </c>
      <c r="I1635" s="559" t="s">
        <v>1687</v>
      </c>
      <c r="J1635" s="567" t="s">
        <v>1644</v>
      </c>
      <c r="K1635" s="961" t="s">
        <v>1568</v>
      </c>
      <c r="L1635" s="555" t="str">
        <f t="shared" ca="1" si="273"/>
        <v/>
      </c>
      <c r="M1635" s="494" t="s">
        <v>1569</v>
      </c>
      <c r="N1635" s="555" t="str">
        <f t="shared" ca="1" si="274"/>
        <v/>
      </c>
      <c r="O1635" s="494" t="s">
        <v>1570</v>
      </c>
      <c r="P1635" s="555" t="str">
        <f t="shared" ca="1" si="275"/>
        <v/>
      </c>
      <c r="Q1635" s="494" t="s">
        <v>1645</v>
      </c>
      <c r="R1635" s="494" t="str">
        <f t="shared" si="270"/>
        <v>I1635</v>
      </c>
      <c r="S1635" s="494" t="s">
        <v>1646</v>
      </c>
      <c r="T1635" s="494">
        <v>6</v>
      </c>
      <c r="U1635" s="556" t="str">
        <f t="shared" ca="1" si="271"/>
        <v/>
      </c>
      <c r="V1635" s="494">
        <v>7</v>
      </c>
      <c r="W1635" s="556" t="str">
        <f t="shared" ca="1" si="272"/>
        <v/>
      </c>
      <c r="X1635" s="494" t="s">
        <v>1647</v>
      </c>
      <c r="Y1635" s="547" t="str">
        <f t="shared" ca="1" si="276"/>
        <v/>
      </c>
      <c r="Z1635" s="494" t="s">
        <v>1583</v>
      </c>
      <c r="AA1635" s="547" t="str">
        <f t="shared" ca="1" si="277"/>
        <v/>
      </c>
      <c r="AB1635" s="494" t="s">
        <v>173</v>
      </c>
      <c r="AC1635" s="547" t="str">
        <f t="shared" ca="1" si="278"/>
        <v/>
      </c>
      <c r="AD1635" s="557"/>
      <c r="AE1635" s="958"/>
    </row>
    <row r="1636" spans="1:31" ht="15" customHeight="1">
      <c r="A1636" s="957" t="str">
        <f t="shared" ca="1" si="268"/>
        <v>2/3</v>
      </c>
      <c r="B1636" s="566" t="s">
        <v>1249</v>
      </c>
      <c r="C1636" s="567" t="str">
        <f t="shared" ca="1" si="269"/>
        <v>Green Star - Office</v>
      </c>
      <c r="D1636" s="958">
        <v>2</v>
      </c>
      <c r="E1636" s="959" t="s">
        <v>367</v>
      </c>
      <c r="F1636" s="558" t="s">
        <v>1488</v>
      </c>
      <c r="G1636" s="558">
        <v>127</v>
      </c>
      <c r="H1636" s="558" t="s">
        <v>1197</v>
      </c>
      <c r="I1636" s="559" t="s">
        <v>1195</v>
      </c>
      <c r="J1636" s="567" t="s">
        <v>1644</v>
      </c>
      <c r="K1636" s="961" t="s">
        <v>1568</v>
      </c>
      <c r="L1636" s="555" t="str">
        <f t="shared" ca="1" si="273"/>
        <v/>
      </c>
      <c r="M1636" s="494" t="s">
        <v>1569</v>
      </c>
      <c r="N1636" s="555" t="str">
        <f t="shared" ca="1" si="274"/>
        <v/>
      </c>
      <c r="O1636" s="494" t="s">
        <v>1570</v>
      </c>
      <c r="P1636" s="555" t="str">
        <f t="shared" ca="1" si="275"/>
        <v/>
      </c>
      <c r="Q1636" s="494" t="s">
        <v>1645</v>
      </c>
      <c r="R1636" s="494" t="str">
        <f t="shared" si="270"/>
        <v>I1636</v>
      </c>
      <c r="S1636" s="494" t="s">
        <v>1648</v>
      </c>
      <c r="T1636" s="494">
        <v>6</v>
      </c>
      <c r="U1636" s="556" t="str">
        <f t="shared" ca="1" si="271"/>
        <v/>
      </c>
      <c r="V1636" s="494">
        <v>7</v>
      </c>
      <c r="W1636" s="556" t="str">
        <f t="shared" ca="1" si="272"/>
        <v/>
      </c>
      <c r="X1636" s="494" t="s">
        <v>1647</v>
      </c>
      <c r="Y1636" s="547" t="str">
        <f t="shared" ca="1" si="276"/>
        <v/>
      </c>
      <c r="Z1636" s="494" t="s">
        <v>1583</v>
      </c>
      <c r="AA1636" s="547" t="str">
        <f t="shared" ca="1" si="277"/>
        <v/>
      </c>
      <c r="AB1636" s="494" t="s">
        <v>173</v>
      </c>
      <c r="AC1636" s="547" t="str">
        <f t="shared" ca="1" si="278"/>
        <v/>
      </c>
      <c r="AD1636" s="557"/>
      <c r="AE1636" s="958"/>
    </row>
    <row r="1637" spans="1:31" ht="15" customHeight="1">
      <c r="A1637" s="957" t="str">
        <f t="shared" ca="1" si="268"/>
        <v>2/3</v>
      </c>
      <c r="B1637" s="566" t="s">
        <v>1249</v>
      </c>
      <c r="C1637" s="567" t="str">
        <f t="shared" ca="1" si="269"/>
        <v>Green Star - Office</v>
      </c>
      <c r="D1637" s="958">
        <v>2</v>
      </c>
      <c r="E1637" s="959" t="s">
        <v>367</v>
      </c>
      <c r="F1637" s="558" t="s">
        <v>1488</v>
      </c>
      <c r="G1637" s="558">
        <v>127</v>
      </c>
      <c r="H1637" s="558" t="s">
        <v>1197</v>
      </c>
      <c r="I1637" s="559" t="s">
        <v>1196</v>
      </c>
      <c r="J1637" s="567" t="s">
        <v>1644</v>
      </c>
      <c r="K1637" s="961" t="s">
        <v>1568</v>
      </c>
      <c r="L1637" s="555" t="str">
        <f t="shared" ca="1" si="273"/>
        <v/>
      </c>
      <c r="M1637" s="494" t="s">
        <v>1569</v>
      </c>
      <c r="N1637" s="555" t="str">
        <f t="shared" ca="1" si="274"/>
        <v/>
      </c>
      <c r="O1637" s="494" t="s">
        <v>1570</v>
      </c>
      <c r="P1637" s="555" t="str">
        <f t="shared" ca="1" si="275"/>
        <v/>
      </c>
      <c r="Q1637" s="494" t="s">
        <v>1645</v>
      </c>
      <c r="R1637" s="494" t="str">
        <f t="shared" si="270"/>
        <v>I1637</v>
      </c>
      <c r="S1637" s="494" t="s">
        <v>1648</v>
      </c>
      <c r="T1637" s="494">
        <v>6</v>
      </c>
      <c r="U1637" s="556" t="str">
        <f t="shared" ca="1" si="271"/>
        <v/>
      </c>
      <c r="V1637" s="494">
        <v>7</v>
      </c>
      <c r="W1637" s="556" t="str">
        <f t="shared" ca="1" si="272"/>
        <v/>
      </c>
      <c r="X1637" s="494" t="s">
        <v>1647</v>
      </c>
      <c r="Y1637" s="547" t="str">
        <f t="shared" ca="1" si="276"/>
        <v/>
      </c>
      <c r="Z1637" s="494" t="s">
        <v>1583</v>
      </c>
      <c r="AA1637" s="547" t="str">
        <f t="shared" ca="1" si="277"/>
        <v/>
      </c>
      <c r="AB1637" s="494" t="s">
        <v>173</v>
      </c>
      <c r="AC1637" s="547" t="str">
        <f t="shared" ca="1" si="278"/>
        <v/>
      </c>
      <c r="AD1637" s="557"/>
      <c r="AE1637" s="958"/>
    </row>
    <row r="1638" spans="1:31" ht="15" customHeight="1">
      <c r="A1638" s="957" t="str">
        <f t="shared" ca="1" si="268"/>
        <v>2/3</v>
      </c>
      <c r="B1638" s="566" t="s">
        <v>1249</v>
      </c>
      <c r="C1638" s="567" t="str">
        <f t="shared" ca="1" si="269"/>
        <v>Green Star - Office</v>
      </c>
      <c r="D1638" s="958">
        <v>2</v>
      </c>
      <c r="E1638" s="959" t="s">
        <v>367</v>
      </c>
      <c r="F1638" s="558" t="s">
        <v>1488</v>
      </c>
      <c r="G1638" s="558">
        <v>128</v>
      </c>
      <c r="H1638" s="558" t="s">
        <v>1201</v>
      </c>
      <c r="I1638" s="559" t="s">
        <v>1199</v>
      </c>
      <c r="J1638" s="567" t="s">
        <v>1644</v>
      </c>
      <c r="K1638" s="961" t="s">
        <v>1568</v>
      </c>
      <c r="L1638" s="555" t="str">
        <f t="shared" ca="1" si="273"/>
        <v/>
      </c>
      <c r="M1638" s="494" t="s">
        <v>1569</v>
      </c>
      <c r="N1638" s="555" t="str">
        <f t="shared" ca="1" si="274"/>
        <v/>
      </c>
      <c r="O1638" s="494" t="s">
        <v>1570</v>
      </c>
      <c r="P1638" s="555" t="str">
        <f t="shared" ca="1" si="275"/>
        <v/>
      </c>
      <c r="Q1638" s="494" t="s">
        <v>1645</v>
      </c>
      <c r="R1638" s="494" t="str">
        <f t="shared" si="270"/>
        <v>I1638</v>
      </c>
      <c r="S1638" s="494" t="s">
        <v>1648</v>
      </c>
      <c r="T1638" s="494">
        <v>6</v>
      </c>
      <c r="U1638" s="556" t="str">
        <f t="shared" ca="1" si="271"/>
        <v/>
      </c>
      <c r="V1638" s="494">
        <v>7</v>
      </c>
      <c r="W1638" s="556" t="str">
        <f t="shared" ca="1" si="272"/>
        <v/>
      </c>
      <c r="X1638" s="494" t="s">
        <v>1647</v>
      </c>
      <c r="Y1638" s="547" t="str">
        <f t="shared" ca="1" si="276"/>
        <v/>
      </c>
      <c r="Z1638" s="494" t="s">
        <v>1583</v>
      </c>
      <c r="AA1638" s="547" t="str">
        <f t="shared" ca="1" si="277"/>
        <v/>
      </c>
      <c r="AB1638" s="494" t="s">
        <v>173</v>
      </c>
      <c r="AC1638" s="547" t="str">
        <f t="shared" ca="1" si="278"/>
        <v/>
      </c>
      <c r="AD1638" s="557"/>
      <c r="AE1638" s="958"/>
    </row>
    <row r="1639" spans="1:31" ht="15" customHeight="1">
      <c r="A1639" s="957" t="str">
        <f t="shared" ca="1" si="268"/>
        <v>2/3</v>
      </c>
      <c r="B1639" s="566" t="s">
        <v>1249</v>
      </c>
      <c r="C1639" s="567" t="str">
        <f t="shared" ca="1" si="269"/>
        <v>Green Star - Office</v>
      </c>
      <c r="D1639" s="958">
        <v>2</v>
      </c>
      <c r="E1639" s="959" t="s">
        <v>367</v>
      </c>
      <c r="F1639" s="558" t="s">
        <v>1488</v>
      </c>
      <c r="G1639" s="558">
        <v>128</v>
      </c>
      <c r="H1639" s="558" t="s">
        <v>1201</v>
      </c>
      <c r="I1639" s="559" t="s">
        <v>1200</v>
      </c>
      <c r="J1639" s="567" t="s">
        <v>1644</v>
      </c>
      <c r="K1639" s="961" t="s">
        <v>1568</v>
      </c>
      <c r="L1639" s="555" t="str">
        <f t="shared" ca="1" si="273"/>
        <v/>
      </c>
      <c r="M1639" s="494" t="s">
        <v>1569</v>
      </c>
      <c r="N1639" s="555" t="str">
        <f t="shared" ca="1" si="274"/>
        <v/>
      </c>
      <c r="O1639" s="494" t="s">
        <v>1570</v>
      </c>
      <c r="P1639" s="555" t="str">
        <f t="shared" ca="1" si="275"/>
        <v/>
      </c>
      <c r="Q1639" s="494" t="s">
        <v>1645</v>
      </c>
      <c r="R1639" s="494" t="str">
        <f t="shared" si="270"/>
        <v>I1639</v>
      </c>
      <c r="S1639" s="494" t="s">
        <v>1648</v>
      </c>
      <c r="T1639" s="494">
        <v>6</v>
      </c>
      <c r="U1639" s="556" t="str">
        <f t="shared" ca="1" si="271"/>
        <v/>
      </c>
      <c r="V1639" s="494">
        <v>7</v>
      </c>
      <c r="W1639" s="556" t="str">
        <f t="shared" ca="1" si="272"/>
        <v/>
      </c>
      <c r="X1639" s="494" t="s">
        <v>1647</v>
      </c>
      <c r="Y1639" s="547" t="str">
        <f t="shared" ca="1" si="276"/>
        <v/>
      </c>
      <c r="Z1639" s="494" t="s">
        <v>1583</v>
      </c>
      <c r="AA1639" s="547" t="str">
        <f t="shared" ca="1" si="277"/>
        <v/>
      </c>
      <c r="AB1639" s="494" t="s">
        <v>173</v>
      </c>
      <c r="AC1639" s="547" t="str">
        <f t="shared" ca="1" si="278"/>
        <v/>
      </c>
      <c r="AD1639" s="557"/>
      <c r="AE1639" s="958"/>
    </row>
    <row r="1640" spans="1:31" ht="15" customHeight="1">
      <c r="A1640" s="957" t="str">
        <f t="shared" ca="1" si="268"/>
        <v>2/3</v>
      </c>
      <c r="B1640" s="566" t="s">
        <v>1249</v>
      </c>
      <c r="C1640" s="567" t="str">
        <f t="shared" ca="1" si="269"/>
        <v>Green Star - Office</v>
      </c>
      <c r="D1640" s="958">
        <v>2</v>
      </c>
      <c r="E1640" s="959" t="s">
        <v>367</v>
      </c>
      <c r="F1640" s="558" t="s">
        <v>1488</v>
      </c>
      <c r="G1640" s="558">
        <v>63</v>
      </c>
      <c r="H1640" s="558" t="s">
        <v>1203</v>
      </c>
      <c r="I1640" s="559" t="s">
        <v>1202</v>
      </c>
      <c r="J1640" s="567" t="s">
        <v>1644</v>
      </c>
      <c r="K1640" s="961" t="s">
        <v>1568</v>
      </c>
      <c r="L1640" s="555" t="str">
        <f t="shared" ca="1" si="273"/>
        <v/>
      </c>
      <c r="M1640" s="494" t="s">
        <v>1569</v>
      </c>
      <c r="N1640" s="555" t="str">
        <f t="shared" ca="1" si="274"/>
        <v/>
      </c>
      <c r="O1640" s="494" t="s">
        <v>1570</v>
      </c>
      <c r="P1640" s="555" t="str">
        <f t="shared" ca="1" si="275"/>
        <v/>
      </c>
      <c r="Q1640" s="494" t="s">
        <v>1645</v>
      </c>
      <c r="R1640" s="494" t="str">
        <f t="shared" si="270"/>
        <v>I1640</v>
      </c>
      <c r="S1640" s="494" t="s">
        <v>1646</v>
      </c>
      <c r="T1640" s="494">
        <v>6</v>
      </c>
      <c r="U1640" s="556" t="str">
        <f t="shared" ca="1" si="271"/>
        <v/>
      </c>
      <c r="V1640" s="494">
        <v>7</v>
      </c>
      <c r="W1640" s="556" t="str">
        <f t="shared" ca="1" si="272"/>
        <v/>
      </c>
      <c r="X1640" s="494" t="s">
        <v>1647</v>
      </c>
      <c r="Y1640" s="547" t="str">
        <f t="shared" ca="1" si="276"/>
        <v/>
      </c>
      <c r="Z1640" s="494" t="s">
        <v>1583</v>
      </c>
      <c r="AA1640" s="547" t="str">
        <f t="shared" ca="1" si="277"/>
        <v/>
      </c>
      <c r="AB1640" s="494" t="s">
        <v>173</v>
      </c>
      <c r="AC1640" s="547" t="str">
        <f t="shared" ca="1" si="278"/>
        <v/>
      </c>
      <c r="AD1640" s="557"/>
      <c r="AE1640" s="958"/>
    </row>
    <row r="1641" spans="1:31" ht="15" customHeight="1">
      <c r="A1641" s="957" t="str">
        <f t="shared" ca="1" si="268"/>
        <v>2/3</v>
      </c>
      <c r="B1641" s="566" t="s">
        <v>1249</v>
      </c>
      <c r="C1641" s="567" t="str">
        <f t="shared" ca="1" si="269"/>
        <v>Green Star - Office</v>
      </c>
      <c r="D1641" s="958">
        <v>2</v>
      </c>
      <c r="E1641" s="959" t="s">
        <v>367</v>
      </c>
      <c r="F1641" s="558" t="s">
        <v>1488</v>
      </c>
      <c r="G1641" s="558">
        <v>64</v>
      </c>
      <c r="H1641" s="558" t="s">
        <v>1205</v>
      </c>
      <c r="I1641" s="559" t="s">
        <v>1204</v>
      </c>
      <c r="J1641" s="567" t="s">
        <v>1644</v>
      </c>
      <c r="K1641" s="961" t="s">
        <v>1568</v>
      </c>
      <c r="L1641" s="555" t="str">
        <f t="shared" ca="1" si="273"/>
        <v/>
      </c>
      <c r="M1641" s="494" t="s">
        <v>1569</v>
      </c>
      <c r="N1641" s="555" t="str">
        <f t="shared" ca="1" si="274"/>
        <v/>
      </c>
      <c r="O1641" s="494" t="s">
        <v>1570</v>
      </c>
      <c r="P1641" s="555" t="str">
        <f t="shared" ca="1" si="275"/>
        <v/>
      </c>
      <c r="Q1641" s="494" t="s">
        <v>1645</v>
      </c>
      <c r="R1641" s="494" t="str">
        <f t="shared" si="270"/>
        <v>I1641</v>
      </c>
      <c r="S1641" s="494" t="s">
        <v>1646</v>
      </c>
      <c r="T1641" s="494">
        <v>6</v>
      </c>
      <c r="U1641" s="556" t="str">
        <f t="shared" ca="1" si="271"/>
        <v/>
      </c>
      <c r="V1641" s="494">
        <v>7</v>
      </c>
      <c r="W1641" s="556" t="str">
        <f t="shared" ca="1" si="272"/>
        <v/>
      </c>
      <c r="X1641" s="494" t="s">
        <v>1647</v>
      </c>
      <c r="Y1641" s="547" t="str">
        <f t="shared" ca="1" si="276"/>
        <v/>
      </c>
      <c r="Z1641" s="494" t="s">
        <v>1583</v>
      </c>
      <c r="AA1641" s="547" t="str">
        <f t="shared" ca="1" si="277"/>
        <v/>
      </c>
      <c r="AB1641" s="494" t="s">
        <v>173</v>
      </c>
      <c r="AC1641" s="547" t="str">
        <f t="shared" ca="1" si="278"/>
        <v/>
      </c>
      <c r="AD1641" s="557"/>
      <c r="AE1641" s="958"/>
    </row>
    <row r="1642" spans="1:31" ht="15" customHeight="1">
      <c r="A1642" s="957" t="str">
        <f t="shared" ca="1" si="268"/>
        <v>2/3</v>
      </c>
      <c r="B1642" s="566" t="s">
        <v>1249</v>
      </c>
      <c r="C1642" s="567" t="str">
        <f t="shared" ca="1" si="269"/>
        <v>Green Star - Office</v>
      </c>
      <c r="D1642" s="958">
        <v>2</v>
      </c>
      <c r="E1642" s="959" t="s">
        <v>396</v>
      </c>
      <c r="F1642" s="558" t="s">
        <v>1498</v>
      </c>
      <c r="G1642" s="558">
        <v>33</v>
      </c>
      <c r="H1642" s="558" t="s">
        <v>1039</v>
      </c>
      <c r="I1642" s="559" t="s">
        <v>1219</v>
      </c>
      <c r="J1642" s="567" t="s">
        <v>1644</v>
      </c>
      <c r="K1642" s="961" t="s">
        <v>1568</v>
      </c>
      <c r="L1642" s="555" t="str">
        <f t="shared" ca="1" si="273"/>
        <v/>
      </c>
      <c r="M1642" s="494" t="s">
        <v>1569</v>
      </c>
      <c r="N1642" s="555" t="str">
        <f t="shared" ca="1" si="274"/>
        <v/>
      </c>
      <c r="O1642" s="494" t="s">
        <v>1570</v>
      </c>
      <c r="P1642" s="555" t="str">
        <f t="shared" ca="1" si="275"/>
        <v/>
      </c>
      <c r="Q1642" s="494" t="s">
        <v>1645</v>
      </c>
      <c r="R1642" s="494" t="str">
        <f t="shared" si="270"/>
        <v>I1642</v>
      </c>
      <c r="S1642" s="494" t="s">
        <v>1646</v>
      </c>
      <c r="T1642" s="494">
        <v>6</v>
      </c>
      <c r="U1642" s="556" t="str">
        <f t="shared" ca="1" si="271"/>
        <v/>
      </c>
      <c r="V1642" s="494">
        <v>7</v>
      </c>
      <c r="W1642" s="556" t="str">
        <f t="shared" ca="1" si="272"/>
        <v/>
      </c>
      <c r="X1642" s="494" t="s">
        <v>1647</v>
      </c>
      <c r="Y1642" s="547" t="str">
        <f t="shared" ca="1" si="276"/>
        <v/>
      </c>
      <c r="Z1642" s="494" t="s">
        <v>1583</v>
      </c>
      <c r="AA1642" s="547" t="str">
        <f t="shared" ca="1" si="277"/>
        <v/>
      </c>
      <c r="AB1642" s="494" t="s">
        <v>173</v>
      </c>
      <c r="AC1642" s="547" t="str">
        <f t="shared" ca="1" si="278"/>
        <v/>
      </c>
      <c r="AD1642" s="557"/>
      <c r="AE1642" s="958"/>
    </row>
    <row r="1643" spans="1:31" ht="15" customHeight="1">
      <c r="A1643" s="957" t="str">
        <f t="shared" ca="1" si="268"/>
        <v>2/3</v>
      </c>
      <c r="B1643" s="566" t="s">
        <v>1249</v>
      </c>
      <c r="C1643" s="567" t="str">
        <f t="shared" ca="1" si="269"/>
        <v>Green Star - Office</v>
      </c>
      <c r="D1643" s="958">
        <v>2</v>
      </c>
      <c r="E1643" s="959" t="s">
        <v>396</v>
      </c>
      <c r="F1643" s="558" t="s">
        <v>1498</v>
      </c>
      <c r="G1643" s="558">
        <v>35</v>
      </c>
      <c r="H1643" s="558" t="s">
        <v>1045</v>
      </c>
      <c r="I1643" s="559" t="s">
        <v>1221</v>
      </c>
      <c r="J1643" s="567" t="s">
        <v>1644</v>
      </c>
      <c r="K1643" s="961" t="s">
        <v>1568</v>
      </c>
      <c r="L1643" s="555" t="str">
        <f t="shared" ca="1" si="273"/>
        <v/>
      </c>
      <c r="M1643" s="494" t="s">
        <v>1569</v>
      </c>
      <c r="N1643" s="555" t="str">
        <f t="shared" ca="1" si="274"/>
        <v/>
      </c>
      <c r="O1643" s="494" t="s">
        <v>1570</v>
      </c>
      <c r="P1643" s="555" t="str">
        <f t="shared" ca="1" si="275"/>
        <v/>
      </c>
      <c r="Q1643" s="494" t="s">
        <v>1645</v>
      </c>
      <c r="R1643" s="494" t="str">
        <f t="shared" si="270"/>
        <v>I1643</v>
      </c>
      <c r="S1643" s="494" t="s">
        <v>1646</v>
      </c>
      <c r="T1643" s="494">
        <v>6</v>
      </c>
      <c r="U1643" s="556" t="str">
        <f t="shared" ca="1" si="271"/>
        <v/>
      </c>
      <c r="V1643" s="494">
        <v>7</v>
      </c>
      <c r="W1643" s="556" t="str">
        <f t="shared" ca="1" si="272"/>
        <v/>
      </c>
      <c r="X1643" s="494" t="s">
        <v>1647</v>
      </c>
      <c r="Y1643" s="547" t="str">
        <f t="shared" ca="1" si="276"/>
        <v/>
      </c>
      <c r="Z1643" s="494" t="s">
        <v>1583</v>
      </c>
      <c r="AA1643" s="547" t="str">
        <f t="shared" ca="1" si="277"/>
        <v/>
      </c>
      <c r="AB1643" s="494" t="s">
        <v>173</v>
      </c>
      <c r="AC1643" s="547" t="str">
        <f t="shared" ca="1" si="278"/>
        <v/>
      </c>
      <c r="AD1643" s="557"/>
      <c r="AE1643" s="958"/>
    </row>
    <row r="1644" spans="1:31" ht="15" customHeight="1">
      <c r="A1644" s="957" t="str">
        <f t="shared" ca="1" si="268"/>
        <v>2/3</v>
      </c>
      <c r="B1644" s="566" t="s">
        <v>1249</v>
      </c>
      <c r="C1644" s="567" t="str">
        <f t="shared" ca="1" si="269"/>
        <v>Green Star - Office</v>
      </c>
      <c r="D1644" s="958">
        <v>2</v>
      </c>
      <c r="E1644" s="959" t="s">
        <v>396</v>
      </c>
      <c r="F1644" s="558" t="s">
        <v>1498</v>
      </c>
      <c r="G1644" s="558">
        <v>37</v>
      </c>
      <c r="H1644" s="558" t="s">
        <v>1046</v>
      </c>
      <c r="I1644" s="559" t="s">
        <v>1222</v>
      </c>
      <c r="J1644" s="567" t="s">
        <v>1644</v>
      </c>
      <c r="K1644" s="961" t="s">
        <v>1568</v>
      </c>
      <c r="L1644" s="555" t="str">
        <f t="shared" ca="1" si="273"/>
        <v/>
      </c>
      <c r="M1644" s="494" t="s">
        <v>1569</v>
      </c>
      <c r="N1644" s="555" t="str">
        <f t="shared" ca="1" si="274"/>
        <v/>
      </c>
      <c r="O1644" s="494" t="s">
        <v>1570</v>
      </c>
      <c r="P1644" s="555" t="str">
        <f t="shared" ca="1" si="275"/>
        <v/>
      </c>
      <c r="Q1644" s="494" t="s">
        <v>1645</v>
      </c>
      <c r="R1644" s="494" t="str">
        <f t="shared" si="270"/>
        <v>I1644</v>
      </c>
      <c r="S1644" s="494" t="s">
        <v>1646</v>
      </c>
      <c r="T1644" s="494">
        <v>6</v>
      </c>
      <c r="U1644" s="556" t="str">
        <f t="shared" ca="1" si="271"/>
        <v/>
      </c>
      <c r="V1644" s="494">
        <v>7</v>
      </c>
      <c r="W1644" s="556" t="str">
        <f t="shared" ca="1" si="272"/>
        <v/>
      </c>
      <c r="X1644" s="494" t="s">
        <v>1647</v>
      </c>
      <c r="Y1644" s="547" t="str">
        <f t="shared" ca="1" si="276"/>
        <v/>
      </c>
      <c r="Z1644" s="494" t="s">
        <v>1583</v>
      </c>
      <c r="AA1644" s="547" t="str">
        <f t="shared" ca="1" si="277"/>
        <v/>
      </c>
      <c r="AB1644" s="494" t="s">
        <v>173</v>
      </c>
      <c r="AC1644" s="547" t="str">
        <f t="shared" ca="1" si="278"/>
        <v/>
      </c>
      <c r="AD1644" s="557"/>
      <c r="AE1644" s="958"/>
    </row>
    <row r="1645" spans="1:31" ht="15" customHeight="1">
      <c r="A1645" s="957" t="str">
        <f t="shared" ca="1" si="268"/>
        <v>2/3</v>
      </c>
      <c r="B1645" s="566" t="s">
        <v>1249</v>
      </c>
      <c r="C1645" s="567" t="str">
        <f t="shared" ca="1" si="269"/>
        <v>Green Star - Office</v>
      </c>
      <c r="D1645" s="958">
        <v>2</v>
      </c>
      <c r="E1645" s="959" t="s">
        <v>396</v>
      </c>
      <c r="F1645" s="558" t="s">
        <v>1498</v>
      </c>
      <c r="G1645" s="558">
        <v>39</v>
      </c>
      <c r="H1645" s="558" t="s">
        <v>1047</v>
      </c>
      <c r="I1645" s="559" t="s">
        <v>783</v>
      </c>
      <c r="J1645" s="567" t="s">
        <v>1644</v>
      </c>
      <c r="K1645" s="961" t="s">
        <v>1568</v>
      </c>
      <c r="L1645" s="555" t="str">
        <f t="shared" ca="1" si="273"/>
        <v/>
      </c>
      <c r="M1645" s="494" t="s">
        <v>1569</v>
      </c>
      <c r="N1645" s="555" t="str">
        <f t="shared" ca="1" si="274"/>
        <v/>
      </c>
      <c r="O1645" s="494" t="s">
        <v>1570</v>
      </c>
      <c r="P1645" s="555" t="str">
        <f t="shared" ca="1" si="275"/>
        <v/>
      </c>
      <c r="Q1645" s="494" t="s">
        <v>1645</v>
      </c>
      <c r="R1645" s="494" t="str">
        <f t="shared" si="270"/>
        <v>I1645</v>
      </c>
      <c r="S1645" s="494" t="s">
        <v>1646</v>
      </c>
      <c r="T1645" s="494">
        <v>6</v>
      </c>
      <c r="U1645" s="556" t="str">
        <f t="shared" ca="1" si="271"/>
        <v/>
      </c>
      <c r="V1645" s="494">
        <v>7</v>
      </c>
      <c r="W1645" s="556" t="str">
        <f t="shared" ca="1" si="272"/>
        <v/>
      </c>
      <c r="X1645" s="494" t="s">
        <v>1647</v>
      </c>
      <c r="Y1645" s="547" t="str">
        <f t="shared" ca="1" si="276"/>
        <v/>
      </c>
      <c r="Z1645" s="494" t="s">
        <v>1583</v>
      </c>
      <c r="AA1645" s="547" t="str">
        <f t="shared" ca="1" si="277"/>
        <v/>
      </c>
      <c r="AB1645" s="494" t="s">
        <v>173</v>
      </c>
      <c r="AC1645" s="547" t="str">
        <f t="shared" ca="1" si="278"/>
        <v/>
      </c>
      <c r="AD1645" s="557"/>
      <c r="AE1645" s="958"/>
    </row>
    <row r="1646" spans="1:31" ht="15" customHeight="1">
      <c r="A1646" s="957" t="str">
        <f t="shared" ca="1" si="268"/>
        <v>2/3</v>
      </c>
      <c r="B1646" s="566" t="s">
        <v>1249</v>
      </c>
      <c r="C1646" s="567" t="str">
        <f t="shared" ca="1" si="269"/>
        <v>Green Star - Office</v>
      </c>
      <c r="D1646" s="958">
        <v>2</v>
      </c>
      <c r="E1646" s="959" t="s">
        <v>396</v>
      </c>
      <c r="F1646" s="558" t="s">
        <v>1498</v>
      </c>
      <c r="G1646" s="558">
        <v>42</v>
      </c>
      <c r="H1646" s="558" t="s">
        <v>1048</v>
      </c>
      <c r="I1646" s="559" t="s">
        <v>1716</v>
      </c>
      <c r="J1646" s="567" t="s">
        <v>1644</v>
      </c>
      <c r="K1646" s="961" t="s">
        <v>1568</v>
      </c>
      <c r="L1646" s="555" t="str">
        <f t="shared" ca="1" si="273"/>
        <v/>
      </c>
      <c r="M1646" s="494" t="s">
        <v>1569</v>
      </c>
      <c r="N1646" s="555" t="str">
        <f t="shared" ca="1" si="274"/>
        <v/>
      </c>
      <c r="O1646" s="494" t="s">
        <v>1570</v>
      </c>
      <c r="P1646" s="555" t="str">
        <f t="shared" ca="1" si="275"/>
        <v/>
      </c>
      <c r="Q1646" s="494" t="s">
        <v>1645</v>
      </c>
      <c r="R1646" s="494" t="str">
        <f t="shared" si="270"/>
        <v>I1646</v>
      </c>
      <c r="S1646" s="494" t="s">
        <v>1646</v>
      </c>
      <c r="T1646" s="494">
        <v>6</v>
      </c>
      <c r="U1646" s="556" t="str">
        <f t="shared" ca="1" si="271"/>
        <v/>
      </c>
      <c r="V1646" s="494">
        <v>7</v>
      </c>
      <c r="W1646" s="556" t="str">
        <f t="shared" ca="1" si="272"/>
        <v/>
      </c>
      <c r="X1646" s="494" t="s">
        <v>1647</v>
      </c>
      <c r="Y1646" s="547" t="str">
        <f t="shared" ca="1" si="276"/>
        <v/>
      </c>
      <c r="Z1646" s="494" t="s">
        <v>1583</v>
      </c>
      <c r="AA1646" s="547" t="str">
        <f t="shared" ca="1" si="277"/>
        <v/>
      </c>
      <c r="AB1646" s="494" t="s">
        <v>173</v>
      </c>
      <c r="AC1646" s="547" t="str">
        <f t="shared" ca="1" si="278"/>
        <v/>
      </c>
      <c r="AD1646" s="557"/>
      <c r="AE1646" s="958"/>
    </row>
    <row r="1647" spans="1:31" ht="15" customHeight="1">
      <c r="A1647" s="957" t="str">
        <f t="shared" ca="1" si="268"/>
        <v>2/3</v>
      </c>
      <c r="B1647" s="566" t="s">
        <v>1249</v>
      </c>
      <c r="C1647" s="567" t="str">
        <f t="shared" ca="1" si="269"/>
        <v>Green Star - Office</v>
      </c>
      <c r="D1647" s="958">
        <v>2</v>
      </c>
      <c r="E1647" s="959" t="s">
        <v>404</v>
      </c>
      <c r="F1647" s="558" t="s">
        <v>1499</v>
      </c>
      <c r="G1647" s="558">
        <v>13</v>
      </c>
      <c r="H1647" s="558" t="s">
        <v>1223</v>
      </c>
      <c r="I1647" s="559" t="s">
        <v>1224</v>
      </c>
      <c r="J1647" s="567" t="s">
        <v>1644</v>
      </c>
      <c r="K1647" s="961" t="s">
        <v>1568</v>
      </c>
      <c r="L1647" s="555" t="str">
        <f t="shared" ca="1" si="273"/>
        <v/>
      </c>
      <c r="M1647" s="494" t="s">
        <v>1569</v>
      </c>
      <c r="N1647" s="555" t="str">
        <f t="shared" ca="1" si="274"/>
        <v/>
      </c>
      <c r="O1647" s="494" t="s">
        <v>1570</v>
      </c>
      <c r="P1647" s="555" t="str">
        <f t="shared" ca="1" si="275"/>
        <v/>
      </c>
      <c r="Q1647" s="494" t="s">
        <v>1645</v>
      </c>
      <c r="R1647" s="494" t="str">
        <f t="shared" si="270"/>
        <v>I1647</v>
      </c>
      <c r="S1647" s="494" t="s">
        <v>1646</v>
      </c>
      <c r="T1647" s="494">
        <v>6</v>
      </c>
      <c r="U1647" s="556" t="str">
        <f t="shared" ca="1" si="271"/>
        <v/>
      </c>
      <c r="V1647" s="494">
        <v>7</v>
      </c>
      <c r="W1647" s="556" t="str">
        <f t="shared" ca="1" si="272"/>
        <v/>
      </c>
      <c r="X1647" s="494" t="s">
        <v>1647</v>
      </c>
      <c r="Y1647" s="547" t="str">
        <f t="shared" ca="1" si="276"/>
        <v/>
      </c>
      <c r="Z1647" s="494" t="s">
        <v>1583</v>
      </c>
      <c r="AA1647" s="547" t="str">
        <f t="shared" ca="1" si="277"/>
        <v/>
      </c>
      <c r="AB1647" s="494" t="s">
        <v>173</v>
      </c>
      <c r="AC1647" s="547" t="str">
        <f t="shared" ca="1" si="278"/>
        <v/>
      </c>
      <c r="AD1647" s="557"/>
      <c r="AE1647" s="958"/>
    </row>
    <row r="1648" spans="1:31" ht="15" customHeight="1">
      <c r="A1648" s="957" t="str">
        <f t="shared" ca="1" si="268"/>
        <v>2/3</v>
      </c>
      <c r="B1648" s="566" t="s">
        <v>1249</v>
      </c>
      <c r="C1648" s="567" t="str">
        <f t="shared" ca="1" si="269"/>
        <v>Green Star - Office</v>
      </c>
      <c r="D1648" s="958">
        <v>2</v>
      </c>
      <c r="E1648" s="959" t="s">
        <v>404</v>
      </c>
      <c r="F1648" s="558" t="s">
        <v>1499</v>
      </c>
      <c r="G1648" s="558">
        <v>14</v>
      </c>
      <c r="H1648" s="558" t="s">
        <v>1225</v>
      </c>
      <c r="I1648" s="559" t="s">
        <v>1226</v>
      </c>
      <c r="J1648" s="567" t="s">
        <v>1644</v>
      </c>
      <c r="K1648" s="961" t="s">
        <v>1568</v>
      </c>
      <c r="L1648" s="555" t="str">
        <f t="shared" ca="1" si="273"/>
        <v/>
      </c>
      <c r="M1648" s="494" t="s">
        <v>1569</v>
      </c>
      <c r="N1648" s="555" t="str">
        <f t="shared" ca="1" si="274"/>
        <v/>
      </c>
      <c r="O1648" s="494" t="s">
        <v>1570</v>
      </c>
      <c r="P1648" s="555" t="str">
        <f t="shared" ca="1" si="275"/>
        <v/>
      </c>
      <c r="Q1648" s="494" t="s">
        <v>1645</v>
      </c>
      <c r="R1648" s="494" t="str">
        <f t="shared" si="270"/>
        <v>I1648</v>
      </c>
      <c r="S1648" s="494" t="s">
        <v>1646</v>
      </c>
      <c r="T1648" s="494">
        <v>6</v>
      </c>
      <c r="U1648" s="556" t="str">
        <f t="shared" ca="1" si="271"/>
        <v/>
      </c>
      <c r="V1648" s="494">
        <v>7</v>
      </c>
      <c r="W1648" s="556" t="str">
        <f t="shared" ca="1" si="272"/>
        <v/>
      </c>
      <c r="X1648" s="494" t="s">
        <v>1647</v>
      </c>
      <c r="Y1648" s="547" t="str">
        <f t="shared" ca="1" si="276"/>
        <v/>
      </c>
      <c r="Z1648" s="494" t="s">
        <v>1583</v>
      </c>
      <c r="AA1648" s="547" t="str">
        <f t="shared" ca="1" si="277"/>
        <v/>
      </c>
      <c r="AB1648" s="494" t="s">
        <v>173</v>
      </c>
      <c r="AC1648" s="547" t="str">
        <f t="shared" ca="1" si="278"/>
        <v/>
      </c>
      <c r="AD1648" s="557"/>
      <c r="AE1648" s="958"/>
    </row>
    <row r="1649" spans="1:31" ht="15" customHeight="1">
      <c r="A1649" s="957" t="str">
        <f t="shared" ca="1" si="268"/>
        <v>2/3</v>
      </c>
      <c r="B1649" s="566" t="s">
        <v>1249</v>
      </c>
      <c r="C1649" s="567" t="str">
        <f t="shared" ca="1" si="269"/>
        <v>Green Star - Office</v>
      </c>
      <c r="D1649" s="958">
        <v>2</v>
      </c>
      <c r="E1649" s="959" t="s">
        <v>404</v>
      </c>
      <c r="F1649" s="558" t="s">
        <v>1499</v>
      </c>
      <c r="G1649" s="558">
        <v>15</v>
      </c>
      <c r="H1649" s="558" t="s">
        <v>1227</v>
      </c>
      <c r="I1649" s="559" t="s">
        <v>1717</v>
      </c>
      <c r="J1649" s="567" t="s">
        <v>1644</v>
      </c>
      <c r="K1649" s="961" t="s">
        <v>1568</v>
      </c>
      <c r="L1649" s="555" t="str">
        <f t="shared" ca="1" si="273"/>
        <v/>
      </c>
      <c r="M1649" s="494" t="s">
        <v>1569</v>
      </c>
      <c r="N1649" s="555" t="str">
        <f t="shared" ca="1" si="274"/>
        <v/>
      </c>
      <c r="O1649" s="494" t="s">
        <v>1570</v>
      </c>
      <c r="P1649" s="555" t="str">
        <f t="shared" ca="1" si="275"/>
        <v/>
      </c>
      <c r="Q1649" s="494" t="s">
        <v>1645</v>
      </c>
      <c r="R1649" s="494" t="str">
        <f t="shared" si="270"/>
        <v>I1649</v>
      </c>
      <c r="S1649" s="494" t="s">
        <v>1646</v>
      </c>
      <c r="T1649" s="494">
        <v>6</v>
      </c>
      <c r="U1649" s="556" t="str">
        <f t="shared" ca="1" si="271"/>
        <v/>
      </c>
      <c r="V1649" s="494">
        <v>7</v>
      </c>
      <c r="W1649" s="556" t="str">
        <f t="shared" ca="1" si="272"/>
        <v/>
      </c>
      <c r="X1649" s="494" t="s">
        <v>1647</v>
      </c>
      <c r="Y1649" s="547" t="str">
        <f t="shared" ca="1" si="276"/>
        <v/>
      </c>
      <c r="Z1649" s="494" t="s">
        <v>1583</v>
      </c>
      <c r="AA1649" s="547" t="str">
        <f t="shared" ca="1" si="277"/>
        <v/>
      </c>
      <c r="AB1649" s="494" t="s">
        <v>173</v>
      </c>
      <c r="AC1649" s="547" t="str">
        <f t="shared" ca="1" si="278"/>
        <v/>
      </c>
      <c r="AD1649" s="557"/>
      <c r="AE1649" s="958"/>
    </row>
    <row r="1650" spans="1:31" ht="15" customHeight="1">
      <c r="A1650" s="957" t="str">
        <f t="shared" ca="1" si="268"/>
        <v>2/3</v>
      </c>
      <c r="B1650" s="566" t="s">
        <v>1249</v>
      </c>
      <c r="C1650" s="567" t="str">
        <f t="shared" ca="1" si="269"/>
        <v>Green Star - Office</v>
      </c>
      <c r="D1650" s="958">
        <v>2</v>
      </c>
      <c r="E1650" s="959" t="s">
        <v>404</v>
      </c>
      <c r="F1650" s="558" t="s">
        <v>1499</v>
      </c>
      <c r="G1650" s="558">
        <v>17</v>
      </c>
      <c r="H1650" s="558" t="s">
        <v>1229</v>
      </c>
      <c r="I1650" s="559" t="s">
        <v>1718</v>
      </c>
      <c r="J1650" s="567" t="s">
        <v>1644</v>
      </c>
      <c r="K1650" s="961" t="s">
        <v>1568</v>
      </c>
      <c r="L1650" s="555" t="str">
        <f t="shared" ca="1" si="273"/>
        <v/>
      </c>
      <c r="M1650" s="494" t="s">
        <v>1569</v>
      </c>
      <c r="N1650" s="555" t="str">
        <f t="shared" ca="1" si="274"/>
        <v/>
      </c>
      <c r="O1650" s="494" t="s">
        <v>1570</v>
      </c>
      <c r="P1650" s="555" t="str">
        <f t="shared" ca="1" si="275"/>
        <v/>
      </c>
      <c r="Q1650" s="494" t="s">
        <v>1645</v>
      </c>
      <c r="R1650" s="494" t="str">
        <f t="shared" si="270"/>
        <v>I1650</v>
      </c>
      <c r="S1650" s="494" t="s">
        <v>1646</v>
      </c>
      <c r="T1650" s="494">
        <v>6</v>
      </c>
      <c r="U1650" s="556" t="str">
        <f t="shared" ca="1" si="271"/>
        <v/>
      </c>
      <c r="V1650" s="494">
        <v>7</v>
      </c>
      <c r="W1650" s="556" t="str">
        <f t="shared" ca="1" si="272"/>
        <v/>
      </c>
      <c r="X1650" s="494" t="s">
        <v>1647</v>
      </c>
      <c r="Y1650" s="547" t="str">
        <f t="shared" ca="1" si="276"/>
        <v/>
      </c>
      <c r="Z1650" s="494" t="s">
        <v>1583</v>
      </c>
      <c r="AA1650" s="547" t="str">
        <f t="shared" ca="1" si="277"/>
        <v/>
      </c>
      <c r="AB1650" s="494" t="s">
        <v>173</v>
      </c>
      <c r="AC1650" s="547" t="str">
        <f t="shared" ca="1" si="278"/>
        <v/>
      </c>
      <c r="AD1650" s="557"/>
      <c r="AE1650" s="958"/>
    </row>
    <row r="1651" spans="1:31" ht="15" customHeight="1">
      <c r="A1651" s="957" t="str">
        <f t="shared" ca="1" si="268"/>
        <v>2/3</v>
      </c>
      <c r="B1651" s="566" t="s">
        <v>1249</v>
      </c>
      <c r="C1651" s="567" t="str">
        <f t="shared" ca="1" si="269"/>
        <v>Green Star - Office</v>
      </c>
      <c r="D1651" s="958">
        <v>2</v>
      </c>
      <c r="E1651" s="959" t="s">
        <v>404</v>
      </c>
      <c r="F1651" s="558" t="s">
        <v>1499</v>
      </c>
      <c r="G1651" s="558">
        <v>873</v>
      </c>
      <c r="H1651" s="558" t="s">
        <v>1231</v>
      </c>
      <c r="I1651" s="559" t="s">
        <v>1232</v>
      </c>
      <c r="J1651" s="567" t="s">
        <v>1644</v>
      </c>
      <c r="K1651" s="961" t="s">
        <v>1568</v>
      </c>
      <c r="L1651" s="555" t="str">
        <f t="shared" ca="1" si="273"/>
        <v/>
      </c>
      <c r="M1651" s="494" t="s">
        <v>1569</v>
      </c>
      <c r="N1651" s="555" t="str">
        <f t="shared" ca="1" si="274"/>
        <v/>
      </c>
      <c r="O1651" s="494" t="s">
        <v>1570</v>
      </c>
      <c r="P1651" s="555" t="str">
        <f t="shared" ca="1" si="275"/>
        <v/>
      </c>
      <c r="Q1651" s="494" t="s">
        <v>1645</v>
      </c>
      <c r="R1651" s="494" t="str">
        <f t="shared" si="270"/>
        <v>I1651</v>
      </c>
      <c r="S1651" s="494" t="s">
        <v>1646</v>
      </c>
      <c r="T1651" s="494">
        <v>6</v>
      </c>
      <c r="U1651" s="556" t="str">
        <f t="shared" ca="1" si="271"/>
        <v/>
      </c>
      <c r="V1651" s="494">
        <v>7</v>
      </c>
      <c r="W1651" s="556" t="str">
        <f t="shared" ca="1" si="272"/>
        <v/>
      </c>
      <c r="X1651" s="494" t="s">
        <v>1647</v>
      </c>
      <c r="Y1651" s="547" t="str">
        <f t="shared" ca="1" si="276"/>
        <v/>
      </c>
      <c r="Z1651" s="494" t="s">
        <v>1583</v>
      </c>
      <c r="AA1651" s="547" t="str">
        <f t="shared" ca="1" si="277"/>
        <v/>
      </c>
      <c r="AB1651" s="494" t="s">
        <v>173</v>
      </c>
      <c r="AC1651" s="547" t="str">
        <f t="shared" ca="1" si="278"/>
        <v/>
      </c>
      <c r="AD1651" s="557"/>
      <c r="AE1651" s="958"/>
    </row>
    <row r="1652" spans="1:31" ht="15" customHeight="1">
      <c r="A1652" s="957" t="str">
        <f t="shared" ref="A1652:A1658" ca="1" si="280">IF(N1652="Design Review",2,IF(N1652="As Built",3,"2/3"))</f>
        <v>2/3</v>
      </c>
      <c r="B1652" s="566" t="s">
        <v>1249</v>
      </c>
      <c r="C1652" s="567" t="str">
        <f t="shared" ref="C1652:C1658" ca="1" si="281">IF(N1652="Design Review","Green Star - Office Design",IF(N1652="As Built","Green Star - Office As Built","Green Star - Office"))</f>
        <v>Green Star - Office</v>
      </c>
      <c r="D1652" s="958">
        <v>2</v>
      </c>
      <c r="E1652" s="959" t="s">
        <v>404</v>
      </c>
      <c r="F1652" s="558" t="s">
        <v>1499</v>
      </c>
      <c r="G1652" s="558">
        <v>20</v>
      </c>
      <c r="H1652" s="558" t="s">
        <v>1233</v>
      </c>
      <c r="I1652" s="559" t="s">
        <v>1719</v>
      </c>
      <c r="J1652" s="567" t="s">
        <v>1644</v>
      </c>
      <c r="K1652" s="961" t="s">
        <v>1568</v>
      </c>
      <c r="L1652" s="555" t="str">
        <f t="shared" ca="1" si="273"/>
        <v/>
      </c>
      <c r="M1652" s="494" t="s">
        <v>1569</v>
      </c>
      <c r="N1652" s="555" t="str">
        <f t="shared" ca="1" si="274"/>
        <v/>
      </c>
      <c r="O1652" s="494" t="s">
        <v>1570</v>
      </c>
      <c r="P1652" s="555" t="str">
        <f t="shared" ca="1" si="275"/>
        <v/>
      </c>
      <c r="Q1652" s="494" t="s">
        <v>1645</v>
      </c>
      <c r="R1652" s="494" t="str">
        <f t="shared" si="270"/>
        <v>I1652</v>
      </c>
      <c r="S1652" s="494" t="s">
        <v>1646</v>
      </c>
      <c r="T1652" s="494">
        <v>6</v>
      </c>
      <c r="U1652" s="556" t="str">
        <f t="shared" ca="1" si="271"/>
        <v/>
      </c>
      <c r="V1652" s="494">
        <v>7</v>
      </c>
      <c r="W1652" s="556" t="str">
        <f t="shared" ca="1" si="272"/>
        <v/>
      </c>
      <c r="X1652" s="494" t="s">
        <v>1647</v>
      </c>
      <c r="Y1652" s="547" t="str">
        <f t="shared" ca="1" si="276"/>
        <v/>
      </c>
      <c r="Z1652" s="494" t="s">
        <v>1583</v>
      </c>
      <c r="AA1652" s="547" t="str">
        <f t="shared" ca="1" si="277"/>
        <v/>
      </c>
      <c r="AB1652" s="494" t="s">
        <v>173</v>
      </c>
      <c r="AC1652" s="547" t="str">
        <f t="shared" ca="1" si="278"/>
        <v/>
      </c>
      <c r="AD1652" s="557"/>
      <c r="AE1652" s="958"/>
    </row>
    <row r="1653" spans="1:31" ht="15" customHeight="1">
      <c r="A1653" s="957" t="str">
        <f t="shared" ca="1" si="280"/>
        <v>2/3</v>
      </c>
      <c r="B1653" s="566" t="s">
        <v>1249</v>
      </c>
      <c r="C1653" s="567" t="str">
        <f t="shared" ca="1" si="281"/>
        <v>Green Star - Office</v>
      </c>
      <c r="D1653" s="958">
        <v>2</v>
      </c>
      <c r="E1653" s="959" t="s">
        <v>404</v>
      </c>
      <c r="F1653" s="558" t="s">
        <v>1499</v>
      </c>
      <c r="G1653" s="558">
        <v>22</v>
      </c>
      <c r="H1653" s="558" t="s">
        <v>1237</v>
      </c>
      <c r="I1653" s="559" t="s">
        <v>409</v>
      </c>
      <c r="J1653" s="567" t="s">
        <v>1644</v>
      </c>
      <c r="K1653" s="961" t="s">
        <v>1568</v>
      </c>
      <c r="L1653" s="555" t="str">
        <f t="shared" ca="1" si="273"/>
        <v/>
      </c>
      <c r="M1653" s="494" t="s">
        <v>1569</v>
      </c>
      <c r="N1653" s="555" t="str">
        <f t="shared" ca="1" si="274"/>
        <v/>
      </c>
      <c r="O1653" s="494" t="s">
        <v>1570</v>
      </c>
      <c r="P1653" s="555" t="str">
        <f t="shared" ca="1" si="275"/>
        <v/>
      </c>
      <c r="Q1653" s="494" t="s">
        <v>1645</v>
      </c>
      <c r="R1653" s="494" t="str">
        <f t="shared" si="270"/>
        <v>I1653</v>
      </c>
      <c r="S1653" s="494" t="s">
        <v>1646</v>
      </c>
      <c r="T1653" s="494">
        <v>6</v>
      </c>
      <c r="U1653" s="556" t="str">
        <f t="shared" ca="1" si="271"/>
        <v/>
      </c>
      <c r="V1653" s="494">
        <v>7</v>
      </c>
      <c r="W1653" s="556" t="str">
        <f t="shared" ca="1" si="272"/>
        <v/>
      </c>
      <c r="X1653" s="494" t="s">
        <v>1647</v>
      </c>
      <c r="Y1653" s="547" t="str">
        <f t="shared" ca="1" si="276"/>
        <v/>
      </c>
      <c r="Z1653" s="494" t="s">
        <v>1583</v>
      </c>
      <c r="AA1653" s="547" t="str">
        <f t="shared" ca="1" si="277"/>
        <v/>
      </c>
      <c r="AB1653" s="494" t="s">
        <v>173</v>
      </c>
      <c r="AC1653" s="547" t="str">
        <f t="shared" ca="1" si="278"/>
        <v/>
      </c>
      <c r="AD1653" s="557"/>
      <c r="AE1653" s="958"/>
    </row>
    <row r="1654" spans="1:31" ht="15" customHeight="1">
      <c r="A1654" s="957" t="str">
        <f t="shared" ca="1" si="280"/>
        <v>2/3</v>
      </c>
      <c r="B1654" s="566" t="s">
        <v>1249</v>
      </c>
      <c r="C1654" s="567" t="str">
        <f t="shared" ca="1" si="281"/>
        <v>Green Star - Office</v>
      </c>
      <c r="D1654" s="958">
        <v>2</v>
      </c>
      <c r="E1654" s="959" t="s">
        <v>404</v>
      </c>
      <c r="F1654" s="558" t="s">
        <v>1499</v>
      </c>
      <c r="G1654" s="558">
        <v>23</v>
      </c>
      <c r="H1654" s="558" t="s">
        <v>1238</v>
      </c>
      <c r="I1654" s="559" t="s">
        <v>1239</v>
      </c>
      <c r="J1654" s="567" t="s">
        <v>1644</v>
      </c>
      <c r="K1654" s="961" t="s">
        <v>1568</v>
      </c>
      <c r="L1654" s="555" t="str">
        <f t="shared" ca="1" si="273"/>
        <v/>
      </c>
      <c r="M1654" s="494" t="s">
        <v>1569</v>
      </c>
      <c r="N1654" s="555" t="str">
        <f t="shared" ca="1" si="274"/>
        <v/>
      </c>
      <c r="O1654" s="494" t="s">
        <v>1570</v>
      </c>
      <c r="P1654" s="555" t="str">
        <f t="shared" ca="1" si="275"/>
        <v/>
      </c>
      <c r="Q1654" s="494" t="s">
        <v>1645</v>
      </c>
      <c r="R1654" s="494" t="str">
        <f>CONCATENATE("I",ROW(J1654))</f>
        <v>I1654</v>
      </c>
      <c r="S1654" s="494" t="s">
        <v>1646</v>
      </c>
      <c r="T1654" s="494">
        <v>6</v>
      </c>
      <c r="U1654" s="556" t="str">
        <f t="shared" ca="1" si="271"/>
        <v/>
      </c>
      <c r="V1654" s="494">
        <v>7</v>
      </c>
      <c r="W1654" s="556" t="str">
        <f t="shared" ca="1" si="272"/>
        <v/>
      </c>
      <c r="X1654" s="494" t="s">
        <v>1647</v>
      </c>
      <c r="Y1654" s="547" t="str">
        <f t="shared" ca="1" si="276"/>
        <v/>
      </c>
      <c r="Z1654" s="494" t="s">
        <v>1583</v>
      </c>
      <c r="AA1654" s="547" t="str">
        <f t="shared" ca="1" si="277"/>
        <v/>
      </c>
      <c r="AB1654" s="494" t="s">
        <v>173</v>
      </c>
      <c r="AC1654" s="547" t="str">
        <f t="shared" ca="1" si="278"/>
        <v/>
      </c>
      <c r="AD1654" s="557"/>
      <c r="AE1654" s="958"/>
    </row>
    <row r="1655" spans="1:31" ht="15" customHeight="1">
      <c r="A1655" s="957" t="str">
        <f t="shared" ca="1" si="280"/>
        <v>2/3</v>
      </c>
      <c r="B1655" s="566" t="s">
        <v>1249</v>
      </c>
      <c r="C1655" s="567" t="str">
        <f t="shared" ca="1" si="281"/>
        <v>Green Star - Office</v>
      </c>
      <c r="D1655" s="958">
        <v>2</v>
      </c>
      <c r="E1655" s="959" t="s">
        <v>404</v>
      </c>
      <c r="F1655" s="558" t="s">
        <v>1499</v>
      </c>
      <c r="G1655" s="558">
        <v>27</v>
      </c>
      <c r="H1655" s="558" t="s">
        <v>1240</v>
      </c>
      <c r="I1655" s="559" t="s">
        <v>1230</v>
      </c>
      <c r="J1655" s="567" t="s">
        <v>1644</v>
      </c>
      <c r="K1655" s="961" t="s">
        <v>1568</v>
      </c>
      <c r="L1655" s="555" t="str">
        <f t="shared" ca="1" si="273"/>
        <v/>
      </c>
      <c r="M1655" s="494" t="s">
        <v>1569</v>
      </c>
      <c r="N1655" s="555" t="str">
        <f t="shared" ca="1" si="274"/>
        <v/>
      </c>
      <c r="O1655" s="494" t="s">
        <v>1570</v>
      </c>
      <c r="P1655" s="555" t="str">
        <f t="shared" ca="1" si="275"/>
        <v/>
      </c>
      <c r="Q1655" s="494" t="s">
        <v>1645</v>
      </c>
      <c r="R1655" s="494" t="str">
        <f>CONCATENATE("I",ROW(J1655))</f>
        <v>I1655</v>
      </c>
      <c r="S1655" s="494" t="s">
        <v>1646</v>
      </c>
      <c r="T1655" s="494">
        <v>6</v>
      </c>
      <c r="U1655" s="556" t="str">
        <f t="shared" ca="1" si="271"/>
        <v/>
      </c>
      <c r="V1655" s="494">
        <v>7</v>
      </c>
      <c r="W1655" s="556" t="str">
        <f t="shared" ca="1" si="272"/>
        <v/>
      </c>
      <c r="X1655" s="494" t="s">
        <v>1647</v>
      </c>
      <c r="Y1655" s="547" t="str">
        <f t="shared" ca="1" si="276"/>
        <v/>
      </c>
      <c r="Z1655" s="494" t="s">
        <v>1583</v>
      </c>
      <c r="AA1655" s="547" t="str">
        <f t="shared" ca="1" si="277"/>
        <v/>
      </c>
      <c r="AB1655" s="494" t="s">
        <v>173</v>
      </c>
      <c r="AC1655" s="547" t="str">
        <f t="shared" ca="1" si="278"/>
        <v/>
      </c>
      <c r="AD1655" s="557"/>
      <c r="AE1655" s="958"/>
    </row>
    <row r="1656" spans="1:31" ht="15" customHeight="1">
      <c r="A1656" s="957" t="str">
        <f t="shared" ca="1" si="280"/>
        <v>2/3</v>
      </c>
      <c r="B1656" s="566" t="s">
        <v>1249</v>
      </c>
      <c r="C1656" s="567" t="str">
        <f t="shared" ca="1" si="281"/>
        <v>Green Star - Office</v>
      </c>
      <c r="D1656" s="958">
        <v>2</v>
      </c>
      <c r="E1656" s="959" t="s">
        <v>419</v>
      </c>
      <c r="F1656" s="558" t="s">
        <v>1501</v>
      </c>
      <c r="G1656" s="558">
        <v>18</v>
      </c>
      <c r="H1656" s="558" t="s">
        <v>1079</v>
      </c>
      <c r="I1656" s="559" t="s">
        <v>1242</v>
      </c>
      <c r="J1656" s="567" t="s">
        <v>1644</v>
      </c>
      <c r="K1656" s="961" t="s">
        <v>1568</v>
      </c>
      <c r="L1656" s="555" t="str">
        <f t="shared" ca="1" si="273"/>
        <v/>
      </c>
      <c r="M1656" s="494" t="s">
        <v>1569</v>
      </c>
      <c r="N1656" s="555" t="str">
        <f t="shared" ca="1" si="274"/>
        <v/>
      </c>
      <c r="O1656" s="494" t="s">
        <v>1570</v>
      </c>
      <c r="P1656" s="555" t="str">
        <f t="shared" ca="1" si="275"/>
        <v/>
      </c>
      <c r="Q1656" s="494" t="s">
        <v>1645</v>
      </c>
      <c r="R1656" s="494" t="str">
        <f>CONCATENATE("I",ROW(J1656))</f>
        <v>I1656</v>
      </c>
      <c r="S1656" s="494" t="s">
        <v>1646</v>
      </c>
      <c r="T1656" s="494">
        <v>6</v>
      </c>
      <c r="U1656" s="556" t="str">
        <f t="shared" ca="1" si="271"/>
        <v/>
      </c>
      <c r="V1656" s="494">
        <v>7</v>
      </c>
      <c r="W1656" s="556" t="str">
        <f t="shared" ca="1" si="272"/>
        <v/>
      </c>
      <c r="X1656" s="494" t="s">
        <v>1647</v>
      </c>
      <c r="Y1656" s="547" t="str">
        <f t="shared" ca="1" si="276"/>
        <v/>
      </c>
      <c r="Z1656" s="494" t="s">
        <v>1583</v>
      </c>
      <c r="AA1656" s="547" t="str">
        <f t="shared" ca="1" si="277"/>
        <v/>
      </c>
      <c r="AB1656" s="494" t="s">
        <v>173</v>
      </c>
      <c r="AC1656" s="547" t="str">
        <f t="shared" ca="1" si="278"/>
        <v/>
      </c>
      <c r="AD1656" s="557"/>
      <c r="AE1656" s="958"/>
    </row>
    <row r="1657" spans="1:31" ht="15" customHeight="1">
      <c r="A1657" s="957" t="str">
        <f t="shared" ca="1" si="280"/>
        <v>2/3</v>
      </c>
      <c r="B1657" s="566" t="s">
        <v>1249</v>
      </c>
      <c r="C1657" s="567" t="str">
        <f t="shared" ca="1" si="281"/>
        <v>Green Star - Office</v>
      </c>
      <c r="D1657" s="958">
        <v>2</v>
      </c>
      <c r="E1657" s="959" t="s">
        <v>419</v>
      </c>
      <c r="F1657" s="558" t="s">
        <v>1501</v>
      </c>
      <c r="G1657" s="558">
        <v>24</v>
      </c>
      <c r="H1657" s="558" t="s">
        <v>1243</v>
      </c>
      <c r="I1657" s="559" t="s">
        <v>1244</v>
      </c>
      <c r="J1657" s="567" t="s">
        <v>1644</v>
      </c>
      <c r="K1657" s="961" t="s">
        <v>1568</v>
      </c>
      <c r="L1657" s="555" t="str">
        <f t="shared" ca="1" si="273"/>
        <v/>
      </c>
      <c r="M1657" s="494" t="s">
        <v>1569</v>
      </c>
      <c r="N1657" s="555" t="str">
        <f t="shared" ca="1" si="274"/>
        <v/>
      </c>
      <c r="O1657" s="494" t="s">
        <v>1570</v>
      </c>
      <c r="P1657" s="555" t="str">
        <f t="shared" ca="1" si="275"/>
        <v/>
      </c>
      <c r="Q1657" s="494" t="s">
        <v>1645</v>
      </c>
      <c r="R1657" s="494" t="str">
        <f>CONCATENATE("I",ROW(J1657))</f>
        <v>I1657</v>
      </c>
      <c r="S1657" s="494" t="s">
        <v>1646</v>
      </c>
      <c r="T1657" s="494">
        <v>6</v>
      </c>
      <c r="U1657" s="556" t="str">
        <f t="shared" ca="1" si="271"/>
        <v/>
      </c>
      <c r="V1657" s="494">
        <v>7</v>
      </c>
      <c r="W1657" s="556" t="str">
        <f t="shared" ca="1" si="272"/>
        <v/>
      </c>
      <c r="X1657" s="494" t="s">
        <v>1647</v>
      </c>
      <c r="Y1657" s="547" t="str">
        <f t="shared" ca="1" si="276"/>
        <v/>
      </c>
      <c r="Z1657" s="494" t="s">
        <v>1583</v>
      </c>
      <c r="AA1657" s="547" t="str">
        <f t="shared" ca="1" si="277"/>
        <v/>
      </c>
      <c r="AB1657" s="494" t="s">
        <v>173</v>
      </c>
      <c r="AC1657" s="547" t="str">
        <f t="shared" ca="1" si="278"/>
        <v/>
      </c>
      <c r="AD1657" s="557"/>
      <c r="AE1657" s="958"/>
    </row>
    <row r="1658" spans="1:31" ht="15" customHeight="1">
      <c r="A1658" s="957" t="str">
        <f t="shared" ca="1" si="280"/>
        <v>2/3</v>
      </c>
      <c r="B1658" s="566" t="s">
        <v>1249</v>
      </c>
      <c r="C1658" s="567" t="str">
        <f t="shared" ca="1" si="281"/>
        <v>Green Star - Office</v>
      </c>
      <c r="D1658" s="958">
        <v>2</v>
      </c>
      <c r="E1658" s="959" t="s">
        <v>419</v>
      </c>
      <c r="F1658" s="558" t="s">
        <v>1501</v>
      </c>
      <c r="G1658" s="558">
        <v>28</v>
      </c>
      <c r="H1658" s="558" t="s">
        <v>1245</v>
      </c>
      <c r="I1658" s="559" t="s">
        <v>1246</v>
      </c>
      <c r="J1658" s="567" t="s">
        <v>1644</v>
      </c>
      <c r="K1658" s="961" t="s">
        <v>1568</v>
      </c>
      <c r="L1658" s="555" t="str">
        <f t="shared" ca="1" si="273"/>
        <v/>
      </c>
      <c r="M1658" s="494" t="s">
        <v>1569</v>
      </c>
      <c r="N1658" s="555" t="str">
        <f t="shared" ca="1" si="274"/>
        <v/>
      </c>
      <c r="O1658" s="494" t="s">
        <v>1570</v>
      </c>
      <c r="P1658" s="555" t="str">
        <f t="shared" ca="1" si="275"/>
        <v/>
      </c>
      <c r="Q1658" s="494" t="s">
        <v>1645</v>
      </c>
      <c r="R1658" s="494" t="str">
        <f>CONCATENATE("I",ROW(J1658))</f>
        <v>I1658</v>
      </c>
      <c r="S1658" s="494" t="s">
        <v>1646</v>
      </c>
      <c r="T1658" s="494">
        <v>6</v>
      </c>
      <c r="U1658" s="556" t="str">
        <f t="shared" ca="1" si="271"/>
        <v/>
      </c>
      <c r="V1658" s="494">
        <v>7</v>
      </c>
      <c r="W1658" s="556" t="str">
        <f t="shared" ca="1" si="272"/>
        <v/>
      </c>
      <c r="X1658" s="494" t="s">
        <v>1647</v>
      </c>
      <c r="Y1658" s="547" t="str">
        <f t="shared" ca="1" si="276"/>
        <v/>
      </c>
      <c r="Z1658" s="494" t="s">
        <v>1583</v>
      </c>
      <c r="AA1658" s="547" t="str">
        <f t="shared" ca="1" si="277"/>
        <v/>
      </c>
      <c r="AB1658" s="494" t="s">
        <v>173</v>
      </c>
      <c r="AC1658" s="547" t="str">
        <f t="shared" ca="1" si="278"/>
        <v/>
      </c>
      <c r="AD1658" s="557"/>
      <c r="AE1658" s="958"/>
    </row>
    <row r="1659" spans="1:31" ht="15" customHeight="1">
      <c r="A1659" s="957" t="str">
        <f ca="1">IF(N1659="Design Review",16,IF(N1659="As Built",17,"16/17"))</f>
        <v>16/17</v>
      </c>
      <c r="B1659" s="566" t="s">
        <v>1250</v>
      </c>
      <c r="C1659" s="567" t="str">
        <f ca="1">IF(N1659="Design Review","Green Star - Office Design",IF(N1659="As Built","Green Star - Office As Built","Green Star - Office"))</f>
        <v>Green Star - Office</v>
      </c>
      <c r="D1659" s="958">
        <v>3</v>
      </c>
      <c r="E1659" s="959" t="s">
        <v>254</v>
      </c>
      <c r="F1659" s="558" t="s">
        <v>1444</v>
      </c>
      <c r="G1659" s="558">
        <v>16</v>
      </c>
      <c r="H1659" s="558" t="s">
        <v>1091</v>
      </c>
      <c r="I1659" s="559" t="s">
        <v>257</v>
      </c>
      <c r="J1659" s="567" t="s">
        <v>1644</v>
      </c>
      <c r="K1659" s="961" t="s">
        <v>1568</v>
      </c>
      <c r="L1659" s="555" t="str">
        <f t="shared" ca="1" si="273"/>
        <v/>
      </c>
      <c r="M1659" s="494" t="s">
        <v>1569</v>
      </c>
      <c r="N1659" s="555" t="str">
        <f t="shared" ca="1" si="274"/>
        <v/>
      </c>
      <c r="O1659" s="494" t="s">
        <v>1570</v>
      </c>
      <c r="P1659" s="555" t="str">
        <f t="shared" ca="1" si="275"/>
        <v/>
      </c>
      <c r="Q1659" s="494" t="s">
        <v>1645</v>
      </c>
      <c r="R1659" s="494" t="str">
        <f t="shared" ref="R1659:R1714" si="282">CONCATENATE("I",ROW(J1659))</f>
        <v>I1659</v>
      </c>
      <c r="S1659" s="494" t="s">
        <v>1646</v>
      </c>
      <c r="T1659" s="494">
        <v>6</v>
      </c>
      <c r="U1659" s="556" t="str">
        <f t="shared" ca="1" si="271"/>
        <v/>
      </c>
      <c r="V1659" s="494">
        <v>7</v>
      </c>
      <c r="W1659" s="556" t="str">
        <f t="shared" ca="1" si="272"/>
        <v/>
      </c>
      <c r="X1659" s="494" t="s">
        <v>1647</v>
      </c>
      <c r="Y1659" s="547" t="str">
        <f t="shared" ca="1" si="276"/>
        <v/>
      </c>
      <c r="Z1659" s="494" t="s">
        <v>1583</v>
      </c>
      <c r="AA1659" s="547" t="str">
        <f t="shared" ca="1" si="277"/>
        <v/>
      </c>
      <c r="AB1659" s="494" t="s">
        <v>173</v>
      </c>
      <c r="AC1659" s="547" t="str">
        <f t="shared" ca="1" si="278"/>
        <v/>
      </c>
      <c r="AD1659" s="557"/>
      <c r="AE1659" s="958"/>
    </row>
    <row r="1660" spans="1:31" ht="15" customHeight="1">
      <c r="A1660" s="957" t="str">
        <f t="shared" ref="A1660:A1723" ca="1" si="283">IF(N1660="Design Review",16,IF(N1660="As Built",17,"16/17"))</f>
        <v>16/17</v>
      </c>
      <c r="B1660" s="566" t="s">
        <v>1250</v>
      </c>
      <c r="C1660" s="567" t="str">
        <f t="shared" ref="C1660:C1723" ca="1" si="284">IF(N1660="Design Review","Green Star - Office Design",IF(N1660="As Built","Green Star - Office As Built","Green Star - Office"))</f>
        <v>Green Star - Office</v>
      </c>
      <c r="D1660" s="958">
        <v>3</v>
      </c>
      <c r="E1660" s="959" t="s">
        <v>254</v>
      </c>
      <c r="F1660" s="558" t="s">
        <v>1444</v>
      </c>
      <c r="G1660" s="558">
        <v>86</v>
      </c>
      <c r="H1660" s="558" t="s">
        <v>1093</v>
      </c>
      <c r="I1660" s="559" t="s">
        <v>1095</v>
      </c>
      <c r="J1660" s="567" t="s">
        <v>1644</v>
      </c>
      <c r="K1660" s="961" t="s">
        <v>1568</v>
      </c>
      <c r="L1660" s="555" t="str">
        <f t="shared" ca="1" si="273"/>
        <v/>
      </c>
      <c r="M1660" s="494" t="s">
        <v>1569</v>
      </c>
      <c r="N1660" s="555" t="str">
        <f t="shared" ca="1" si="274"/>
        <v/>
      </c>
      <c r="O1660" s="494" t="s">
        <v>1570</v>
      </c>
      <c r="P1660" s="555" t="str">
        <f t="shared" ca="1" si="275"/>
        <v/>
      </c>
      <c r="Q1660" s="494" t="s">
        <v>1645</v>
      </c>
      <c r="R1660" s="494" t="str">
        <f t="shared" si="282"/>
        <v>I1660</v>
      </c>
      <c r="S1660" s="494" t="s">
        <v>1648</v>
      </c>
      <c r="T1660" s="494">
        <v>6</v>
      </c>
      <c r="U1660" s="556" t="str">
        <f t="shared" ca="1" si="271"/>
        <v/>
      </c>
      <c r="V1660" s="494">
        <v>7</v>
      </c>
      <c r="W1660" s="556" t="str">
        <f t="shared" ca="1" si="272"/>
        <v/>
      </c>
      <c r="X1660" s="494" t="s">
        <v>1647</v>
      </c>
      <c r="Y1660" s="547" t="str">
        <f t="shared" ca="1" si="276"/>
        <v/>
      </c>
      <c r="Z1660" s="494" t="s">
        <v>1583</v>
      </c>
      <c r="AA1660" s="547" t="str">
        <f t="shared" ca="1" si="277"/>
        <v/>
      </c>
      <c r="AB1660" s="494" t="s">
        <v>173</v>
      </c>
      <c r="AC1660" s="547" t="str">
        <f t="shared" ca="1" si="278"/>
        <v/>
      </c>
      <c r="AD1660" s="557"/>
      <c r="AE1660" s="958"/>
    </row>
    <row r="1661" spans="1:31" ht="15" customHeight="1">
      <c r="A1661" s="957" t="str">
        <f t="shared" ca="1" si="283"/>
        <v>16/17</v>
      </c>
      <c r="B1661" s="566" t="s">
        <v>1250</v>
      </c>
      <c r="C1661" s="567" t="str">
        <f t="shared" ca="1" si="284"/>
        <v>Green Star - Office</v>
      </c>
      <c r="D1661" s="958">
        <v>3</v>
      </c>
      <c r="E1661" s="959" t="s">
        <v>254</v>
      </c>
      <c r="F1661" s="558" t="s">
        <v>1444</v>
      </c>
      <c r="G1661" s="558">
        <v>86</v>
      </c>
      <c r="H1661" s="558" t="s">
        <v>1093</v>
      </c>
      <c r="I1661" s="559" t="s">
        <v>1097</v>
      </c>
      <c r="J1661" s="567" t="s">
        <v>1644</v>
      </c>
      <c r="K1661" s="961" t="s">
        <v>1568</v>
      </c>
      <c r="L1661" s="555" t="str">
        <f t="shared" ca="1" si="273"/>
        <v/>
      </c>
      <c r="M1661" s="494" t="s">
        <v>1569</v>
      </c>
      <c r="N1661" s="555" t="str">
        <f t="shared" ca="1" si="274"/>
        <v/>
      </c>
      <c r="O1661" s="494" t="s">
        <v>1570</v>
      </c>
      <c r="P1661" s="555" t="str">
        <f t="shared" ca="1" si="275"/>
        <v/>
      </c>
      <c r="Q1661" s="494" t="s">
        <v>1645</v>
      </c>
      <c r="R1661" s="494" t="str">
        <f t="shared" si="282"/>
        <v>I1661</v>
      </c>
      <c r="S1661" s="494" t="s">
        <v>1648</v>
      </c>
      <c r="T1661" s="494">
        <v>6</v>
      </c>
      <c r="U1661" s="556" t="str">
        <f t="shared" ca="1" si="271"/>
        <v/>
      </c>
      <c r="V1661" s="494">
        <v>7</v>
      </c>
      <c r="W1661" s="556" t="str">
        <f t="shared" ca="1" si="272"/>
        <v/>
      </c>
      <c r="X1661" s="494" t="s">
        <v>1647</v>
      </c>
      <c r="Y1661" s="547" t="str">
        <f t="shared" ca="1" si="276"/>
        <v/>
      </c>
      <c r="Z1661" s="494" t="s">
        <v>1583</v>
      </c>
      <c r="AA1661" s="547" t="str">
        <f t="shared" ca="1" si="277"/>
        <v/>
      </c>
      <c r="AB1661" s="494" t="s">
        <v>173</v>
      </c>
      <c r="AC1661" s="547" t="str">
        <f t="shared" ca="1" si="278"/>
        <v/>
      </c>
      <c r="AD1661" s="557"/>
      <c r="AE1661" s="958"/>
    </row>
    <row r="1662" spans="1:31" ht="15" customHeight="1">
      <c r="A1662" s="957" t="str">
        <f t="shared" ca="1" si="283"/>
        <v>16/17</v>
      </c>
      <c r="B1662" s="566" t="s">
        <v>1250</v>
      </c>
      <c r="C1662" s="567" t="str">
        <f t="shared" ca="1" si="284"/>
        <v>Green Star - Office</v>
      </c>
      <c r="D1662" s="958">
        <v>3</v>
      </c>
      <c r="E1662" s="959" t="s">
        <v>254</v>
      </c>
      <c r="F1662" s="558" t="s">
        <v>1444</v>
      </c>
      <c r="G1662" s="558">
        <v>132</v>
      </c>
      <c r="H1662" s="558" t="s">
        <v>1098</v>
      </c>
      <c r="I1662" s="559" t="s">
        <v>1099</v>
      </c>
      <c r="J1662" s="567" t="s">
        <v>1644</v>
      </c>
      <c r="K1662" s="961" t="s">
        <v>1568</v>
      </c>
      <c r="L1662" s="555" t="str">
        <f t="shared" ca="1" si="273"/>
        <v/>
      </c>
      <c r="M1662" s="494" t="s">
        <v>1569</v>
      </c>
      <c r="N1662" s="555" t="str">
        <f t="shared" ca="1" si="274"/>
        <v/>
      </c>
      <c r="O1662" s="494" t="s">
        <v>1570</v>
      </c>
      <c r="P1662" s="555" t="str">
        <f t="shared" ca="1" si="275"/>
        <v/>
      </c>
      <c r="Q1662" s="494" t="s">
        <v>1645</v>
      </c>
      <c r="R1662" s="494" t="str">
        <f t="shared" si="282"/>
        <v>I1662</v>
      </c>
      <c r="S1662" s="494" t="s">
        <v>1646</v>
      </c>
      <c r="T1662" s="494">
        <v>6</v>
      </c>
      <c r="U1662" s="556" t="str">
        <f t="shared" ca="1" si="271"/>
        <v/>
      </c>
      <c r="V1662" s="494">
        <v>7</v>
      </c>
      <c r="W1662" s="556" t="str">
        <f t="shared" ca="1" si="272"/>
        <v/>
      </c>
      <c r="X1662" s="494" t="s">
        <v>1647</v>
      </c>
      <c r="Y1662" s="547" t="str">
        <f t="shared" ca="1" si="276"/>
        <v/>
      </c>
      <c r="Z1662" s="494" t="s">
        <v>1583</v>
      </c>
      <c r="AA1662" s="547" t="str">
        <f t="shared" ca="1" si="277"/>
        <v/>
      </c>
      <c r="AB1662" s="494" t="s">
        <v>173</v>
      </c>
      <c r="AC1662" s="547" t="str">
        <f t="shared" ca="1" si="278"/>
        <v/>
      </c>
      <c r="AD1662" s="557"/>
      <c r="AE1662" s="958"/>
    </row>
    <row r="1663" spans="1:31" ht="15" customHeight="1">
      <c r="A1663" s="957" t="str">
        <f t="shared" ca="1" si="283"/>
        <v>16/17</v>
      </c>
      <c r="B1663" s="566" t="s">
        <v>1250</v>
      </c>
      <c r="C1663" s="567" t="str">
        <f t="shared" ca="1" si="284"/>
        <v>Green Star - Office</v>
      </c>
      <c r="D1663" s="958">
        <v>3</v>
      </c>
      <c r="E1663" s="959" t="s">
        <v>254</v>
      </c>
      <c r="F1663" s="558" t="s">
        <v>1444</v>
      </c>
      <c r="G1663" s="558">
        <v>133</v>
      </c>
      <c r="H1663" s="558" t="s">
        <v>1100</v>
      </c>
      <c r="I1663" s="559" t="s">
        <v>281</v>
      </c>
      <c r="J1663" s="567" t="s">
        <v>1644</v>
      </c>
      <c r="K1663" s="961" t="s">
        <v>1568</v>
      </c>
      <c r="L1663" s="555" t="str">
        <f t="shared" ca="1" si="273"/>
        <v/>
      </c>
      <c r="M1663" s="494" t="s">
        <v>1569</v>
      </c>
      <c r="N1663" s="555" t="str">
        <f t="shared" ca="1" si="274"/>
        <v/>
      </c>
      <c r="O1663" s="494" t="s">
        <v>1570</v>
      </c>
      <c r="P1663" s="555" t="str">
        <f t="shared" ca="1" si="275"/>
        <v/>
      </c>
      <c r="Q1663" s="494" t="s">
        <v>1645</v>
      </c>
      <c r="R1663" s="494" t="str">
        <f t="shared" si="282"/>
        <v>I1663</v>
      </c>
      <c r="S1663" s="494" t="s">
        <v>1646</v>
      </c>
      <c r="T1663" s="494">
        <v>6</v>
      </c>
      <c r="U1663" s="556" t="str">
        <f t="shared" ref="U1663:U1726" ca="1" si="285">IF(AND($B1663=INDIRECT(CONCATENATE($J1663,$K1663,5)),ISBLANK(INDEX(INDIRECT(CONCATENATE($J1663,$Q1663)),MATCH(INDIRECT($R1663),INDIRECT(CONCATENATE($J1663,$S1663)),0),T1663))=FALSE),INDEX(INDIRECT(CONCATENATE($J1663,$Q1663)),MATCH(INDIRECT($R1663),INDIRECT(CONCATENATE($J1663,$S1663)),0),T1663),"")</f>
        <v/>
      </c>
      <c r="V1663" s="494">
        <v>7</v>
      </c>
      <c r="W1663" s="556" t="str">
        <f t="shared" ref="W1663:W1726" ca="1" si="286">IF(AND($B1663=INDIRECT(CONCATENATE($J1663,$K1663,5)),ISBLANK(INDEX(INDIRECT(CONCATENATE($J1663,$Q1663)),MATCH(INDIRECT($R1663),INDIRECT(CONCATENATE($J1663,$S1663)),0),V1663))=FALSE),INDEX(INDIRECT(CONCATENATE($J1663,$Q1663)),MATCH(INDIRECT($R1663),INDIRECT(CONCATENATE($J1663,$S1663)),0),V1663),"")</f>
        <v/>
      </c>
      <c r="X1663" s="494" t="s">
        <v>1647</v>
      </c>
      <c r="Y1663" s="547" t="str">
        <f t="shared" ca="1" si="276"/>
        <v/>
      </c>
      <c r="Z1663" s="494" t="s">
        <v>1583</v>
      </c>
      <c r="AA1663" s="547" t="str">
        <f t="shared" ca="1" si="277"/>
        <v/>
      </c>
      <c r="AB1663" s="494" t="s">
        <v>173</v>
      </c>
      <c r="AC1663" s="547" t="str">
        <f t="shared" ca="1" si="278"/>
        <v/>
      </c>
      <c r="AD1663" s="557"/>
      <c r="AE1663" s="958"/>
    </row>
    <row r="1664" spans="1:31" ht="15" customHeight="1">
      <c r="A1664" s="957" t="str">
        <f t="shared" ca="1" si="283"/>
        <v>16/17</v>
      </c>
      <c r="B1664" s="566" t="s">
        <v>1250</v>
      </c>
      <c r="C1664" s="567" t="str">
        <f t="shared" ca="1" si="284"/>
        <v>Green Star - Office</v>
      </c>
      <c r="D1664" s="958">
        <v>3</v>
      </c>
      <c r="E1664" s="959" t="s">
        <v>254</v>
      </c>
      <c r="F1664" s="558" t="s">
        <v>1444</v>
      </c>
      <c r="G1664" s="558">
        <v>91</v>
      </c>
      <c r="H1664" s="558" t="s">
        <v>1101</v>
      </c>
      <c r="I1664" s="559" t="s">
        <v>1272</v>
      </c>
      <c r="J1664" s="567" t="s">
        <v>1644</v>
      </c>
      <c r="K1664" s="961" t="s">
        <v>1568</v>
      </c>
      <c r="L1664" s="555" t="str">
        <f t="shared" ca="1" si="273"/>
        <v/>
      </c>
      <c r="M1664" s="494" t="s">
        <v>1569</v>
      </c>
      <c r="N1664" s="555" t="str">
        <f t="shared" ca="1" si="274"/>
        <v/>
      </c>
      <c r="O1664" s="494" t="s">
        <v>1570</v>
      </c>
      <c r="P1664" s="555" t="str">
        <f t="shared" ca="1" si="275"/>
        <v/>
      </c>
      <c r="Q1664" s="494" t="s">
        <v>1645</v>
      </c>
      <c r="R1664" s="494" t="str">
        <f t="shared" si="282"/>
        <v>I1664</v>
      </c>
      <c r="S1664" s="494" t="s">
        <v>1646</v>
      </c>
      <c r="T1664" s="494">
        <v>6</v>
      </c>
      <c r="U1664" s="556" t="str">
        <f t="shared" ca="1" si="285"/>
        <v/>
      </c>
      <c r="V1664" s="494">
        <v>7</v>
      </c>
      <c r="W1664" s="556" t="str">
        <f t="shared" ca="1" si="286"/>
        <v/>
      </c>
      <c r="X1664" s="494" t="s">
        <v>1647</v>
      </c>
      <c r="Y1664" s="547" t="str">
        <f t="shared" ca="1" si="276"/>
        <v/>
      </c>
      <c r="Z1664" s="494" t="s">
        <v>1583</v>
      </c>
      <c r="AA1664" s="547" t="str">
        <f t="shared" ca="1" si="277"/>
        <v/>
      </c>
      <c r="AB1664" s="494" t="s">
        <v>173</v>
      </c>
      <c r="AC1664" s="547" t="str">
        <f t="shared" ca="1" si="278"/>
        <v/>
      </c>
      <c r="AD1664" s="557"/>
      <c r="AE1664" s="958"/>
    </row>
    <row r="1665" spans="1:31" ht="15" customHeight="1">
      <c r="A1665" s="957" t="str">
        <f t="shared" ca="1" si="283"/>
        <v>16/17</v>
      </c>
      <c r="B1665" s="566" t="s">
        <v>1250</v>
      </c>
      <c r="C1665" s="567" t="str">
        <f t="shared" ca="1" si="284"/>
        <v>Green Star - Office</v>
      </c>
      <c r="D1665" s="958">
        <v>3</v>
      </c>
      <c r="E1665" s="959" t="s">
        <v>254</v>
      </c>
      <c r="F1665" s="558" t="s">
        <v>1444</v>
      </c>
      <c r="G1665" s="558">
        <v>30</v>
      </c>
      <c r="H1665" s="558" t="s">
        <v>1103</v>
      </c>
      <c r="I1665" s="559" t="s">
        <v>1693</v>
      </c>
      <c r="J1665" s="567" t="s">
        <v>1644</v>
      </c>
      <c r="K1665" s="961" t="s">
        <v>1568</v>
      </c>
      <c r="L1665" s="555" t="str">
        <f t="shared" ca="1" si="273"/>
        <v/>
      </c>
      <c r="M1665" s="494" t="s">
        <v>1569</v>
      </c>
      <c r="N1665" s="555" t="str">
        <f t="shared" ca="1" si="274"/>
        <v/>
      </c>
      <c r="O1665" s="494" t="s">
        <v>1570</v>
      </c>
      <c r="P1665" s="555" t="str">
        <f t="shared" ca="1" si="275"/>
        <v/>
      </c>
      <c r="Q1665" s="494" t="s">
        <v>1645</v>
      </c>
      <c r="R1665" s="494" t="str">
        <f t="shared" si="282"/>
        <v>I1665</v>
      </c>
      <c r="S1665" s="494" t="s">
        <v>1648</v>
      </c>
      <c r="T1665" s="494">
        <v>6</v>
      </c>
      <c r="U1665" s="556" t="str">
        <f t="shared" ca="1" si="285"/>
        <v/>
      </c>
      <c r="V1665" s="494">
        <v>7</v>
      </c>
      <c r="W1665" s="556" t="str">
        <f t="shared" ca="1" si="286"/>
        <v/>
      </c>
      <c r="X1665" s="494" t="s">
        <v>1647</v>
      </c>
      <c r="Y1665" s="547" t="str">
        <f t="shared" ca="1" si="276"/>
        <v/>
      </c>
      <c r="Z1665" s="494" t="s">
        <v>1583</v>
      </c>
      <c r="AA1665" s="547" t="str">
        <f t="shared" ca="1" si="277"/>
        <v/>
      </c>
      <c r="AB1665" s="494" t="s">
        <v>173</v>
      </c>
      <c r="AC1665" s="547" t="str">
        <f t="shared" ca="1" si="278"/>
        <v/>
      </c>
      <c r="AD1665" s="557"/>
      <c r="AE1665" s="958"/>
    </row>
    <row r="1666" spans="1:31" ht="15" customHeight="1">
      <c r="A1666" s="957" t="str">
        <f t="shared" ca="1" si="283"/>
        <v>16/17</v>
      </c>
      <c r="B1666" s="566" t="s">
        <v>1250</v>
      </c>
      <c r="C1666" s="567" t="str">
        <f t="shared" ca="1" si="284"/>
        <v>Green Star - Office</v>
      </c>
      <c r="D1666" s="958">
        <v>3</v>
      </c>
      <c r="E1666" s="959" t="s">
        <v>254</v>
      </c>
      <c r="F1666" s="558" t="s">
        <v>1444</v>
      </c>
      <c r="G1666" s="558">
        <v>30</v>
      </c>
      <c r="H1666" s="558" t="s">
        <v>1103</v>
      </c>
      <c r="I1666" s="559" t="s">
        <v>1694</v>
      </c>
      <c r="J1666" s="567" t="s">
        <v>1644</v>
      </c>
      <c r="K1666" s="961" t="s">
        <v>1568</v>
      </c>
      <c r="L1666" s="555" t="str">
        <f t="shared" ref="L1666:L1729" ca="1" si="287">IF(AND(INDIRECT(CONCATENATE($J1666,$K1666,5))=$B1666,ISNUMBER(SEARCH("Please",INDIRECT(CONCATENATE($J1666,$K1666,2)),1))=FALSE),SUMPRODUCT(MID(0&amp;INDIRECT(CONCATENATE($J1666,$K1666,2)), LARGE(INDEX(ISNUMBER(--MID(INDIRECT(CONCATENATE($J1666,$K1666,2)), ROW(INDIRECT("1:"&amp;LEN(INDIRECT(CONCATENATE($J1666,$K1666,2))))),1))*ROW(INDIRECT("1:"&amp;LEN(INDIRECT(CONCATENATE($J1666,$K1666,2))))),0), ROW(INDIRECT("1:"&amp;LEN(INDIRECT(CONCATENATE($J1666,$K1666,2))))))+1,1)*10^ROW(INDIRECT("1:"&amp;LEN(INDIRECT(CONCATENATE($J1666,$K1666,2)))))/10),"")</f>
        <v/>
      </c>
      <c r="M1666" s="494" t="s">
        <v>1569</v>
      </c>
      <c r="N1666" s="555" t="str">
        <f t="shared" ref="N1666:N1732" ca="1" si="288">IF(AND(INDIRECT(CONCATENATE($J1666,$K1666,5))=$B1666,ISNUMBER(SEARCH("Select",INDIRECT(CONCATENATE($J1666,$M1666,6)),1))=FALSE),INDIRECT(CONCATENATE($J1666,$M1666,6)),"")</f>
        <v/>
      </c>
      <c r="O1666" s="494" t="s">
        <v>1570</v>
      </c>
      <c r="P1666" s="555" t="str">
        <f t="shared" ref="P1666:P1732" ca="1" si="289">IF(AND(INDIRECT(CONCATENATE($J1666,$K1666,5))=$B1666,ISNUMBER(SEARCH("Select",INDIRECT(CONCATENATE($J1666,$O1666,6)),1))=FALSE),INDIRECT(CONCATENATE($J1666,$O1666,6)),"")</f>
        <v/>
      </c>
      <c r="Q1666" s="494" t="s">
        <v>1645</v>
      </c>
      <c r="R1666" s="494" t="str">
        <f t="shared" si="282"/>
        <v>I1666</v>
      </c>
      <c r="S1666" s="494" t="s">
        <v>1648</v>
      </c>
      <c r="T1666" s="494">
        <v>6</v>
      </c>
      <c r="U1666" s="556" t="str">
        <f t="shared" ca="1" si="285"/>
        <v/>
      </c>
      <c r="V1666" s="494">
        <v>7</v>
      </c>
      <c r="W1666" s="556" t="str">
        <f t="shared" ca="1" si="286"/>
        <v/>
      </c>
      <c r="X1666" s="494" t="s">
        <v>1647</v>
      </c>
      <c r="Y1666" s="547" t="str">
        <f t="shared" ref="Y1666:Y1729" ca="1" si="290">IF(AND(INDIRECT(CONCATENATE($J1666,$K1666,5))=$B1666,ISBLANK(INDIRECT(CONCATENATE($J1666,X1666)))=FALSE),INDIRECT(CONCATENATE($J1666,X1666)),"")</f>
        <v/>
      </c>
      <c r="Z1666" s="494" t="s">
        <v>1583</v>
      </c>
      <c r="AA1666" s="547" t="str">
        <f t="shared" ref="AA1666:AA1729" ca="1" si="291">IF(AND(INDIRECT(CONCATENATE($J1666,$K1666,"5"))=$B1666,ISBLANK(INDIRECT(CONCATENATE($J1666,Z1666)))=FALSE),INDIRECT(CONCATENATE($J1666,Z1666)),"")</f>
        <v/>
      </c>
      <c r="AB1666" s="494" t="s">
        <v>173</v>
      </c>
      <c r="AC1666" s="547" t="str">
        <f t="shared" ref="AC1666:AC1729" ca="1" si="292">IF(AND(INDIRECT(CONCATENATE($J1666,$K1666,"5"))=$B1666,ISBLANK(INDIRECT(CONCATENATE($J1666,AB1666)))=FALSE),INDIRECT(CONCATENATE($J1666,AB1666)),"")</f>
        <v/>
      </c>
      <c r="AD1666" s="557"/>
      <c r="AE1666" s="958"/>
    </row>
    <row r="1667" spans="1:31" ht="15" customHeight="1">
      <c r="A1667" s="957" t="str">
        <f t="shared" ca="1" si="283"/>
        <v>16/17</v>
      </c>
      <c r="B1667" s="566" t="s">
        <v>1250</v>
      </c>
      <c r="C1667" s="567" t="str">
        <f t="shared" ca="1" si="284"/>
        <v>Green Star - Office</v>
      </c>
      <c r="D1667" s="958">
        <v>3</v>
      </c>
      <c r="E1667" s="959" t="s">
        <v>254</v>
      </c>
      <c r="F1667" s="558" t="s">
        <v>1444</v>
      </c>
      <c r="G1667" s="558">
        <v>97</v>
      </c>
      <c r="H1667" s="558" t="s">
        <v>1104</v>
      </c>
      <c r="I1667" s="559" t="s">
        <v>785</v>
      </c>
      <c r="J1667" s="567" t="s">
        <v>1644</v>
      </c>
      <c r="K1667" s="961" t="s">
        <v>1568</v>
      </c>
      <c r="L1667" s="555" t="str">
        <f t="shared" ca="1" si="287"/>
        <v/>
      </c>
      <c r="M1667" s="494" t="s">
        <v>1569</v>
      </c>
      <c r="N1667" s="555" t="str">
        <f t="shared" ca="1" si="288"/>
        <v/>
      </c>
      <c r="O1667" s="494" t="s">
        <v>1570</v>
      </c>
      <c r="P1667" s="555" t="str">
        <f t="shared" ca="1" si="289"/>
        <v/>
      </c>
      <c r="Q1667" s="494" t="s">
        <v>1645</v>
      </c>
      <c r="R1667" s="494" t="str">
        <f t="shared" si="282"/>
        <v>I1667</v>
      </c>
      <c r="S1667" s="494" t="s">
        <v>1646</v>
      </c>
      <c r="T1667" s="494">
        <v>6</v>
      </c>
      <c r="U1667" s="556" t="str">
        <f t="shared" ca="1" si="285"/>
        <v/>
      </c>
      <c r="V1667" s="494">
        <v>7</v>
      </c>
      <c r="W1667" s="556" t="str">
        <f t="shared" ca="1" si="286"/>
        <v/>
      </c>
      <c r="X1667" s="494" t="s">
        <v>1647</v>
      </c>
      <c r="Y1667" s="547" t="str">
        <f t="shared" ca="1" si="290"/>
        <v/>
      </c>
      <c r="Z1667" s="494" t="s">
        <v>1583</v>
      </c>
      <c r="AA1667" s="547" t="str">
        <f t="shared" ca="1" si="291"/>
        <v/>
      </c>
      <c r="AB1667" s="494" t="s">
        <v>173</v>
      </c>
      <c r="AC1667" s="547" t="str">
        <f t="shared" ca="1" si="292"/>
        <v/>
      </c>
      <c r="AD1667" s="557"/>
      <c r="AE1667" s="958"/>
    </row>
    <row r="1668" spans="1:31" ht="15" customHeight="1">
      <c r="A1668" s="957" t="str">
        <f t="shared" ca="1" si="283"/>
        <v>16/17</v>
      </c>
      <c r="B1668" s="566" t="s">
        <v>1250</v>
      </c>
      <c r="C1668" s="567" t="str">
        <f t="shared" ca="1" si="284"/>
        <v>Green Star - Office</v>
      </c>
      <c r="D1668" s="958">
        <v>3</v>
      </c>
      <c r="E1668" s="959" t="s">
        <v>306</v>
      </c>
      <c r="F1668" s="558" t="s">
        <v>1454</v>
      </c>
      <c r="G1668" s="558">
        <v>34</v>
      </c>
      <c r="H1668" s="558" t="s">
        <v>1116</v>
      </c>
      <c r="I1668" s="559" t="s">
        <v>1117</v>
      </c>
      <c r="J1668" s="567" t="s">
        <v>1644</v>
      </c>
      <c r="K1668" s="961" t="s">
        <v>1568</v>
      </c>
      <c r="L1668" s="555" t="str">
        <f t="shared" ca="1" si="287"/>
        <v/>
      </c>
      <c r="M1668" s="494" t="s">
        <v>1569</v>
      </c>
      <c r="N1668" s="555" t="str">
        <f t="shared" ca="1" si="288"/>
        <v/>
      </c>
      <c r="O1668" s="494" t="s">
        <v>1570</v>
      </c>
      <c r="P1668" s="555" t="str">
        <f t="shared" ca="1" si="289"/>
        <v/>
      </c>
      <c r="Q1668" s="494" t="s">
        <v>1645</v>
      </c>
      <c r="R1668" s="494" t="str">
        <f t="shared" si="282"/>
        <v>I1668</v>
      </c>
      <c r="S1668" s="494" t="s">
        <v>1646</v>
      </c>
      <c r="T1668" s="494">
        <v>6</v>
      </c>
      <c r="U1668" s="556" t="str">
        <f t="shared" ca="1" si="285"/>
        <v/>
      </c>
      <c r="V1668" s="494">
        <v>7</v>
      </c>
      <c r="W1668" s="556" t="str">
        <f t="shared" ca="1" si="286"/>
        <v/>
      </c>
      <c r="X1668" s="494" t="s">
        <v>1647</v>
      </c>
      <c r="Y1668" s="547" t="str">
        <f t="shared" ca="1" si="290"/>
        <v/>
      </c>
      <c r="Z1668" s="494" t="s">
        <v>1583</v>
      </c>
      <c r="AA1668" s="547" t="str">
        <f t="shared" ca="1" si="291"/>
        <v/>
      </c>
      <c r="AB1668" s="494" t="s">
        <v>173</v>
      </c>
      <c r="AC1668" s="547" t="str">
        <f t="shared" ca="1" si="292"/>
        <v/>
      </c>
      <c r="AD1668" s="557"/>
      <c r="AE1668" s="958"/>
    </row>
    <row r="1669" spans="1:31" ht="15" customHeight="1">
      <c r="A1669" s="957" t="str">
        <f t="shared" ca="1" si="283"/>
        <v>16/17</v>
      </c>
      <c r="B1669" s="566" t="s">
        <v>1250</v>
      </c>
      <c r="C1669" s="567" t="str">
        <f t="shared" ca="1" si="284"/>
        <v>Green Star - Office</v>
      </c>
      <c r="D1669" s="958">
        <v>3</v>
      </c>
      <c r="E1669" s="959" t="s">
        <v>306</v>
      </c>
      <c r="F1669" s="558" t="s">
        <v>1454</v>
      </c>
      <c r="G1669" s="558">
        <v>65</v>
      </c>
      <c r="H1669" s="558" t="s">
        <v>1118</v>
      </c>
      <c r="I1669" s="559" t="s">
        <v>1119</v>
      </c>
      <c r="J1669" s="567" t="s">
        <v>1644</v>
      </c>
      <c r="K1669" s="961" t="s">
        <v>1568</v>
      </c>
      <c r="L1669" s="555" t="str">
        <f t="shared" ca="1" si="287"/>
        <v/>
      </c>
      <c r="M1669" s="494" t="s">
        <v>1569</v>
      </c>
      <c r="N1669" s="555" t="str">
        <f t="shared" ca="1" si="288"/>
        <v/>
      </c>
      <c r="O1669" s="494" t="s">
        <v>1570</v>
      </c>
      <c r="P1669" s="555" t="str">
        <f t="shared" ca="1" si="289"/>
        <v/>
      </c>
      <c r="Q1669" s="494" t="s">
        <v>1645</v>
      </c>
      <c r="R1669" s="494" t="str">
        <f t="shared" si="282"/>
        <v>I1669</v>
      </c>
      <c r="S1669" s="494" t="s">
        <v>1646</v>
      </c>
      <c r="T1669" s="494">
        <v>6</v>
      </c>
      <c r="U1669" s="556" t="str">
        <f t="shared" ca="1" si="285"/>
        <v/>
      </c>
      <c r="V1669" s="494">
        <v>7</v>
      </c>
      <c r="W1669" s="556" t="str">
        <f t="shared" ca="1" si="286"/>
        <v/>
      </c>
      <c r="X1669" s="494" t="s">
        <v>1647</v>
      </c>
      <c r="Y1669" s="547" t="str">
        <f t="shared" ca="1" si="290"/>
        <v/>
      </c>
      <c r="Z1669" s="494" t="s">
        <v>1583</v>
      </c>
      <c r="AA1669" s="547" t="str">
        <f t="shared" ca="1" si="291"/>
        <v/>
      </c>
      <c r="AB1669" s="494" t="s">
        <v>173</v>
      </c>
      <c r="AC1669" s="547" t="str">
        <f t="shared" ca="1" si="292"/>
        <v/>
      </c>
      <c r="AD1669" s="557"/>
      <c r="AE1669" s="958"/>
    </row>
    <row r="1670" spans="1:31" ht="15" customHeight="1">
      <c r="A1670" s="957" t="str">
        <f t="shared" ca="1" si="283"/>
        <v>16/17</v>
      </c>
      <c r="B1670" s="566" t="s">
        <v>1250</v>
      </c>
      <c r="C1670" s="567" t="str">
        <f t="shared" ca="1" si="284"/>
        <v>Green Star - Office</v>
      </c>
      <c r="D1670" s="958">
        <v>3</v>
      </c>
      <c r="E1670" s="959" t="s">
        <v>306</v>
      </c>
      <c r="F1670" s="558" t="s">
        <v>1454</v>
      </c>
      <c r="G1670" s="558">
        <v>40</v>
      </c>
      <c r="H1670" s="558" t="s">
        <v>1120</v>
      </c>
      <c r="I1670" s="559" t="s">
        <v>1695</v>
      </c>
      <c r="J1670" s="567" t="s">
        <v>1644</v>
      </c>
      <c r="K1670" s="961" t="s">
        <v>1568</v>
      </c>
      <c r="L1670" s="555" t="str">
        <f t="shared" ca="1" si="287"/>
        <v/>
      </c>
      <c r="M1670" s="494" t="s">
        <v>1569</v>
      </c>
      <c r="N1670" s="555" t="str">
        <f t="shared" ca="1" si="288"/>
        <v/>
      </c>
      <c r="O1670" s="494" t="s">
        <v>1570</v>
      </c>
      <c r="P1670" s="555" t="str">
        <f t="shared" ca="1" si="289"/>
        <v/>
      </c>
      <c r="Q1670" s="494" t="s">
        <v>1645</v>
      </c>
      <c r="R1670" s="494" t="str">
        <f t="shared" si="282"/>
        <v>I1670</v>
      </c>
      <c r="S1670" s="494" t="s">
        <v>1646</v>
      </c>
      <c r="T1670" s="494">
        <v>6</v>
      </c>
      <c r="U1670" s="556" t="str">
        <f t="shared" ca="1" si="285"/>
        <v/>
      </c>
      <c r="V1670" s="494">
        <v>7</v>
      </c>
      <c r="W1670" s="556" t="str">
        <f t="shared" ca="1" si="286"/>
        <v/>
      </c>
      <c r="X1670" s="494" t="s">
        <v>1647</v>
      </c>
      <c r="Y1670" s="547" t="str">
        <f t="shared" ca="1" si="290"/>
        <v/>
      </c>
      <c r="Z1670" s="494" t="s">
        <v>1583</v>
      </c>
      <c r="AA1670" s="547" t="str">
        <f t="shared" ca="1" si="291"/>
        <v/>
      </c>
      <c r="AB1670" s="494" t="s">
        <v>173</v>
      </c>
      <c r="AC1670" s="547" t="str">
        <f t="shared" ca="1" si="292"/>
        <v/>
      </c>
      <c r="AD1670" s="557"/>
      <c r="AE1670" s="958"/>
    </row>
    <row r="1671" spans="1:31" ht="15" customHeight="1">
      <c r="A1671" s="957" t="str">
        <f t="shared" ca="1" si="283"/>
        <v>16/17</v>
      </c>
      <c r="B1671" s="566" t="s">
        <v>1250</v>
      </c>
      <c r="C1671" s="567" t="str">
        <f t="shared" ca="1" si="284"/>
        <v>Green Star - Office</v>
      </c>
      <c r="D1671" s="958">
        <v>3</v>
      </c>
      <c r="E1671" s="959" t="s">
        <v>306</v>
      </c>
      <c r="F1671" s="558" t="s">
        <v>1454</v>
      </c>
      <c r="G1671" s="558">
        <v>44</v>
      </c>
      <c r="H1671" s="558" t="s">
        <v>1122</v>
      </c>
      <c r="I1671" s="559" t="s">
        <v>326</v>
      </c>
      <c r="J1671" s="567" t="s">
        <v>1644</v>
      </c>
      <c r="K1671" s="961" t="s">
        <v>1568</v>
      </c>
      <c r="L1671" s="555" t="str">
        <f t="shared" ca="1" si="287"/>
        <v/>
      </c>
      <c r="M1671" s="494" t="s">
        <v>1569</v>
      </c>
      <c r="N1671" s="555" t="str">
        <f t="shared" ca="1" si="288"/>
        <v/>
      </c>
      <c r="O1671" s="494" t="s">
        <v>1570</v>
      </c>
      <c r="P1671" s="555" t="str">
        <f t="shared" ca="1" si="289"/>
        <v/>
      </c>
      <c r="Q1671" s="494" t="s">
        <v>1645</v>
      </c>
      <c r="R1671" s="494" t="str">
        <f t="shared" si="282"/>
        <v>I1671</v>
      </c>
      <c r="S1671" s="494" t="s">
        <v>1646</v>
      </c>
      <c r="T1671" s="494">
        <v>6</v>
      </c>
      <c r="U1671" s="556" t="str">
        <f t="shared" ca="1" si="285"/>
        <v/>
      </c>
      <c r="V1671" s="494">
        <v>7</v>
      </c>
      <c r="W1671" s="556" t="str">
        <f t="shared" ca="1" si="286"/>
        <v/>
      </c>
      <c r="X1671" s="494" t="s">
        <v>1647</v>
      </c>
      <c r="Y1671" s="547" t="str">
        <f t="shared" ca="1" si="290"/>
        <v/>
      </c>
      <c r="Z1671" s="494" t="s">
        <v>1583</v>
      </c>
      <c r="AA1671" s="547" t="str">
        <f t="shared" ca="1" si="291"/>
        <v/>
      </c>
      <c r="AB1671" s="494" t="s">
        <v>173</v>
      </c>
      <c r="AC1671" s="547" t="str">
        <f t="shared" ca="1" si="292"/>
        <v/>
      </c>
      <c r="AD1671" s="557"/>
      <c r="AE1671" s="958"/>
    </row>
    <row r="1672" spans="1:31" ht="15" customHeight="1">
      <c r="A1672" s="957" t="str">
        <f t="shared" ca="1" si="283"/>
        <v>16/17</v>
      </c>
      <c r="B1672" s="566" t="s">
        <v>1250</v>
      </c>
      <c r="C1672" s="567" t="str">
        <f t="shared" ca="1" si="284"/>
        <v>Green Star - Office</v>
      </c>
      <c r="D1672" s="958">
        <v>3</v>
      </c>
      <c r="E1672" s="959" t="s">
        <v>306</v>
      </c>
      <c r="F1672" s="558" t="s">
        <v>1454</v>
      </c>
      <c r="G1672" s="558">
        <v>103</v>
      </c>
      <c r="H1672" s="558" t="s">
        <v>1123</v>
      </c>
      <c r="I1672" s="559" t="s">
        <v>1137</v>
      </c>
      <c r="J1672" s="567" t="s">
        <v>1644</v>
      </c>
      <c r="K1672" s="961" t="s">
        <v>1568</v>
      </c>
      <c r="L1672" s="555" t="str">
        <f t="shared" ca="1" si="287"/>
        <v/>
      </c>
      <c r="M1672" s="494" t="s">
        <v>1569</v>
      </c>
      <c r="N1672" s="555" t="str">
        <f t="shared" ca="1" si="288"/>
        <v/>
      </c>
      <c r="O1672" s="494" t="s">
        <v>1570</v>
      </c>
      <c r="P1672" s="555" t="str">
        <f t="shared" ca="1" si="289"/>
        <v/>
      </c>
      <c r="Q1672" s="494" t="s">
        <v>1645</v>
      </c>
      <c r="R1672" s="494" t="str">
        <f t="shared" si="282"/>
        <v>I1672</v>
      </c>
      <c r="S1672" s="494" t="s">
        <v>1646</v>
      </c>
      <c r="T1672" s="494">
        <v>6</v>
      </c>
      <c r="U1672" s="556" t="str">
        <f t="shared" ca="1" si="285"/>
        <v/>
      </c>
      <c r="V1672" s="494">
        <v>7</v>
      </c>
      <c r="W1672" s="556" t="str">
        <f t="shared" ca="1" si="286"/>
        <v/>
      </c>
      <c r="X1672" s="494" t="s">
        <v>1647</v>
      </c>
      <c r="Y1672" s="547" t="str">
        <f t="shared" ca="1" si="290"/>
        <v/>
      </c>
      <c r="Z1672" s="494" t="s">
        <v>1583</v>
      </c>
      <c r="AA1672" s="547" t="str">
        <f t="shared" ca="1" si="291"/>
        <v/>
      </c>
      <c r="AB1672" s="494" t="s">
        <v>173</v>
      </c>
      <c r="AC1672" s="547" t="str">
        <f t="shared" ca="1" si="292"/>
        <v/>
      </c>
      <c r="AD1672" s="557"/>
      <c r="AE1672" s="958"/>
    </row>
    <row r="1673" spans="1:31" ht="15" customHeight="1">
      <c r="A1673" s="957" t="str">
        <f t="shared" ca="1" si="283"/>
        <v>16/17</v>
      </c>
      <c r="B1673" s="566" t="s">
        <v>1250</v>
      </c>
      <c r="C1673" s="567" t="str">
        <f t="shared" ca="1" si="284"/>
        <v>Green Star - Office</v>
      </c>
      <c r="D1673" s="958">
        <v>3</v>
      </c>
      <c r="E1673" s="959" t="s">
        <v>306</v>
      </c>
      <c r="F1673" s="558" t="s">
        <v>1454</v>
      </c>
      <c r="G1673" s="558">
        <v>51</v>
      </c>
      <c r="H1673" s="558" t="s">
        <v>1124</v>
      </c>
      <c r="I1673" s="559" t="s">
        <v>1139</v>
      </c>
      <c r="J1673" s="567" t="s">
        <v>1644</v>
      </c>
      <c r="K1673" s="961" t="s">
        <v>1568</v>
      </c>
      <c r="L1673" s="555" t="str">
        <f t="shared" ca="1" si="287"/>
        <v/>
      </c>
      <c r="M1673" s="494" t="s">
        <v>1569</v>
      </c>
      <c r="N1673" s="555" t="str">
        <f t="shared" ca="1" si="288"/>
        <v/>
      </c>
      <c r="O1673" s="494" t="s">
        <v>1570</v>
      </c>
      <c r="P1673" s="555" t="str">
        <f t="shared" ca="1" si="289"/>
        <v/>
      </c>
      <c r="Q1673" s="494" t="s">
        <v>1645</v>
      </c>
      <c r="R1673" s="494" t="str">
        <f t="shared" si="282"/>
        <v>I1673</v>
      </c>
      <c r="S1673" s="494" t="s">
        <v>1646</v>
      </c>
      <c r="T1673" s="494">
        <v>6</v>
      </c>
      <c r="U1673" s="556" t="str">
        <f t="shared" ca="1" si="285"/>
        <v/>
      </c>
      <c r="V1673" s="494">
        <v>7</v>
      </c>
      <c r="W1673" s="556" t="str">
        <f t="shared" ca="1" si="286"/>
        <v/>
      </c>
      <c r="X1673" s="494" t="s">
        <v>1647</v>
      </c>
      <c r="Y1673" s="547" t="str">
        <f t="shared" ca="1" si="290"/>
        <v/>
      </c>
      <c r="Z1673" s="494" t="s">
        <v>1583</v>
      </c>
      <c r="AA1673" s="547" t="str">
        <f t="shared" ca="1" si="291"/>
        <v/>
      </c>
      <c r="AB1673" s="494" t="s">
        <v>173</v>
      </c>
      <c r="AC1673" s="547" t="str">
        <f t="shared" ca="1" si="292"/>
        <v/>
      </c>
      <c r="AD1673" s="557"/>
      <c r="AE1673" s="958"/>
    </row>
    <row r="1674" spans="1:31" ht="15" customHeight="1">
      <c r="A1674" s="957" t="str">
        <f t="shared" ca="1" si="283"/>
        <v>16/17</v>
      </c>
      <c r="B1674" s="566" t="s">
        <v>1250</v>
      </c>
      <c r="C1674" s="567" t="str">
        <f t="shared" ca="1" si="284"/>
        <v>Green Star - Office</v>
      </c>
      <c r="D1674" s="958">
        <v>3</v>
      </c>
      <c r="E1674" s="959" t="s">
        <v>306</v>
      </c>
      <c r="F1674" s="558" t="s">
        <v>1454</v>
      </c>
      <c r="G1674" s="558">
        <v>104</v>
      </c>
      <c r="H1674" s="558" t="s">
        <v>1125</v>
      </c>
      <c r="I1674" s="559" t="s">
        <v>1141</v>
      </c>
      <c r="J1674" s="567" t="s">
        <v>1644</v>
      </c>
      <c r="K1674" s="961" t="s">
        <v>1568</v>
      </c>
      <c r="L1674" s="555" t="str">
        <f t="shared" ca="1" si="287"/>
        <v/>
      </c>
      <c r="M1674" s="494" t="s">
        <v>1569</v>
      </c>
      <c r="N1674" s="555" t="str">
        <f t="shared" ca="1" si="288"/>
        <v/>
      </c>
      <c r="O1674" s="494" t="s">
        <v>1570</v>
      </c>
      <c r="P1674" s="555" t="str">
        <f t="shared" ca="1" si="289"/>
        <v/>
      </c>
      <c r="Q1674" s="494" t="s">
        <v>1645</v>
      </c>
      <c r="R1674" s="494" t="str">
        <f t="shared" si="282"/>
        <v>I1674</v>
      </c>
      <c r="S1674" s="494" t="s">
        <v>1646</v>
      </c>
      <c r="T1674" s="494">
        <v>6</v>
      </c>
      <c r="U1674" s="556" t="str">
        <f t="shared" ca="1" si="285"/>
        <v/>
      </c>
      <c r="V1674" s="494">
        <v>7</v>
      </c>
      <c r="W1674" s="556" t="str">
        <f t="shared" ca="1" si="286"/>
        <v/>
      </c>
      <c r="X1674" s="494" t="s">
        <v>1647</v>
      </c>
      <c r="Y1674" s="547" t="str">
        <f t="shared" ca="1" si="290"/>
        <v/>
      </c>
      <c r="Z1674" s="494" t="s">
        <v>1583</v>
      </c>
      <c r="AA1674" s="547" t="str">
        <f t="shared" ca="1" si="291"/>
        <v/>
      </c>
      <c r="AB1674" s="494" t="s">
        <v>173</v>
      </c>
      <c r="AC1674" s="547" t="str">
        <f t="shared" ca="1" si="292"/>
        <v/>
      </c>
      <c r="AD1674" s="557"/>
      <c r="AE1674" s="958"/>
    </row>
    <row r="1675" spans="1:31" ht="15" customHeight="1">
      <c r="A1675" s="957" t="str">
        <f t="shared" ca="1" si="283"/>
        <v>16/17</v>
      </c>
      <c r="B1675" s="566" t="s">
        <v>1250</v>
      </c>
      <c r="C1675" s="567" t="str">
        <f t="shared" ca="1" si="284"/>
        <v>Green Star - Office</v>
      </c>
      <c r="D1675" s="958">
        <v>3</v>
      </c>
      <c r="E1675" s="959" t="s">
        <v>306</v>
      </c>
      <c r="F1675" s="558" t="s">
        <v>1454</v>
      </c>
      <c r="G1675" s="558">
        <v>105</v>
      </c>
      <c r="H1675" s="558" t="s">
        <v>1126</v>
      </c>
      <c r="I1675" s="559" t="s">
        <v>1143</v>
      </c>
      <c r="J1675" s="567" t="s">
        <v>1644</v>
      </c>
      <c r="K1675" s="961" t="s">
        <v>1568</v>
      </c>
      <c r="L1675" s="555" t="str">
        <f t="shared" ca="1" si="287"/>
        <v/>
      </c>
      <c r="M1675" s="494" t="s">
        <v>1569</v>
      </c>
      <c r="N1675" s="555" t="str">
        <f t="shared" ca="1" si="288"/>
        <v/>
      </c>
      <c r="O1675" s="494" t="s">
        <v>1570</v>
      </c>
      <c r="P1675" s="555" t="str">
        <f t="shared" ca="1" si="289"/>
        <v/>
      </c>
      <c r="Q1675" s="494" t="s">
        <v>1645</v>
      </c>
      <c r="R1675" s="494" t="str">
        <f t="shared" si="282"/>
        <v>I1675</v>
      </c>
      <c r="S1675" s="494" t="s">
        <v>1646</v>
      </c>
      <c r="T1675" s="494">
        <v>6</v>
      </c>
      <c r="U1675" s="556" t="str">
        <f t="shared" ca="1" si="285"/>
        <v/>
      </c>
      <c r="V1675" s="494">
        <v>7</v>
      </c>
      <c r="W1675" s="556" t="str">
        <f t="shared" ca="1" si="286"/>
        <v/>
      </c>
      <c r="X1675" s="494" t="s">
        <v>1647</v>
      </c>
      <c r="Y1675" s="547" t="str">
        <f t="shared" ca="1" si="290"/>
        <v/>
      </c>
      <c r="Z1675" s="494" t="s">
        <v>1583</v>
      </c>
      <c r="AA1675" s="547" t="str">
        <f t="shared" ca="1" si="291"/>
        <v/>
      </c>
      <c r="AB1675" s="494" t="s">
        <v>173</v>
      </c>
      <c r="AC1675" s="547" t="str">
        <f t="shared" ca="1" si="292"/>
        <v/>
      </c>
      <c r="AD1675" s="557"/>
      <c r="AE1675" s="958"/>
    </row>
    <row r="1676" spans="1:31" ht="15" customHeight="1">
      <c r="A1676" s="957" t="str">
        <f t="shared" ca="1" si="283"/>
        <v>16/17</v>
      </c>
      <c r="B1676" s="566" t="s">
        <v>1250</v>
      </c>
      <c r="C1676" s="567" t="str">
        <f t="shared" ca="1" si="284"/>
        <v>Green Star - Office</v>
      </c>
      <c r="D1676" s="958">
        <v>3</v>
      </c>
      <c r="E1676" s="959" t="s">
        <v>306</v>
      </c>
      <c r="F1676" s="558" t="s">
        <v>1454</v>
      </c>
      <c r="G1676" s="558">
        <v>73</v>
      </c>
      <c r="H1676" s="558" t="s">
        <v>1132</v>
      </c>
      <c r="I1676" s="559" t="s">
        <v>332</v>
      </c>
      <c r="J1676" s="567" t="s">
        <v>1644</v>
      </c>
      <c r="K1676" s="961" t="s">
        <v>1568</v>
      </c>
      <c r="L1676" s="555" t="str">
        <f t="shared" ca="1" si="287"/>
        <v/>
      </c>
      <c r="M1676" s="494" t="s">
        <v>1569</v>
      </c>
      <c r="N1676" s="555" t="str">
        <f t="shared" ca="1" si="288"/>
        <v/>
      </c>
      <c r="O1676" s="494" t="s">
        <v>1570</v>
      </c>
      <c r="P1676" s="555" t="str">
        <f t="shared" ca="1" si="289"/>
        <v/>
      </c>
      <c r="Q1676" s="494" t="s">
        <v>1645</v>
      </c>
      <c r="R1676" s="494" t="str">
        <f t="shared" si="282"/>
        <v>I1676</v>
      </c>
      <c r="S1676" s="494" t="s">
        <v>1646</v>
      </c>
      <c r="T1676" s="494">
        <v>6</v>
      </c>
      <c r="U1676" s="556" t="str">
        <f t="shared" ca="1" si="285"/>
        <v/>
      </c>
      <c r="V1676" s="494">
        <v>7</v>
      </c>
      <c r="W1676" s="556" t="str">
        <f t="shared" ca="1" si="286"/>
        <v/>
      </c>
      <c r="X1676" s="494" t="s">
        <v>1647</v>
      </c>
      <c r="Y1676" s="547" t="str">
        <f t="shared" ca="1" si="290"/>
        <v/>
      </c>
      <c r="Z1676" s="494" t="s">
        <v>1583</v>
      </c>
      <c r="AA1676" s="547" t="str">
        <f t="shared" ca="1" si="291"/>
        <v/>
      </c>
      <c r="AB1676" s="494" t="s">
        <v>173</v>
      </c>
      <c r="AC1676" s="547" t="str">
        <f t="shared" ca="1" si="292"/>
        <v/>
      </c>
      <c r="AD1676" s="557"/>
      <c r="AE1676" s="958"/>
    </row>
    <row r="1677" spans="1:31" ht="15" customHeight="1">
      <c r="A1677" s="957" t="str">
        <f t="shared" ca="1" si="283"/>
        <v>16/17</v>
      </c>
      <c r="B1677" s="566" t="s">
        <v>1250</v>
      </c>
      <c r="C1677" s="567" t="str">
        <f t="shared" ca="1" si="284"/>
        <v>Green Star - Office</v>
      </c>
      <c r="D1677" s="958">
        <v>3</v>
      </c>
      <c r="E1677" s="959" t="s">
        <v>306</v>
      </c>
      <c r="F1677" s="558" t="s">
        <v>1454</v>
      </c>
      <c r="G1677" s="558">
        <v>58</v>
      </c>
      <c r="H1677" s="558" t="s">
        <v>1134</v>
      </c>
      <c r="I1677" s="559" t="s">
        <v>1145</v>
      </c>
      <c r="J1677" s="567" t="s">
        <v>1644</v>
      </c>
      <c r="K1677" s="961" t="s">
        <v>1568</v>
      </c>
      <c r="L1677" s="555" t="str">
        <f t="shared" ca="1" si="287"/>
        <v/>
      </c>
      <c r="M1677" s="494" t="s">
        <v>1569</v>
      </c>
      <c r="N1677" s="555" t="str">
        <f t="shared" ca="1" si="288"/>
        <v/>
      </c>
      <c r="O1677" s="494" t="s">
        <v>1570</v>
      </c>
      <c r="P1677" s="555" t="str">
        <f t="shared" ca="1" si="289"/>
        <v/>
      </c>
      <c r="Q1677" s="494" t="s">
        <v>1645</v>
      </c>
      <c r="R1677" s="494" t="str">
        <f t="shared" ref="R1677:R1685" si="293">CONCATENATE("I",ROW(J1677))</f>
        <v>I1677</v>
      </c>
      <c r="S1677" s="494" t="s">
        <v>1646</v>
      </c>
      <c r="T1677" s="494">
        <v>6</v>
      </c>
      <c r="U1677" s="556" t="str">
        <f t="shared" ca="1" si="285"/>
        <v/>
      </c>
      <c r="V1677" s="494">
        <v>7</v>
      </c>
      <c r="W1677" s="556" t="str">
        <f t="shared" ca="1" si="286"/>
        <v/>
      </c>
      <c r="X1677" s="494" t="s">
        <v>1647</v>
      </c>
      <c r="Y1677" s="547" t="str">
        <f t="shared" ca="1" si="290"/>
        <v/>
      </c>
      <c r="Z1677" s="494" t="s">
        <v>1583</v>
      </c>
      <c r="AA1677" s="547" t="str">
        <f t="shared" ca="1" si="291"/>
        <v/>
      </c>
      <c r="AB1677" s="494" t="s">
        <v>173</v>
      </c>
      <c r="AC1677" s="547" t="str">
        <f t="shared" ca="1" si="292"/>
        <v/>
      </c>
      <c r="AD1677" s="557"/>
      <c r="AE1677" s="958"/>
    </row>
    <row r="1678" spans="1:31" ht="15" customHeight="1">
      <c r="A1678" s="957" t="str">
        <f t="shared" ca="1" si="283"/>
        <v>16/17</v>
      </c>
      <c r="B1678" s="566" t="s">
        <v>1250</v>
      </c>
      <c r="C1678" s="567" t="str">
        <f t="shared" ca="1" si="284"/>
        <v>Green Star - Office</v>
      </c>
      <c r="D1678" s="958">
        <v>3</v>
      </c>
      <c r="E1678" s="959" t="s">
        <v>306</v>
      </c>
      <c r="F1678" s="558" t="s">
        <v>1454</v>
      </c>
      <c r="G1678" s="558">
        <v>134</v>
      </c>
      <c r="H1678" s="558" t="s">
        <v>1136</v>
      </c>
      <c r="I1678" s="559" t="s">
        <v>597</v>
      </c>
      <c r="J1678" s="567" t="s">
        <v>1644</v>
      </c>
      <c r="K1678" s="961" t="s">
        <v>1568</v>
      </c>
      <c r="L1678" s="555" t="str">
        <f t="shared" ca="1" si="287"/>
        <v/>
      </c>
      <c r="M1678" s="494" t="s">
        <v>1569</v>
      </c>
      <c r="N1678" s="555" t="str">
        <f t="shared" ca="1" si="288"/>
        <v/>
      </c>
      <c r="O1678" s="494" t="s">
        <v>1570</v>
      </c>
      <c r="P1678" s="555" t="str">
        <f t="shared" ca="1" si="289"/>
        <v/>
      </c>
      <c r="Q1678" s="494" t="s">
        <v>1645</v>
      </c>
      <c r="R1678" s="494" t="str">
        <f t="shared" si="293"/>
        <v>I1678</v>
      </c>
      <c r="S1678" s="494" t="s">
        <v>1646</v>
      </c>
      <c r="T1678" s="494">
        <v>6</v>
      </c>
      <c r="U1678" s="556" t="str">
        <f t="shared" ca="1" si="285"/>
        <v/>
      </c>
      <c r="V1678" s="494">
        <v>7</v>
      </c>
      <c r="W1678" s="556" t="str">
        <f t="shared" ca="1" si="286"/>
        <v/>
      </c>
      <c r="X1678" s="494" t="s">
        <v>1647</v>
      </c>
      <c r="Y1678" s="547" t="str">
        <f t="shared" ca="1" si="290"/>
        <v/>
      </c>
      <c r="Z1678" s="494" t="s">
        <v>1583</v>
      </c>
      <c r="AA1678" s="547" t="str">
        <f t="shared" ca="1" si="291"/>
        <v/>
      </c>
      <c r="AB1678" s="494" t="s">
        <v>173</v>
      </c>
      <c r="AC1678" s="547" t="str">
        <f t="shared" ca="1" si="292"/>
        <v/>
      </c>
      <c r="AD1678" s="557"/>
      <c r="AE1678" s="958"/>
    </row>
    <row r="1679" spans="1:31" ht="15" customHeight="1">
      <c r="A1679" s="957" t="str">
        <f t="shared" ca="1" si="283"/>
        <v>16/17</v>
      </c>
      <c r="B1679" s="566" t="s">
        <v>1250</v>
      </c>
      <c r="C1679" s="567" t="str">
        <f t="shared" ca="1" si="284"/>
        <v>Green Star - Office</v>
      </c>
      <c r="D1679" s="958">
        <v>3</v>
      </c>
      <c r="E1679" s="959" t="s">
        <v>306</v>
      </c>
      <c r="F1679" s="558" t="s">
        <v>1454</v>
      </c>
      <c r="G1679" s="558">
        <v>109</v>
      </c>
      <c r="H1679" s="558" t="s">
        <v>1138</v>
      </c>
      <c r="I1679" s="559" t="s">
        <v>314</v>
      </c>
      <c r="J1679" s="567" t="s">
        <v>1644</v>
      </c>
      <c r="K1679" s="961" t="s">
        <v>1568</v>
      </c>
      <c r="L1679" s="555" t="str">
        <f t="shared" ca="1" si="287"/>
        <v/>
      </c>
      <c r="M1679" s="494" t="s">
        <v>1569</v>
      </c>
      <c r="N1679" s="555" t="str">
        <f t="shared" ca="1" si="288"/>
        <v/>
      </c>
      <c r="O1679" s="494" t="s">
        <v>1570</v>
      </c>
      <c r="P1679" s="555" t="str">
        <f t="shared" ca="1" si="289"/>
        <v/>
      </c>
      <c r="Q1679" s="494" t="s">
        <v>1645</v>
      </c>
      <c r="R1679" s="494" t="str">
        <f t="shared" si="293"/>
        <v>I1679</v>
      </c>
      <c r="S1679" s="494" t="s">
        <v>1646</v>
      </c>
      <c r="T1679" s="494">
        <v>6</v>
      </c>
      <c r="U1679" s="556" t="str">
        <f t="shared" ca="1" si="285"/>
        <v/>
      </c>
      <c r="V1679" s="494">
        <v>7</v>
      </c>
      <c r="W1679" s="556" t="str">
        <f t="shared" ca="1" si="286"/>
        <v/>
      </c>
      <c r="X1679" s="494" t="s">
        <v>1647</v>
      </c>
      <c r="Y1679" s="547" t="str">
        <f t="shared" ca="1" si="290"/>
        <v/>
      </c>
      <c r="Z1679" s="494" t="s">
        <v>1583</v>
      </c>
      <c r="AA1679" s="547" t="str">
        <f t="shared" ca="1" si="291"/>
        <v/>
      </c>
      <c r="AB1679" s="494" t="s">
        <v>173</v>
      </c>
      <c r="AC1679" s="547" t="str">
        <f t="shared" ca="1" si="292"/>
        <v/>
      </c>
      <c r="AD1679" s="557"/>
      <c r="AE1679" s="958"/>
    </row>
    <row r="1680" spans="1:31" ht="15" customHeight="1">
      <c r="A1680" s="957" t="str">
        <f t="shared" ca="1" si="283"/>
        <v>16/17</v>
      </c>
      <c r="B1680" s="566" t="s">
        <v>1250</v>
      </c>
      <c r="C1680" s="567" t="str">
        <f t="shared" ca="1" si="284"/>
        <v>Green Star - Office</v>
      </c>
      <c r="D1680" s="958">
        <v>3</v>
      </c>
      <c r="E1680" s="959" t="s">
        <v>306</v>
      </c>
      <c r="F1680" s="558" t="s">
        <v>1454</v>
      </c>
      <c r="G1680" s="558">
        <v>110</v>
      </c>
      <c r="H1680" s="558" t="s">
        <v>1140</v>
      </c>
      <c r="I1680" s="559" t="s">
        <v>1128</v>
      </c>
      <c r="J1680" s="567" t="s">
        <v>1644</v>
      </c>
      <c r="K1680" s="961" t="s">
        <v>1568</v>
      </c>
      <c r="L1680" s="555" t="str">
        <f t="shared" ca="1" si="287"/>
        <v/>
      </c>
      <c r="M1680" s="494" t="s">
        <v>1569</v>
      </c>
      <c r="N1680" s="555" t="str">
        <f t="shared" ca="1" si="288"/>
        <v/>
      </c>
      <c r="O1680" s="494" t="s">
        <v>1570</v>
      </c>
      <c r="P1680" s="555" t="str">
        <f t="shared" ca="1" si="289"/>
        <v/>
      </c>
      <c r="Q1680" s="494" t="s">
        <v>1645</v>
      </c>
      <c r="R1680" s="494" t="str">
        <f t="shared" si="293"/>
        <v>I1680</v>
      </c>
      <c r="S1680" s="494" t="s">
        <v>1648</v>
      </c>
      <c r="T1680" s="494">
        <v>6</v>
      </c>
      <c r="U1680" s="556" t="str">
        <f t="shared" ca="1" si="285"/>
        <v/>
      </c>
      <c r="V1680" s="494">
        <v>7</v>
      </c>
      <c r="W1680" s="556" t="str">
        <f t="shared" ca="1" si="286"/>
        <v/>
      </c>
      <c r="X1680" s="494" t="s">
        <v>1647</v>
      </c>
      <c r="Y1680" s="547" t="str">
        <f t="shared" ca="1" si="290"/>
        <v/>
      </c>
      <c r="Z1680" s="494" t="s">
        <v>1583</v>
      </c>
      <c r="AA1680" s="547" t="str">
        <f t="shared" ca="1" si="291"/>
        <v/>
      </c>
      <c r="AB1680" s="494" t="s">
        <v>173</v>
      </c>
      <c r="AC1680" s="547" t="str">
        <f t="shared" ca="1" si="292"/>
        <v/>
      </c>
      <c r="AD1680" s="557"/>
      <c r="AE1680" s="958"/>
    </row>
    <row r="1681" spans="1:31" ht="15" customHeight="1">
      <c r="A1681" s="957" t="str">
        <f t="shared" ca="1" si="283"/>
        <v>16/17</v>
      </c>
      <c r="B1681" s="566" t="s">
        <v>1250</v>
      </c>
      <c r="C1681" s="567" t="str">
        <f t="shared" ca="1" si="284"/>
        <v>Green Star - Office</v>
      </c>
      <c r="D1681" s="958">
        <v>3</v>
      </c>
      <c r="E1681" s="959" t="s">
        <v>306</v>
      </c>
      <c r="F1681" s="558" t="s">
        <v>1454</v>
      </c>
      <c r="G1681" s="558">
        <v>110</v>
      </c>
      <c r="H1681" s="558" t="s">
        <v>1140</v>
      </c>
      <c r="I1681" s="559" t="s">
        <v>1129</v>
      </c>
      <c r="J1681" s="567" t="s">
        <v>1644</v>
      </c>
      <c r="K1681" s="961" t="s">
        <v>1568</v>
      </c>
      <c r="L1681" s="555" t="str">
        <f t="shared" ca="1" si="287"/>
        <v/>
      </c>
      <c r="M1681" s="494" t="s">
        <v>1569</v>
      </c>
      <c r="N1681" s="555" t="str">
        <f t="shared" ca="1" si="288"/>
        <v/>
      </c>
      <c r="O1681" s="494" t="s">
        <v>1570</v>
      </c>
      <c r="P1681" s="555" t="str">
        <f t="shared" ca="1" si="289"/>
        <v/>
      </c>
      <c r="Q1681" s="494" t="s">
        <v>1645</v>
      </c>
      <c r="R1681" s="494" t="str">
        <f t="shared" si="293"/>
        <v>I1681</v>
      </c>
      <c r="S1681" s="494" t="s">
        <v>1648</v>
      </c>
      <c r="T1681" s="494">
        <v>6</v>
      </c>
      <c r="U1681" s="556" t="str">
        <f t="shared" ca="1" si="285"/>
        <v/>
      </c>
      <c r="V1681" s="494">
        <v>7</v>
      </c>
      <c r="W1681" s="556" t="str">
        <f t="shared" ca="1" si="286"/>
        <v/>
      </c>
      <c r="X1681" s="494" t="s">
        <v>1647</v>
      </c>
      <c r="Y1681" s="547" t="str">
        <f t="shared" ca="1" si="290"/>
        <v/>
      </c>
      <c r="Z1681" s="494" t="s">
        <v>1583</v>
      </c>
      <c r="AA1681" s="547" t="str">
        <f t="shared" ca="1" si="291"/>
        <v/>
      </c>
      <c r="AB1681" s="494" t="s">
        <v>173</v>
      </c>
      <c r="AC1681" s="547" t="str">
        <f t="shared" ca="1" si="292"/>
        <v/>
      </c>
      <c r="AD1681" s="557"/>
      <c r="AE1681" s="958"/>
    </row>
    <row r="1682" spans="1:31" ht="15" customHeight="1">
      <c r="A1682" s="957" t="str">
        <f t="shared" ca="1" si="283"/>
        <v>16/17</v>
      </c>
      <c r="B1682" s="566" t="s">
        <v>1250</v>
      </c>
      <c r="C1682" s="567" t="str">
        <f t="shared" ca="1" si="284"/>
        <v>Green Star - Office</v>
      </c>
      <c r="D1682" s="958">
        <v>3</v>
      </c>
      <c r="E1682" s="959" t="s">
        <v>306</v>
      </c>
      <c r="F1682" s="558" t="s">
        <v>1454</v>
      </c>
      <c r="G1682" s="558">
        <v>110</v>
      </c>
      <c r="H1682" s="558" t="s">
        <v>1140</v>
      </c>
      <c r="I1682" s="559" t="s">
        <v>1260</v>
      </c>
      <c r="J1682" s="567" t="s">
        <v>1644</v>
      </c>
      <c r="K1682" s="961" t="s">
        <v>1568</v>
      </c>
      <c r="L1682" s="555" t="str">
        <f t="shared" ca="1" si="287"/>
        <v/>
      </c>
      <c r="M1682" s="494" t="s">
        <v>1569</v>
      </c>
      <c r="N1682" s="555" t="str">
        <f t="shared" ca="1" si="288"/>
        <v/>
      </c>
      <c r="O1682" s="494" t="s">
        <v>1570</v>
      </c>
      <c r="P1682" s="555" t="str">
        <f t="shared" ca="1" si="289"/>
        <v/>
      </c>
      <c r="Q1682" s="494" t="s">
        <v>1645</v>
      </c>
      <c r="R1682" s="494" t="str">
        <f t="shared" si="293"/>
        <v>I1682</v>
      </c>
      <c r="S1682" s="494" t="s">
        <v>1648</v>
      </c>
      <c r="T1682" s="494">
        <v>6</v>
      </c>
      <c r="U1682" s="556" t="str">
        <f t="shared" ca="1" si="285"/>
        <v/>
      </c>
      <c r="V1682" s="494">
        <v>7</v>
      </c>
      <c r="W1682" s="556" t="str">
        <f t="shared" ca="1" si="286"/>
        <v/>
      </c>
      <c r="X1682" s="494" t="s">
        <v>1647</v>
      </c>
      <c r="Y1682" s="547" t="str">
        <f t="shared" ca="1" si="290"/>
        <v/>
      </c>
      <c r="Z1682" s="494" t="s">
        <v>1583</v>
      </c>
      <c r="AA1682" s="547" t="str">
        <f t="shared" ca="1" si="291"/>
        <v/>
      </c>
      <c r="AB1682" s="494" t="s">
        <v>173</v>
      </c>
      <c r="AC1682" s="547" t="str">
        <f t="shared" ca="1" si="292"/>
        <v/>
      </c>
      <c r="AD1682" s="557"/>
      <c r="AE1682" s="958"/>
    </row>
    <row r="1683" spans="1:31" ht="15" customHeight="1">
      <c r="A1683" s="957" t="str">
        <f t="shared" ca="1" si="283"/>
        <v>16/17</v>
      </c>
      <c r="B1683" s="566" t="s">
        <v>1250</v>
      </c>
      <c r="C1683" s="567" t="str">
        <f t="shared" ca="1" si="284"/>
        <v>Green Star - Office</v>
      </c>
      <c r="D1683" s="958">
        <v>3</v>
      </c>
      <c r="E1683" s="959" t="s">
        <v>306</v>
      </c>
      <c r="F1683" s="558" t="s">
        <v>1454</v>
      </c>
      <c r="G1683" s="558">
        <v>111</v>
      </c>
      <c r="H1683" s="558" t="s">
        <v>1142</v>
      </c>
      <c r="I1683" s="559" t="s">
        <v>1133</v>
      </c>
      <c r="J1683" s="567" t="s">
        <v>1644</v>
      </c>
      <c r="K1683" s="961" t="s">
        <v>1568</v>
      </c>
      <c r="L1683" s="555" t="str">
        <f t="shared" ca="1" si="287"/>
        <v/>
      </c>
      <c r="M1683" s="494" t="s">
        <v>1569</v>
      </c>
      <c r="N1683" s="555" t="str">
        <f t="shared" ca="1" si="288"/>
        <v/>
      </c>
      <c r="O1683" s="494" t="s">
        <v>1570</v>
      </c>
      <c r="P1683" s="555" t="str">
        <f t="shared" ca="1" si="289"/>
        <v/>
      </c>
      <c r="Q1683" s="494" t="s">
        <v>1645</v>
      </c>
      <c r="R1683" s="494" t="str">
        <f t="shared" si="293"/>
        <v>I1683</v>
      </c>
      <c r="S1683" s="494" t="s">
        <v>1646</v>
      </c>
      <c r="T1683" s="494">
        <v>6</v>
      </c>
      <c r="U1683" s="556" t="str">
        <f t="shared" ca="1" si="285"/>
        <v/>
      </c>
      <c r="V1683" s="494">
        <v>7</v>
      </c>
      <c r="W1683" s="556" t="str">
        <f t="shared" ca="1" si="286"/>
        <v/>
      </c>
      <c r="X1683" s="494" t="s">
        <v>1647</v>
      </c>
      <c r="Y1683" s="547" t="str">
        <f t="shared" ca="1" si="290"/>
        <v/>
      </c>
      <c r="Z1683" s="494" t="s">
        <v>1583</v>
      </c>
      <c r="AA1683" s="547" t="str">
        <f t="shared" ca="1" si="291"/>
        <v/>
      </c>
      <c r="AB1683" s="494" t="s">
        <v>173</v>
      </c>
      <c r="AC1683" s="547" t="str">
        <f t="shared" ca="1" si="292"/>
        <v/>
      </c>
      <c r="AD1683" s="557"/>
      <c r="AE1683" s="958"/>
    </row>
    <row r="1684" spans="1:31" ht="15" customHeight="1">
      <c r="A1684" s="957" t="str">
        <f t="shared" ca="1" si="283"/>
        <v>16/17</v>
      </c>
      <c r="B1684" s="566" t="s">
        <v>1250</v>
      </c>
      <c r="C1684" s="567" t="str">
        <f t="shared" ca="1" si="284"/>
        <v>Green Star - Office</v>
      </c>
      <c r="D1684" s="958">
        <v>3</v>
      </c>
      <c r="E1684" s="959" t="s">
        <v>306</v>
      </c>
      <c r="F1684" s="558" t="s">
        <v>1454</v>
      </c>
      <c r="G1684" s="558">
        <v>76</v>
      </c>
      <c r="H1684" s="558" t="s">
        <v>1144</v>
      </c>
      <c r="I1684" s="559" t="s">
        <v>1262</v>
      </c>
      <c r="J1684" s="567" t="s">
        <v>1644</v>
      </c>
      <c r="K1684" s="961" t="s">
        <v>1568</v>
      </c>
      <c r="L1684" s="555" t="str">
        <f t="shared" ca="1" si="287"/>
        <v/>
      </c>
      <c r="M1684" s="494" t="s">
        <v>1569</v>
      </c>
      <c r="N1684" s="555" t="str">
        <f t="shared" ca="1" si="288"/>
        <v/>
      </c>
      <c r="O1684" s="494" t="s">
        <v>1570</v>
      </c>
      <c r="P1684" s="555" t="str">
        <f t="shared" ca="1" si="289"/>
        <v/>
      </c>
      <c r="Q1684" s="494" t="s">
        <v>1645</v>
      </c>
      <c r="R1684" s="494" t="str">
        <f t="shared" si="293"/>
        <v>I1684</v>
      </c>
      <c r="S1684" s="494" t="s">
        <v>1646</v>
      </c>
      <c r="T1684" s="494">
        <v>6</v>
      </c>
      <c r="U1684" s="556" t="str">
        <f t="shared" ca="1" si="285"/>
        <v/>
      </c>
      <c r="V1684" s="494">
        <v>7</v>
      </c>
      <c r="W1684" s="556" t="str">
        <f t="shared" ca="1" si="286"/>
        <v/>
      </c>
      <c r="X1684" s="494" t="s">
        <v>1647</v>
      </c>
      <c r="Y1684" s="547" t="str">
        <f t="shared" ca="1" si="290"/>
        <v/>
      </c>
      <c r="Z1684" s="494" t="s">
        <v>1583</v>
      </c>
      <c r="AA1684" s="547" t="str">
        <f t="shared" ca="1" si="291"/>
        <v/>
      </c>
      <c r="AB1684" s="494" t="s">
        <v>173</v>
      </c>
      <c r="AC1684" s="547" t="str">
        <f t="shared" ca="1" si="292"/>
        <v/>
      </c>
      <c r="AD1684" s="557"/>
      <c r="AE1684" s="958"/>
    </row>
    <row r="1685" spans="1:31" ht="15" customHeight="1">
      <c r="A1685" s="957" t="str">
        <f t="shared" ca="1" si="283"/>
        <v>16/17</v>
      </c>
      <c r="B1685" s="566" t="s">
        <v>1250</v>
      </c>
      <c r="C1685" s="567" t="str">
        <f t="shared" ca="1" si="284"/>
        <v>Green Star - Office</v>
      </c>
      <c r="D1685" s="958">
        <v>3</v>
      </c>
      <c r="E1685" s="959" t="s">
        <v>306</v>
      </c>
      <c r="F1685" s="558" t="s">
        <v>1454</v>
      </c>
      <c r="G1685" s="558">
        <v>78</v>
      </c>
      <c r="H1685" s="558" t="s">
        <v>1146</v>
      </c>
      <c r="I1685" s="559" t="s">
        <v>1698</v>
      </c>
      <c r="J1685" s="567" t="s">
        <v>1644</v>
      </c>
      <c r="K1685" s="961" t="s">
        <v>1568</v>
      </c>
      <c r="L1685" s="555" t="str">
        <f t="shared" ca="1" si="287"/>
        <v/>
      </c>
      <c r="M1685" s="494" t="s">
        <v>1569</v>
      </c>
      <c r="N1685" s="555" t="str">
        <f t="shared" ca="1" si="288"/>
        <v/>
      </c>
      <c r="O1685" s="494" t="s">
        <v>1570</v>
      </c>
      <c r="P1685" s="555" t="str">
        <f t="shared" ca="1" si="289"/>
        <v/>
      </c>
      <c r="Q1685" s="494" t="s">
        <v>1645</v>
      </c>
      <c r="R1685" s="494" t="str">
        <f t="shared" si="293"/>
        <v>I1685</v>
      </c>
      <c r="S1685" s="494" t="s">
        <v>1646</v>
      </c>
      <c r="T1685" s="494">
        <v>6</v>
      </c>
      <c r="U1685" s="556" t="str">
        <f t="shared" ca="1" si="285"/>
        <v/>
      </c>
      <c r="V1685" s="494">
        <v>7</v>
      </c>
      <c r="W1685" s="556" t="str">
        <f t="shared" ca="1" si="286"/>
        <v/>
      </c>
      <c r="X1685" s="494" t="s">
        <v>1647</v>
      </c>
      <c r="Y1685" s="547" t="str">
        <f t="shared" ca="1" si="290"/>
        <v/>
      </c>
      <c r="Z1685" s="494" t="s">
        <v>1583</v>
      </c>
      <c r="AA1685" s="547" t="str">
        <f t="shared" ca="1" si="291"/>
        <v/>
      </c>
      <c r="AB1685" s="494" t="s">
        <v>173</v>
      </c>
      <c r="AC1685" s="547" t="str">
        <f t="shared" ca="1" si="292"/>
        <v/>
      </c>
      <c r="AD1685" s="557"/>
      <c r="AE1685" s="958"/>
    </row>
    <row r="1686" spans="1:31" ht="15" customHeight="1">
      <c r="A1686" s="957" t="str">
        <f t="shared" ca="1" si="283"/>
        <v>16/17</v>
      </c>
      <c r="B1686" s="566" t="s">
        <v>1250</v>
      </c>
      <c r="C1686" s="567" t="str">
        <f t="shared" ca="1" si="284"/>
        <v>Green Star - Office</v>
      </c>
      <c r="D1686" s="958">
        <v>3</v>
      </c>
      <c r="E1686" s="959" t="s">
        <v>335</v>
      </c>
      <c r="F1686" s="558" t="s">
        <v>1455</v>
      </c>
      <c r="G1686" s="558">
        <v>154</v>
      </c>
      <c r="H1686" s="558" t="s">
        <v>1576</v>
      </c>
      <c r="I1686" s="559" t="s">
        <v>338</v>
      </c>
      <c r="J1686" s="567" t="s">
        <v>1644</v>
      </c>
      <c r="K1686" s="961" t="s">
        <v>1568</v>
      </c>
      <c r="L1686" s="555" t="str">
        <f t="shared" ca="1" si="287"/>
        <v/>
      </c>
      <c r="M1686" s="494" t="s">
        <v>1569</v>
      </c>
      <c r="N1686" s="555" t="str">
        <f t="shared" ca="1" si="288"/>
        <v/>
      </c>
      <c r="O1686" s="494" t="s">
        <v>1570</v>
      </c>
      <c r="P1686" s="555" t="str">
        <f t="shared" ca="1" si="289"/>
        <v/>
      </c>
      <c r="Q1686" s="494" t="s">
        <v>1645</v>
      </c>
      <c r="R1686" s="494" t="str">
        <f t="shared" si="282"/>
        <v>I1686</v>
      </c>
      <c r="S1686" s="494" t="s">
        <v>1646</v>
      </c>
      <c r="T1686" s="494">
        <v>6</v>
      </c>
      <c r="U1686" s="556" t="str">
        <f t="shared" ca="1" si="285"/>
        <v/>
      </c>
      <c r="V1686" s="494">
        <v>7</v>
      </c>
      <c r="W1686" s="556" t="str">
        <f t="shared" ca="1" si="286"/>
        <v/>
      </c>
      <c r="X1686" s="494" t="s">
        <v>1647</v>
      </c>
      <c r="Y1686" s="547" t="str">
        <f t="shared" ca="1" si="290"/>
        <v/>
      </c>
      <c r="Z1686" s="494" t="s">
        <v>1583</v>
      </c>
      <c r="AA1686" s="547" t="str">
        <f t="shared" ca="1" si="291"/>
        <v/>
      </c>
      <c r="AB1686" s="494" t="s">
        <v>173</v>
      </c>
      <c r="AC1686" s="547" t="str">
        <f t="shared" ca="1" si="292"/>
        <v/>
      </c>
      <c r="AD1686" s="557"/>
      <c r="AE1686" s="958"/>
    </row>
    <row r="1687" spans="1:31" ht="15" customHeight="1">
      <c r="A1687" s="957" t="str">
        <f t="shared" ca="1" si="283"/>
        <v>16/17</v>
      </c>
      <c r="B1687" s="566" t="s">
        <v>1250</v>
      </c>
      <c r="C1687" s="567" t="str">
        <f t="shared" ca="1" si="284"/>
        <v>Green Star - Office</v>
      </c>
      <c r="D1687" s="958">
        <v>3</v>
      </c>
      <c r="E1687" s="959" t="s">
        <v>335</v>
      </c>
      <c r="F1687" s="558" t="s">
        <v>1455</v>
      </c>
      <c r="G1687" s="558">
        <v>130</v>
      </c>
      <c r="H1687" s="558" t="s">
        <v>1153</v>
      </c>
      <c r="I1687" s="559" t="s">
        <v>1720</v>
      </c>
      <c r="J1687" s="567" t="s">
        <v>1644</v>
      </c>
      <c r="K1687" s="961" t="s">
        <v>1568</v>
      </c>
      <c r="L1687" s="555" t="str">
        <f t="shared" ca="1" si="287"/>
        <v/>
      </c>
      <c r="M1687" s="494" t="s">
        <v>1569</v>
      </c>
      <c r="N1687" s="555" t="str">
        <f t="shared" ca="1" si="288"/>
        <v/>
      </c>
      <c r="O1687" s="494" t="s">
        <v>1570</v>
      </c>
      <c r="P1687" s="555" t="str">
        <f t="shared" ca="1" si="289"/>
        <v/>
      </c>
      <c r="Q1687" s="494" t="s">
        <v>1645</v>
      </c>
      <c r="R1687" s="494" t="str">
        <f t="shared" si="282"/>
        <v>I1687</v>
      </c>
      <c r="S1687" s="494" t="s">
        <v>1646</v>
      </c>
      <c r="T1687" s="494">
        <v>6</v>
      </c>
      <c r="U1687" s="556" t="str">
        <f t="shared" ca="1" si="285"/>
        <v/>
      </c>
      <c r="V1687" s="494">
        <v>7</v>
      </c>
      <c r="W1687" s="556" t="str">
        <f t="shared" ca="1" si="286"/>
        <v/>
      </c>
      <c r="X1687" s="494" t="s">
        <v>1647</v>
      </c>
      <c r="Y1687" s="547" t="str">
        <f t="shared" ca="1" si="290"/>
        <v/>
      </c>
      <c r="Z1687" s="494" t="s">
        <v>1583</v>
      </c>
      <c r="AA1687" s="547" t="str">
        <f t="shared" ca="1" si="291"/>
        <v/>
      </c>
      <c r="AB1687" s="494" t="s">
        <v>173</v>
      </c>
      <c r="AC1687" s="547" t="str">
        <f t="shared" ca="1" si="292"/>
        <v/>
      </c>
      <c r="AD1687" s="557"/>
      <c r="AE1687" s="958"/>
    </row>
    <row r="1688" spans="1:31" ht="15" customHeight="1">
      <c r="A1688" s="957" t="str">
        <f t="shared" ca="1" si="283"/>
        <v>16/17</v>
      </c>
      <c r="B1688" s="566" t="s">
        <v>1250</v>
      </c>
      <c r="C1688" s="567" t="str">
        <f t="shared" ca="1" si="284"/>
        <v>Green Star - Office</v>
      </c>
      <c r="D1688" s="958">
        <v>3</v>
      </c>
      <c r="E1688" s="959" t="s">
        <v>335</v>
      </c>
      <c r="F1688" s="558" t="s">
        <v>1455</v>
      </c>
      <c r="G1688" s="558">
        <v>135</v>
      </c>
      <c r="H1688" s="558" t="s">
        <v>1154</v>
      </c>
      <c r="I1688" s="559" t="s">
        <v>1721</v>
      </c>
      <c r="J1688" s="567" t="s">
        <v>1644</v>
      </c>
      <c r="K1688" s="961" t="s">
        <v>1568</v>
      </c>
      <c r="L1688" s="555" t="str">
        <f t="shared" ca="1" si="287"/>
        <v/>
      </c>
      <c r="M1688" s="494" t="s">
        <v>1569</v>
      </c>
      <c r="N1688" s="555" t="str">
        <f t="shared" ca="1" si="288"/>
        <v/>
      </c>
      <c r="O1688" s="494" t="s">
        <v>1570</v>
      </c>
      <c r="P1688" s="555" t="str">
        <f t="shared" ca="1" si="289"/>
        <v/>
      </c>
      <c r="Q1688" s="494" t="s">
        <v>1645</v>
      </c>
      <c r="R1688" s="494" t="str">
        <f t="shared" si="282"/>
        <v>I1688</v>
      </c>
      <c r="S1688" s="494" t="s">
        <v>1648</v>
      </c>
      <c r="T1688" s="494">
        <v>6</v>
      </c>
      <c r="U1688" s="556" t="str">
        <f t="shared" ca="1" si="285"/>
        <v/>
      </c>
      <c r="V1688" s="494">
        <v>7</v>
      </c>
      <c r="W1688" s="556" t="str">
        <f t="shared" ca="1" si="286"/>
        <v/>
      </c>
      <c r="X1688" s="494" t="s">
        <v>1647</v>
      </c>
      <c r="Y1688" s="547" t="str">
        <f t="shared" ca="1" si="290"/>
        <v/>
      </c>
      <c r="Z1688" s="494" t="s">
        <v>1583</v>
      </c>
      <c r="AA1688" s="547" t="str">
        <f t="shared" ca="1" si="291"/>
        <v/>
      </c>
      <c r="AB1688" s="494" t="s">
        <v>173</v>
      </c>
      <c r="AC1688" s="547" t="str">
        <f t="shared" ca="1" si="292"/>
        <v/>
      </c>
      <c r="AD1688" s="557"/>
      <c r="AE1688" s="958"/>
    </row>
    <row r="1689" spans="1:31" ht="15" customHeight="1">
      <c r="A1689" s="957" t="str">
        <f t="shared" ca="1" si="283"/>
        <v>16/17</v>
      </c>
      <c r="B1689" s="566" t="s">
        <v>1250</v>
      </c>
      <c r="C1689" s="567" t="str">
        <f t="shared" ca="1" si="284"/>
        <v>Green Star - Office</v>
      </c>
      <c r="D1689" s="958">
        <v>3</v>
      </c>
      <c r="E1689" s="959" t="s">
        <v>335</v>
      </c>
      <c r="F1689" s="558" t="s">
        <v>1455</v>
      </c>
      <c r="G1689" s="558">
        <v>135</v>
      </c>
      <c r="H1689" s="558" t="s">
        <v>1154</v>
      </c>
      <c r="I1689" s="559" t="s">
        <v>1722</v>
      </c>
      <c r="J1689" s="567" t="s">
        <v>1644</v>
      </c>
      <c r="K1689" s="961" t="s">
        <v>1568</v>
      </c>
      <c r="L1689" s="555" t="str">
        <f t="shared" ca="1" si="287"/>
        <v/>
      </c>
      <c r="M1689" s="494" t="s">
        <v>1569</v>
      </c>
      <c r="N1689" s="555" t="str">
        <f t="shared" ca="1" si="288"/>
        <v/>
      </c>
      <c r="O1689" s="494" t="s">
        <v>1570</v>
      </c>
      <c r="P1689" s="555" t="str">
        <f t="shared" ca="1" si="289"/>
        <v/>
      </c>
      <c r="Q1689" s="494" t="s">
        <v>1645</v>
      </c>
      <c r="R1689" s="494" t="str">
        <f t="shared" si="282"/>
        <v>I1689</v>
      </c>
      <c r="S1689" s="494" t="s">
        <v>1648</v>
      </c>
      <c r="T1689" s="494">
        <v>6</v>
      </c>
      <c r="U1689" s="556" t="str">
        <f t="shared" ca="1" si="285"/>
        <v/>
      </c>
      <c r="V1689" s="494">
        <v>7</v>
      </c>
      <c r="W1689" s="556" t="str">
        <f t="shared" ca="1" si="286"/>
        <v/>
      </c>
      <c r="X1689" s="494" t="s">
        <v>1647</v>
      </c>
      <c r="Y1689" s="547" t="str">
        <f t="shared" ca="1" si="290"/>
        <v/>
      </c>
      <c r="Z1689" s="494" t="s">
        <v>1583</v>
      </c>
      <c r="AA1689" s="547" t="str">
        <f t="shared" ca="1" si="291"/>
        <v/>
      </c>
      <c r="AB1689" s="494" t="s">
        <v>173</v>
      </c>
      <c r="AC1689" s="547" t="str">
        <f t="shared" ca="1" si="292"/>
        <v/>
      </c>
      <c r="AD1689" s="557"/>
      <c r="AE1689" s="958"/>
    </row>
    <row r="1690" spans="1:31" ht="15" customHeight="1">
      <c r="A1690" s="957" t="str">
        <f t="shared" ca="1" si="283"/>
        <v>16/17</v>
      </c>
      <c r="B1690" s="566" t="s">
        <v>1250</v>
      </c>
      <c r="C1690" s="567" t="str">
        <f t="shared" ca="1" si="284"/>
        <v>Green Star - Office</v>
      </c>
      <c r="D1690" s="958">
        <v>3</v>
      </c>
      <c r="E1690" s="959" t="s">
        <v>335</v>
      </c>
      <c r="F1690" s="558" t="s">
        <v>1455</v>
      </c>
      <c r="G1690" s="558">
        <v>136</v>
      </c>
      <c r="H1690" s="558" t="s">
        <v>1156</v>
      </c>
      <c r="I1690" s="559" t="s">
        <v>1723</v>
      </c>
      <c r="J1690" s="567" t="s">
        <v>1644</v>
      </c>
      <c r="K1690" s="961" t="s">
        <v>1568</v>
      </c>
      <c r="L1690" s="555" t="str">
        <f t="shared" ca="1" si="287"/>
        <v/>
      </c>
      <c r="M1690" s="494" t="s">
        <v>1569</v>
      </c>
      <c r="N1690" s="555" t="str">
        <f t="shared" ca="1" si="288"/>
        <v/>
      </c>
      <c r="O1690" s="494" t="s">
        <v>1570</v>
      </c>
      <c r="P1690" s="555" t="str">
        <f t="shared" ca="1" si="289"/>
        <v/>
      </c>
      <c r="Q1690" s="494" t="s">
        <v>1645</v>
      </c>
      <c r="R1690" s="494" t="str">
        <f t="shared" si="282"/>
        <v>I1690</v>
      </c>
      <c r="S1690" s="494" t="s">
        <v>1646</v>
      </c>
      <c r="T1690" s="494">
        <v>6</v>
      </c>
      <c r="U1690" s="556" t="str">
        <f t="shared" ca="1" si="285"/>
        <v/>
      </c>
      <c r="V1690" s="494">
        <v>7</v>
      </c>
      <c r="W1690" s="556" t="str">
        <f t="shared" ca="1" si="286"/>
        <v/>
      </c>
      <c r="X1690" s="494" t="s">
        <v>1647</v>
      </c>
      <c r="Y1690" s="547" t="str">
        <f t="shared" ca="1" si="290"/>
        <v/>
      </c>
      <c r="Z1690" s="494" t="s">
        <v>1583</v>
      </c>
      <c r="AA1690" s="547" t="str">
        <f t="shared" ca="1" si="291"/>
        <v/>
      </c>
      <c r="AB1690" s="494" t="s">
        <v>173</v>
      </c>
      <c r="AC1690" s="547" t="str">
        <f t="shared" ca="1" si="292"/>
        <v/>
      </c>
      <c r="AD1690" s="557"/>
      <c r="AE1690" s="958"/>
    </row>
    <row r="1691" spans="1:31" ht="15" customHeight="1">
      <c r="A1691" s="957" t="str">
        <f t="shared" ca="1" si="283"/>
        <v>16/17</v>
      </c>
      <c r="B1691" s="566" t="s">
        <v>1250</v>
      </c>
      <c r="C1691" s="567" t="str">
        <f t="shared" ca="1" si="284"/>
        <v>Green Star - Office</v>
      </c>
      <c r="D1691" s="958">
        <v>3</v>
      </c>
      <c r="E1691" s="959" t="s">
        <v>335</v>
      </c>
      <c r="F1691" s="558" t="s">
        <v>1455</v>
      </c>
      <c r="G1691" s="558">
        <v>137</v>
      </c>
      <c r="H1691" s="558" t="s">
        <v>1158</v>
      </c>
      <c r="I1691" s="559" t="s">
        <v>1159</v>
      </c>
      <c r="J1691" s="567" t="s">
        <v>1644</v>
      </c>
      <c r="K1691" s="961" t="s">
        <v>1568</v>
      </c>
      <c r="L1691" s="555" t="str">
        <f t="shared" ca="1" si="287"/>
        <v/>
      </c>
      <c r="M1691" s="494" t="s">
        <v>1569</v>
      </c>
      <c r="N1691" s="555" t="str">
        <f t="shared" ca="1" si="288"/>
        <v/>
      </c>
      <c r="O1691" s="494" t="s">
        <v>1570</v>
      </c>
      <c r="P1691" s="555" t="str">
        <f t="shared" ca="1" si="289"/>
        <v/>
      </c>
      <c r="Q1691" s="494" t="s">
        <v>1645</v>
      </c>
      <c r="R1691" s="494" t="str">
        <f t="shared" si="282"/>
        <v>I1691</v>
      </c>
      <c r="S1691" s="494" t="s">
        <v>1646</v>
      </c>
      <c r="T1691" s="494">
        <v>6</v>
      </c>
      <c r="U1691" s="556" t="str">
        <f t="shared" ca="1" si="285"/>
        <v/>
      </c>
      <c r="V1691" s="494">
        <v>7</v>
      </c>
      <c r="W1691" s="556" t="str">
        <f t="shared" ca="1" si="286"/>
        <v/>
      </c>
      <c r="X1691" s="494" t="s">
        <v>1647</v>
      </c>
      <c r="Y1691" s="547" t="str">
        <f t="shared" ca="1" si="290"/>
        <v/>
      </c>
      <c r="Z1691" s="494" t="s">
        <v>1583</v>
      </c>
      <c r="AA1691" s="547" t="str">
        <f t="shared" ca="1" si="291"/>
        <v/>
      </c>
      <c r="AB1691" s="494" t="s">
        <v>173</v>
      </c>
      <c r="AC1691" s="547" t="str">
        <f t="shared" ca="1" si="292"/>
        <v/>
      </c>
      <c r="AD1691" s="557"/>
      <c r="AE1691" s="958"/>
    </row>
    <row r="1692" spans="1:31" ht="15" customHeight="1">
      <c r="A1692" s="957" t="str">
        <f t="shared" ca="1" si="283"/>
        <v>16/17</v>
      </c>
      <c r="B1692" s="566" t="s">
        <v>1250</v>
      </c>
      <c r="C1692" s="567" t="str">
        <f t="shared" ca="1" si="284"/>
        <v>Green Star - Office</v>
      </c>
      <c r="D1692" s="958">
        <v>3</v>
      </c>
      <c r="E1692" s="959" t="s">
        <v>335</v>
      </c>
      <c r="F1692" s="558" t="s">
        <v>1455</v>
      </c>
      <c r="G1692" s="558">
        <v>137</v>
      </c>
      <c r="H1692" s="558" t="s">
        <v>1158</v>
      </c>
      <c r="I1692" s="559" t="s">
        <v>1724</v>
      </c>
      <c r="J1692" s="567" t="s">
        <v>1644</v>
      </c>
      <c r="K1692" s="961" t="s">
        <v>1568</v>
      </c>
      <c r="L1692" s="555" t="str">
        <f t="shared" ca="1" si="287"/>
        <v/>
      </c>
      <c r="M1692" s="494" t="s">
        <v>1569</v>
      </c>
      <c r="N1692" s="555" t="str">
        <f t="shared" ca="1" si="288"/>
        <v/>
      </c>
      <c r="O1692" s="494" t="s">
        <v>1570</v>
      </c>
      <c r="P1692" s="555" t="str">
        <f t="shared" ca="1" si="289"/>
        <v/>
      </c>
      <c r="Q1692" s="494" t="s">
        <v>1645</v>
      </c>
      <c r="R1692" s="494" t="str">
        <f t="shared" si="282"/>
        <v>I1692</v>
      </c>
      <c r="S1692" s="494" t="s">
        <v>1648</v>
      </c>
      <c r="T1692" s="494">
        <v>6</v>
      </c>
      <c r="U1692" s="556" t="str">
        <f t="shared" ca="1" si="285"/>
        <v/>
      </c>
      <c r="V1692" s="494">
        <v>7</v>
      </c>
      <c r="W1692" s="556" t="str">
        <f t="shared" ca="1" si="286"/>
        <v/>
      </c>
      <c r="X1692" s="494" t="s">
        <v>1647</v>
      </c>
      <c r="Y1692" s="547" t="str">
        <f t="shared" ca="1" si="290"/>
        <v/>
      </c>
      <c r="Z1692" s="494" t="s">
        <v>1583</v>
      </c>
      <c r="AA1692" s="547" t="str">
        <f t="shared" ca="1" si="291"/>
        <v/>
      </c>
      <c r="AB1692" s="494" t="s">
        <v>173</v>
      </c>
      <c r="AC1692" s="547" t="str">
        <f t="shared" ca="1" si="292"/>
        <v/>
      </c>
      <c r="AD1692" s="557"/>
      <c r="AE1692" s="958"/>
    </row>
    <row r="1693" spans="1:31" ht="15" customHeight="1">
      <c r="A1693" s="957" t="str">
        <f t="shared" ca="1" si="283"/>
        <v>16/17</v>
      </c>
      <c r="B1693" s="566" t="s">
        <v>1250</v>
      </c>
      <c r="C1693" s="567" t="str">
        <f t="shared" ca="1" si="284"/>
        <v>Green Star - Office</v>
      </c>
      <c r="D1693" s="958">
        <v>3</v>
      </c>
      <c r="E1693" s="959" t="s">
        <v>335</v>
      </c>
      <c r="F1693" s="558" t="s">
        <v>1455</v>
      </c>
      <c r="G1693" s="558">
        <v>45</v>
      </c>
      <c r="H1693" s="558" t="s">
        <v>1703</v>
      </c>
      <c r="I1693" s="559" t="s">
        <v>1157</v>
      </c>
      <c r="J1693" s="567" t="s">
        <v>1644</v>
      </c>
      <c r="K1693" s="961" t="s">
        <v>1568</v>
      </c>
      <c r="L1693" s="555" t="str">
        <f t="shared" ca="1" si="287"/>
        <v/>
      </c>
      <c r="M1693" s="494" t="s">
        <v>1569</v>
      </c>
      <c r="N1693" s="555" t="str">
        <f t="shared" ca="1" si="288"/>
        <v/>
      </c>
      <c r="O1693" s="494" t="s">
        <v>1570</v>
      </c>
      <c r="P1693" s="555" t="str">
        <f t="shared" ca="1" si="289"/>
        <v/>
      </c>
      <c r="Q1693" s="494" t="s">
        <v>1645</v>
      </c>
      <c r="R1693" s="494" t="str">
        <f t="shared" si="282"/>
        <v>I1693</v>
      </c>
      <c r="S1693" s="494" t="s">
        <v>1646</v>
      </c>
      <c r="T1693" s="494">
        <v>6</v>
      </c>
      <c r="U1693" s="556" t="str">
        <f t="shared" ca="1" si="285"/>
        <v/>
      </c>
      <c r="V1693" s="494">
        <v>7</v>
      </c>
      <c r="W1693" s="556" t="str">
        <f t="shared" ca="1" si="286"/>
        <v/>
      </c>
      <c r="X1693" s="494" t="s">
        <v>1647</v>
      </c>
      <c r="Y1693" s="547" t="str">
        <f t="shared" ca="1" si="290"/>
        <v/>
      </c>
      <c r="Z1693" s="494" t="s">
        <v>1583</v>
      </c>
      <c r="AA1693" s="547" t="str">
        <f t="shared" ca="1" si="291"/>
        <v/>
      </c>
      <c r="AB1693" s="494" t="s">
        <v>173</v>
      </c>
      <c r="AC1693" s="547" t="str">
        <f t="shared" ca="1" si="292"/>
        <v/>
      </c>
      <c r="AD1693" s="557"/>
      <c r="AE1693" s="958"/>
    </row>
    <row r="1694" spans="1:31" ht="15" customHeight="1">
      <c r="A1694" s="957" t="str">
        <f t="shared" ca="1" si="283"/>
        <v>16/17</v>
      </c>
      <c r="B1694" s="566" t="s">
        <v>1250</v>
      </c>
      <c r="C1694" s="567" t="str">
        <f t="shared" ca="1" si="284"/>
        <v>Green Star - Office</v>
      </c>
      <c r="D1694" s="958">
        <v>3</v>
      </c>
      <c r="E1694" s="959" t="s">
        <v>345</v>
      </c>
      <c r="F1694" s="558" t="s">
        <v>1484</v>
      </c>
      <c r="G1694" s="558">
        <v>50</v>
      </c>
      <c r="H1694" s="558" t="s">
        <v>1164</v>
      </c>
      <c r="I1694" s="559" t="s">
        <v>1165</v>
      </c>
      <c r="J1694" s="567" t="s">
        <v>1644</v>
      </c>
      <c r="K1694" s="961" t="s">
        <v>1568</v>
      </c>
      <c r="L1694" s="555" t="str">
        <f t="shared" ca="1" si="287"/>
        <v/>
      </c>
      <c r="M1694" s="494" t="s">
        <v>1569</v>
      </c>
      <c r="N1694" s="555" t="str">
        <f t="shared" ca="1" si="288"/>
        <v/>
      </c>
      <c r="O1694" s="494" t="s">
        <v>1570</v>
      </c>
      <c r="P1694" s="555" t="str">
        <f t="shared" ca="1" si="289"/>
        <v/>
      </c>
      <c r="Q1694" s="494" t="s">
        <v>1645</v>
      </c>
      <c r="R1694" s="494" t="str">
        <f t="shared" si="282"/>
        <v>I1694</v>
      </c>
      <c r="S1694" s="494" t="s">
        <v>1646</v>
      </c>
      <c r="T1694" s="494">
        <v>6</v>
      </c>
      <c r="U1694" s="556" t="str">
        <f t="shared" ca="1" si="285"/>
        <v/>
      </c>
      <c r="V1694" s="494">
        <v>7</v>
      </c>
      <c r="W1694" s="556" t="str">
        <f t="shared" ca="1" si="286"/>
        <v/>
      </c>
      <c r="X1694" s="494" t="s">
        <v>1647</v>
      </c>
      <c r="Y1694" s="547" t="str">
        <f t="shared" ca="1" si="290"/>
        <v/>
      </c>
      <c r="Z1694" s="494" t="s">
        <v>1583</v>
      </c>
      <c r="AA1694" s="547" t="str">
        <f t="shared" ca="1" si="291"/>
        <v/>
      </c>
      <c r="AB1694" s="494" t="s">
        <v>173</v>
      </c>
      <c r="AC1694" s="547" t="str">
        <f t="shared" ca="1" si="292"/>
        <v/>
      </c>
      <c r="AD1694" s="557"/>
      <c r="AE1694" s="958"/>
    </row>
    <row r="1695" spans="1:31" ht="15" customHeight="1">
      <c r="A1695" s="957" t="str">
        <f t="shared" ca="1" si="283"/>
        <v>16/17</v>
      </c>
      <c r="B1695" s="566" t="s">
        <v>1250</v>
      </c>
      <c r="C1695" s="567" t="str">
        <f t="shared" ca="1" si="284"/>
        <v>Green Star - Office</v>
      </c>
      <c r="D1695" s="958">
        <v>3</v>
      </c>
      <c r="E1695" s="959" t="s">
        <v>345</v>
      </c>
      <c r="F1695" s="558" t="s">
        <v>1484</v>
      </c>
      <c r="G1695" s="558">
        <v>138</v>
      </c>
      <c r="H1695" s="558" t="s">
        <v>1166</v>
      </c>
      <c r="I1695" s="559" t="s">
        <v>1167</v>
      </c>
      <c r="J1695" s="567" t="s">
        <v>1644</v>
      </c>
      <c r="K1695" s="961" t="s">
        <v>1568</v>
      </c>
      <c r="L1695" s="555" t="str">
        <f t="shared" ca="1" si="287"/>
        <v/>
      </c>
      <c r="M1695" s="494" t="s">
        <v>1569</v>
      </c>
      <c r="N1695" s="555" t="str">
        <f t="shared" ca="1" si="288"/>
        <v/>
      </c>
      <c r="O1695" s="494" t="s">
        <v>1570</v>
      </c>
      <c r="P1695" s="555" t="str">
        <f t="shared" ca="1" si="289"/>
        <v/>
      </c>
      <c r="Q1695" s="494" t="s">
        <v>1645</v>
      </c>
      <c r="R1695" s="494" t="str">
        <f t="shared" si="282"/>
        <v>I1695</v>
      </c>
      <c r="S1695" s="494" t="s">
        <v>1646</v>
      </c>
      <c r="T1695" s="494">
        <v>6</v>
      </c>
      <c r="U1695" s="556" t="str">
        <f t="shared" ca="1" si="285"/>
        <v/>
      </c>
      <c r="V1695" s="494">
        <v>7</v>
      </c>
      <c r="W1695" s="556" t="str">
        <f t="shared" ca="1" si="286"/>
        <v/>
      </c>
      <c r="X1695" s="494" t="s">
        <v>1647</v>
      </c>
      <c r="Y1695" s="547" t="str">
        <f t="shared" ca="1" si="290"/>
        <v/>
      </c>
      <c r="Z1695" s="494" t="s">
        <v>1583</v>
      </c>
      <c r="AA1695" s="547" t="str">
        <f t="shared" ca="1" si="291"/>
        <v/>
      </c>
      <c r="AB1695" s="494" t="s">
        <v>173</v>
      </c>
      <c r="AC1695" s="547" t="str">
        <f t="shared" ca="1" si="292"/>
        <v/>
      </c>
      <c r="AD1695" s="557"/>
      <c r="AE1695" s="958"/>
    </row>
    <row r="1696" spans="1:31" ht="15" customHeight="1">
      <c r="A1696" s="957" t="str">
        <f t="shared" ca="1" si="283"/>
        <v>16/17</v>
      </c>
      <c r="B1696" s="566" t="s">
        <v>1250</v>
      </c>
      <c r="C1696" s="567" t="str">
        <f t="shared" ca="1" si="284"/>
        <v>Green Star - Office</v>
      </c>
      <c r="D1696" s="958">
        <v>3</v>
      </c>
      <c r="E1696" s="959" t="s">
        <v>345</v>
      </c>
      <c r="F1696" s="558" t="s">
        <v>1484</v>
      </c>
      <c r="G1696" s="558">
        <v>53</v>
      </c>
      <c r="H1696" s="558" t="s">
        <v>1168</v>
      </c>
      <c r="I1696" s="559" t="s">
        <v>1725</v>
      </c>
      <c r="J1696" s="567" t="s">
        <v>1644</v>
      </c>
      <c r="K1696" s="961" t="s">
        <v>1568</v>
      </c>
      <c r="L1696" s="555" t="str">
        <f t="shared" ca="1" si="287"/>
        <v/>
      </c>
      <c r="M1696" s="494" t="s">
        <v>1569</v>
      </c>
      <c r="N1696" s="555" t="str">
        <f t="shared" ca="1" si="288"/>
        <v/>
      </c>
      <c r="O1696" s="494" t="s">
        <v>1570</v>
      </c>
      <c r="P1696" s="555" t="str">
        <f t="shared" ca="1" si="289"/>
        <v/>
      </c>
      <c r="Q1696" s="494" t="s">
        <v>1645</v>
      </c>
      <c r="R1696" s="494" t="str">
        <f t="shared" si="282"/>
        <v>I1696</v>
      </c>
      <c r="S1696" s="494" t="s">
        <v>1648</v>
      </c>
      <c r="T1696" s="494">
        <v>6</v>
      </c>
      <c r="U1696" s="556" t="str">
        <f t="shared" ca="1" si="285"/>
        <v/>
      </c>
      <c r="V1696" s="494">
        <v>7</v>
      </c>
      <c r="W1696" s="556" t="str">
        <f t="shared" ca="1" si="286"/>
        <v/>
      </c>
      <c r="X1696" s="494" t="s">
        <v>1647</v>
      </c>
      <c r="Y1696" s="547" t="str">
        <f t="shared" ca="1" si="290"/>
        <v/>
      </c>
      <c r="Z1696" s="494" t="s">
        <v>1583</v>
      </c>
      <c r="AA1696" s="547" t="str">
        <f t="shared" ca="1" si="291"/>
        <v/>
      </c>
      <c r="AB1696" s="494" t="s">
        <v>173</v>
      </c>
      <c r="AC1696" s="547" t="str">
        <f t="shared" ca="1" si="292"/>
        <v/>
      </c>
      <c r="AD1696" s="557"/>
      <c r="AE1696" s="958"/>
    </row>
    <row r="1697" spans="1:31" ht="15" customHeight="1">
      <c r="A1697" s="957" t="str">
        <f t="shared" ca="1" si="283"/>
        <v>16/17</v>
      </c>
      <c r="B1697" s="566" t="s">
        <v>1250</v>
      </c>
      <c r="C1697" s="567" t="str">
        <f t="shared" ca="1" si="284"/>
        <v>Green Star - Office</v>
      </c>
      <c r="D1697" s="958">
        <v>3</v>
      </c>
      <c r="E1697" s="959" t="s">
        <v>345</v>
      </c>
      <c r="F1697" s="558" t="s">
        <v>1484</v>
      </c>
      <c r="G1697" s="558">
        <v>53</v>
      </c>
      <c r="H1697" s="558" t="s">
        <v>1168</v>
      </c>
      <c r="I1697" s="559" t="s">
        <v>1726</v>
      </c>
      <c r="J1697" s="567" t="s">
        <v>1644</v>
      </c>
      <c r="K1697" s="961" t="s">
        <v>1568</v>
      </c>
      <c r="L1697" s="555" t="str">
        <f t="shared" ca="1" si="287"/>
        <v/>
      </c>
      <c r="M1697" s="494" t="s">
        <v>1569</v>
      </c>
      <c r="N1697" s="555" t="str">
        <f t="shared" ca="1" si="288"/>
        <v/>
      </c>
      <c r="O1697" s="494" t="s">
        <v>1570</v>
      </c>
      <c r="P1697" s="555" t="str">
        <f t="shared" ca="1" si="289"/>
        <v/>
      </c>
      <c r="Q1697" s="494" t="s">
        <v>1645</v>
      </c>
      <c r="R1697" s="494" t="str">
        <f t="shared" si="282"/>
        <v>I1697</v>
      </c>
      <c r="S1697" s="494" t="s">
        <v>1648</v>
      </c>
      <c r="T1697" s="494">
        <v>6</v>
      </c>
      <c r="U1697" s="556" t="str">
        <f t="shared" ca="1" si="285"/>
        <v/>
      </c>
      <c r="V1697" s="494">
        <v>7</v>
      </c>
      <c r="W1697" s="556" t="str">
        <f t="shared" ca="1" si="286"/>
        <v/>
      </c>
      <c r="X1697" s="494" t="s">
        <v>1647</v>
      </c>
      <c r="Y1697" s="547" t="str">
        <f t="shared" ca="1" si="290"/>
        <v/>
      </c>
      <c r="Z1697" s="494" t="s">
        <v>1583</v>
      </c>
      <c r="AA1697" s="547" t="str">
        <f t="shared" ca="1" si="291"/>
        <v/>
      </c>
      <c r="AB1697" s="494" t="s">
        <v>173</v>
      </c>
      <c r="AC1697" s="547" t="str">
        <f t="shared" ca="1" si="292"/>
        <v/>
      </c>
      <c r="AD1697" s="557"/>
      <c r="AE1697" s="958"/>
    </row>
    <row r="1698" spans="1:31" ht="15" customHeight="1">
      <c r="A1698" s="957" t="str">
        <f t="shared" ca="1" si="283"/>
        <v>16/17</v>
      </c>
      <c r="B1698" s="566" t="s">
        <v>1250</v>
      </c>
      <c r="C1698" s="567" t="str">
        <f t="shared" ca="1" si="284"/>
        <v>Green Star - Office</v>
      </c>
      <c r="D1698" s="958">
        <v>3</v>
      </c>
      <c r="E1698" s="959" t="s">
        <v>345</v>
      </c>
      <c r="F1698" s="558" t="s">
        <v>1484</v>
      </c>
      <c r="G1698" s="558">
        <v>139</v>
      </c>
      <c r="H1698" s="558" t="s">
        <v>1172</v>
      </c>
      <c r="I1698" s="559" t="s">
        <v>985</v>
      </c>
      <c r="J1698" s="567" t="s">
        <v>1644</v>
      </c>
      <c r="K1698" s="961" t="s">
        <v>1568</v>
      </c>
      <c r="L1698" s="555" t="str">
        <f t="shared" ca="1" si="287"/>
        <v/>
      </c>
      <c r="M1698" s="494" t="s">
        <v>1569</v>
      </c>
      <c r="N1698" s="555" t="str">
        <f t="shared" ca="1" si="288"/>
        <v/>
      </c>
      <c r="O1698" s="494" t="s">
        <v>1570</v>
      </c>
      <c r="P1698" s="555" t="str">
        <f t="shared" ca="1" si="289"/>
        <v/>
      </c>
      <c r="Q1698" s="494" t="s">
        <v>1645</v>
      </c>
      <c r="R1698" s="494" t="str">
        <f t="shared" si="282"/>
        <v>I1698</v>
      </c>
      <c r="S1698" s="494" t="s">
        <v>1646</v>
      </c>
      <c r="T1698" s="494">
        <v>6</v>
      </c>
      <c r="U1698" s="556" t="str">
        <f t="shared" ca="1" si="285"/>
        <v/>
      </c>
      <c r="V1698" s="494">
        <v>7</v>
      </c>
      <c r="W1698" s="556" t="str">
        <f t="shared" ca="1" si="286"/>
        <v/>
      </c>
      <c r="X1698" s="494" t="s">
        <v>1647</v>
      </c>
      <c r="Y1698" s="547" t="str">
        <f t="shared" ca="1" si="290"/>
        <v/>
      </c>
      <c r="Z1698" s="494" t="s">
        <v>1583</v>
      </c>
      <c r="AA1698" s="547" t="str">
        <f t="shared" ca="1" si="291"/>
        <v/>
      </c>
      <c r="AB1698" s="494" t="s">
        <v>173</v>
      </c>
      <c r="AC1698" s="547" t="str">
        <f t="shared" ca="1" si="292"/>
        <v/>
      </c>
      <c r="AD1698" s="557"/>
      <c r="AE1698" s="958"/>
    </row>
    <row r="1699" spans="1:31" ht="15" customHeight="1">
      <c r="A1699" s="957" t="str">
        <f t="shared" ca="1" si="283"/>
        <v>16/17</v>
      </c>
      <c r="B1699" s="566" t="s">
        <v>1250</v>
      </c>
      <c r="C1699" s="567" t="str">
        <f t="shared" ca="1" si="284"/>
        <v>Green Star - Office</v>
      </c>
      <c r="D1699" s="958">
        <v>3</v>
      </c>
      <c r="E1699" s="959" t="s">
        <v>353</v>
      </c>
      <c r="F1699" s="558" t="s">
        <v>1486</v>
      </c>
      <c r="G1699" s="558">
        <v>140</v>
      </c>
      <c r="H1699" s="558" t="s">
        <v>1175</v>
      </c>
      <c r="I1699" s="559" t="s">
        <v>1176</v>
      </c>
      <c r="J1699" s="567" t="s">
        <v>1644</v>
      </c>
      <c r="K1699" s="961" t="s">
        <v>1568</v>
      </c>
      <c r="L1699" s="555" t="str">
        <f t="shared" ca="1" si="287"/>
        <v/>
      </c>
      <c r="M1699" s="494" t="s">
        <v>1569</v>
      </c>
      <c r="N1699" s="555" t="str">
        <f t="shared" ca="1" si="288"/>
        <v/>
      </c>
      <c r="O1699" s="494" t="s">
        <v>1570</v>
      </c>
      <c r="P1699" s="555" t="str">
        <f t="shared" ca="1" si="289"/>
        <v/>
      </c>
      <c r="Q1699" s="494" t="s">
        <v>1645</v>
      </c>
      <c r="R1699" s="494" t="str">
        <f t="shared" si="282"/>
        <v>I1699</v>
      </c>
      <c r="S1699" s="494" t="s">
        <v>1646</v>
      </c>
      <c r="T1699" s="494">
        <v>6</v>
      </c>
      <c r="U1699" s="556" t="str">
        <f t="shared" ca="1" si="285"/>
        <v/>
      </c>
      <c r="V1699" s="494">
        <v>7</v>
      </c>
      <c r="W1699" s="556" t="str">
        <f t="shared" ca="1" si="286"/>
        <v/>
      </c>
      <c r="X1699" s="494" t="s">
        <v>1647</v>
      </c>
      <c r="Y1699" s="547" t="str">
        <f t="shared" ca="1" si="290"/>
        <v/>
      </c>
      <c r="Z1699" s="494" t="s">
        <v>1583</v>
      </c>
      <c r="AA1699" s="547" t="str">
        <f t="shared" ca="1" si="291"/>
        <v/>
      </c>
      <c r="AB1699" s="494" t="s">
        <v>173</v>
      </c>
      <c r="AC1699" s="547" t="str">
        <f t="shared" ca="1" si="292"/>
        <v/>
      </c>
      <c r="AD1699" s="557"/>
      <c r="AE1699" s="958"/>
    </row>
    <row r="1700" spans="1:31" ht="15" customHeight="1">
      <c r="A1700" s="957" t="str">
        <f t="shared" ca="1" si="283"/>
        <v>16/17</v>
      </c>
      <c r="B1700" s="566" t="s">
        <v>1250</v>
      </c>
      <c r="C1700" s="567" t="str">
        <f t="shared" ca="1" si="284"/>
        <v>Green Star - Office</v>
      </c>
      <c r="D1700" s="958">
        <v>3</v>
      </c>
      <c r="E1700" s="959" t="s">
        <v>353</v>
      </c>
      <c r="F1700" s="558" t="s">
        <v>1486</v>
      </c>
      <c r="G1700" s="558">
        <v>68</v>
      </c>
      <c r="H1700" s="558" t="s">
        <v>1177</v>
      </c>
      <c r="I1700" s="559" t="s">
        <v>1178</v>
      </c>
      <c r="J1700" s="567" t="s">
        <v>1644</v>
      </c>
      <c r="K1700" s="961" t="s">
        <v>1568</v>
      </c>
      <c r="L1700" s="555" t="str">
        <f t="shared" ca="1" si="287"/>
        <v/>
      </c>
      <c r="M1700" s="494" t="s">
        <v>1569</v>
      </c>
      <c r="N1700" s="555" t="str">
        <f t="shared" ca="1" si="288"/>
        <v/>
      </c>
      <c r="O1700" s="494" t="s">
        <v>1570</v>
      </c>
      <c r="P1700" s="555" t="str">
        <f t="shared" ca="1" si="289"/>
        <v/>
      </c>
      <c r="Q1700" s="494" t="s">
        <v>1645</v>
      </c>
      <c r="R1700" s="494" t="str">
        <f t="shared" si="282"/>
        <v>I1700</v>
      </c>
      <c r="S1700" s="494" t="s">
        <v>1646</v>
      </c>
      <c r="T1700" s="494">
        <v>6</v>
      </c>
      <c r="U1700" s="556" t="str">
        <f t="shared" ca="1" si="285"/>
        <v/>
      </c>
      <c r="V1700" s="494">
        <v>7</v>
      </c>
      <c r="W1700" s="556" t="str">
        <f t="shared" ca="1" si="286"/>
        <v/>
      </c>
      <c r="X1700" s="494" t="s">
        <v>1647</v>
      </c>
      <c r="Y1700" s="547" t="str">
        <f t="shared" ca="1" si="290"/>
        <v/>
      </c>
      <c r="Z1700" s="494" t="s">
        <v>1583</v>
      </c>
      <c r="AA1700" s="547" t="str">
        <f t="shared" ca="1" si="291"/>
        <v/>
      </c>
      <c r="AB1700" s="494" t="s">
        <v>173</v>
      </c>
      <c r="AC1700" s="547" t="str">
        <f t="shared" ca="1" si="292"/>
        <v/>
      </c>
      <c r="AD1700" s="557"/>
      <c r="AE1700" s="958"/>
    </row>
    <row r="1701" spans="1:31" ht="15" customHeight="1">
      <c r="A1701" s="957" t="str">
        <f t="shared" ca="1" si="283"/>
        <v>16/17</v>
      </c>
      <c r="B1701" s="566" t="s">
        <v>1250</v>
      </c>
      <c r="C1701" s="567" t="str">
        <f t="shared" ca="1" si="284"/>
        <v>Green Star - Office</v>
      </c>
      <c r="D1701" s="958">
        <v>3</v>
      </c>
      <c r="E1701" s="959" t="s">
        <v>353</v>
      </c>
      <c r="F1701" s="558" t="s">
        <v>1486</v>
      </c>
      <c r="G1701" s="558">
        <v>141</v>
      </c>
      <c r="H1701" s="558" t="s">
        <v>1179</v>
      </c>
      <c r="I1701" s="559" t="s">
        <v>364</v>
      </c>
      <c r="J1701" s="567" t="s">
        <v>1644</v>
      </c>
      <c r="K1701" s="961" t="s">
        <v>1568</v>
      </c>
      <c r="L1701" s="555" t="str">
        <f t="shared" ca="1" si="287"/>
        <v/>
      </c>
      <c r="M1701" s="494" t="s">
        <v>1569</v>
      </c>
      <c r="N1701" s="555" t="str">
        <f t="shared" ca="1" si="288"/>
        <v/>
      </c>
      <c r="O1701" s="494" t="s">
        <v>1570</v>
      </c>
      <c r="P1701" s="555" t="str">
        <f t="shared" ca="1" si="289"/>
        <v/>
      </c>
      <c r="Q1701" s="494" t="s">
        <v>1645</v>
      </c>
      <c r="R1701" s="494" t="str">
        <f t="shared" si="282"/>
        <v>I1701</v>
      </c>
      <c r="S1701" s="494" t="s">
        <v>1646</v>
      </c>
      <c r="T1701" s="494">
        <v>6</v>
      </c>
      <c r="U1701" s="556" t="str">
        <f t="shared" ca="1" si="285"/>
        <v/>
      </c>
      <c r="V1701" s="494">
        <v>7</v>
      </c>
      <c r="W1701" s="556" t="str">
        <f t="shared" ca="1" si="286"/>
        <v/>
      </c>
      <c r="X1701" s="494" t="s">
        <v>1647</v>
      </c>
      <c r="Y1701" s="547" t="str">
        <f t="shared" ca="1" si="290"/>
        <v/>
      </c>
      <c r="Z1701" s="494" t="s">
        <v>1583</v>
      </c>
      <c r="AA1701" s="547" t="str">
        <f t="shared" ca="1" si="291"/>
        <v/>
      </c>
      <c r="AB1701" s="494" t="s">
        <v>173</v>
      </c>
      <c r="AC1701" s="547" t="str">
        <f t="shared" ca="1" si="292"/>
        <v/>
      </c>
      <c r="AD1701" s="557"/>
      <c r="AE1701" s="958"/>
    </row>
    <row r="1702" spans="1:31" ht="15" customHeight="1">
      <c r="A1702" s="957" t="str">
        <f t="shared" ca="1" si="283"/>
        <v>16/17</v>
      </c>
      <c r="B1702" s="566" t="s">
        <v>1250</v>
      </c>
      <c r="C1702" s="567" t="str">
        <f t="shared" ca="1" si="284"/>
        <v>Green Star - Office</v>
      </c>
      <c r="D1702" s="958">
        <v>3</v>
      </c>
      <c r="E1702" s="959" t="s">
        <v>353</v>
      </c>
      <c r="F1702" s="558" t="s">
        <v>1486</v>
      </c>
      <c r="G1702" s="558">
        <v>142</v>
      </c>
      <c r="H1702" s="558" t="s">
        <v>1180</v>
      </c>
      <c r="I1702" s="559" t="s">
        <v>1181</v>
      </c>
      <c r="J1702" s="567" t="s">
        <v>1644</v>
      </c>
      <c r="K1702" s="961" t="s">
        <v>1568</v>
      </c>
      <c r="L1702" s="555" t="str">
        <f t="shared" ca="1" si="287"/>
        <v/>
      </c>
      <c r="M1702" s="494" t="s">
        <v>1569</v>
      </c>
      <c r="N1702" s="555" t="str">
        <f t="shared" ca="1" si="288"/>
        <v/>
      </c>
      <c r="O1702" s="494" t="s">
        <v>1570</v>
      </c>
      <c r="P1702" s="555" t="str">
        <f t="shared" ca="1" si="289"/>
        <v/>
      </c>
      <c r="Q1702" s="494" t="s">
        <v>1645</v>
      </c>
      <c r="R1702" s="494" t="str">
        <f t="shared" si="282"/>
        <v>I1702</v>
      </c>
      <c r="S1702" s="494" t="s">
        <v>1646</v>
      </c>
      <c r="T1702" s="494">
        <v>6</v>
      </c>
      <c r="U1702" s="556" t="str">
        <f t="shared" ca="1" si="285"/>
        <v/>
      </c>
      <c r="V1702" s="494">
        <v>7</v>
      </c>
      <c r="W1702" s="556" t="str">
        <f t="shared" ca="1" si="286"/>
        <v/>
      </c>
      <c r="X1702" s="494" t="s">
        <v>1647</v>
      </c>
      <c r="Y1702" s="547" t="str">
        <f t="shared" ca="1" si="290"/>
        <v/>
      </c>
      <c r="Z1702" s="494" t="s">
        <v>1583</v>
      </c>
      <c r="AA1702" s="547" t="str">
        <f t="shared" ca="1" si="291"/>
        <v/>
      </c>
      <c r="AB1702" s="494" t="s">
        <v>173</v>
      </c>
      <c r="AC1702" s="547" t="str">
        <f t="shared" ca="1" si="292"/>
        <v/>
      </c>
      <c r="AD1702" s="557"/>
      <c r="AE1702" s="958"/>
    </row>
    <row r="1703" spans="1:31" ht="15" customHeight="1">
      <c r="A1703" s="957" t="str">
        <f t="shared" ca="1" si="283"/>
        <v>16/17</v>
      </c>
      <c r="B1703" s="566" t="s">
        <v>1250</v>
      </c>
      <c r="C1703" s="567" t="str">
        <f t="shared" ca="1" si="284"/>
        <v>Green Star - Office</v>
      </c>
      <c r="D1703" s="958">
        <v>3</v>
      </c>
      <c r="E1703" s="959" t="s">
        <v>353</v>
      </c>
      <c r="F1703" s="558" t="s">
        <v>1486</v>
      </c>
      <c r="G1703" s="558">
        <v>74</v>
      </c>
      <c r="H1703" s="558" t="s">
        <v>1182</v>
      </c>
      <c r="I1703" s="559" t="s">
        <v>1287</v>
      </c>
      <c r="J1703" s="567" t="s">
        <v>1644</v>
      </c>
      <c r="K1703" s="961" t="s">
        <v>1568</v>
      </c>
      <c r="L1703" s="555" t="str">
        <f t="shared" ca="1" si="287"/>
        <v/>
      </c>
      <c r="M1703" s="494" t="s">
        <v>1569</v>
      </c>
      <c r="N1703" s="555" t="str">
        <f t="shared" ca="1" si="288"/>
        <v/>
      </c>
      <c r="O1703" s="494" t="s">
        <v>1570</v>
      </c>
      <c r="P1703" s="555" t="str">
        <f t="shared" ca="1" si="289"/>
        <v/>
      </c>
      <c r="Q1703" s="494" t="s">
        <v>1645</v>
      </c>
      <c r="R1703" s="494" t="str">
        <f t="shared" si="282"/>
        <v>I1703</v>
      </c>
      <c r="S1703" s="494" t="s">
        <v>1646</v>
      </c>
      <c r="T1703" s="494">
        <v>6</v>
      </c>
      <c r="U1703" s="556" t="str">
        <f t="shared" ca="1" si="285"/>
        <v/>
      </c>
      <c r="V1703" s="494">
        <v>7</v>
      </c>
      <c r="W1703" s="556" t="str">
        <f t="shared" ca="1" si="286"/>
        <v/>
      </c>
      <c r="X1703" s="494" t="s">
        <v>1647</v>
      </c>
      <c r="Y1703" s="547" t="str">
        <f t="shared" ca="1" si="290"/>
        <v/>
      </c>
      <c r="Z1703" s="494" t="s">
        <v>1583</v>
      </c>
      <c r="AA1703" s="547" t="str">
        <f t="shared" ca="1" si="291"/>
        <v/>
      </c>
      <c r="AB1703" s="494" t="s">
        <v>173</v>
      </c>
      <c r="AC1703" s="547" t="str">
        <f t="shared" ca="1" si="292"/>
        <v/>
      </c>
      <c r="AD1703" s="557"/>
      <c r="AE1703" s="958"/>
    </row>
    <row r="1704" spans="1:31" ht="15" customHeight="1">
      <c r="A1704" s="957" t="str">
        <f t="shared" ca="1" si="283"/>
        <v>16/17</v>
      </c>
      <c r="B1704" s="566" t="s">
        <v>1250</v>
      </c>
      <c r="C1704" s="567" t="str">
        <f t="shared" ca="1" si="284"/>
        <v>Green Star - Office</v>
      </c>
      <c r="D1704" s="958">
        <v>3</v>
      </c>
      <c r="E1704" s="959" t="s">
        <v>367</v>
      </c>
      <c r="F1704" s="558" t="s">
        <v>1488</v>
      </c>
      <c r="G1704" s="558">
        <v>46</v>
      </c>
      <c r="H1704" s="558" t="s">
        <v>1186</v>
      </c>
      <c r="I1704" s="559" t="s">
        <v>1187</v>
      </c>
      <c r="J1704" s="567" t="s">
        <v>1644</v>
      </c>
      <c r="K1704" s="961" t="s">
        <v>1568</v>
      </c>
      <c r="L1704" s="555" t="str">
        <f t="shared" ca="1" si="287"/>
        <v/>
      </c>
      <c r="M1704" s="494" t="s">
        <v>1569</v>
      </c>
      <c r="N1704" s="555" t="str">
        <f t="shared" ca="1" si="288"/>
        <v/>
      </c>
      <c r="O1704" s="494" t="s">
        <v>1570</v>
      </c>
      <c r="P1704" s="555" t="str">
        <f t="shared" ca="1" si="289"/>
        <v/>
      </c>
      <c r="Q1704" s="494" t="s">
        <v>1645</v>
      </c>
      <c r="R1704" s="494" t="str">
        <f t="shared" si="282"/>
        <v>I1704</v>
      </c>
      <c r="S1704" s="494" t="s">
        <v>1646</v>
      </c>
      <c r="T1704" s="494">
        <v>6</v>
      </c>
      <c r="U1704" s="556" t="str">
        <f t="shared" ca="1" si="285"/>
        <v/>
      </c>
      <c r="V1704" s="494">
        <v>7</v>
      </c>
      <c r="W1704" s="556" t="str">
        <f t="shared" ca="1" si="286"/>
        <v/>
      </c>
      <c r="X1704" s="494" t="s">
        <v>1647</v>
      </c>
      <c r="Y1704" s="547" t="str">
        <f t="shared" ca="1" si="290"/>
        <v/>
      </c>
      <c r="Z1704" s="494" t="s">
        <v>1583</v>
      </c>
      <c r="AA1704" s="547" t="str">
        <f t="shared" ca="1" si="291"/>
        <v/>
      </c>
      <c r="AB1704" s="494" t="s">
        <v>173</v>
      </c>
      <c r="AC1704" s="547" t="str">
        <f t="shared" ca="1" si="292"/>
        <v/>
      </c>
      <c r="AD1704" s="557"/>
      <c r="AE1704" s="958"/>
    </row>
    <row r="1705" spans="1:31" ht="15" customHeight="1">
      <c r="A1705" s="957" t="str">
        <f t="shared" ca="1" si="283"/>
        <v>16/17</v>
      </c>
      <c r="B1705" s="566" t="s">
        <v>1250</v>
      </c>
      <c r="C1705" s="567" t="str">
        <f t="shared" ca="1" si="284"/>
        <v>Green Star - Office</v>
      </c>
      <c r="D1705" s="958">
        <v>3</v>
      </c>
      <c r="E1705" s="959" t="s">
        <v>367</v>
      </c>
      <c r="F1705" s="558" t="s">
        <v>1488</v>
      </c>
      <c r="G1705" s="558">
        <v>143</v>
      </c>
      <c r="H1705" s="558" t="s">
        <v>1188</v>
      </c>
      <c r="I1705" s="559" t="s">
        <v>1330</v>
      </c>
      <c r="J1705" s="567" t="s">
        <v>1644</v>
      </c>
      <c r="K1705" s="961" t="s">
        <v>1568</v>
      </c>
      <c r="L1705" s="555" t="str">
        <f t="shared" ca="1" si="287"/>
        <v/>
      </c>
      <c r="M1705" s="494" t="s">
        <v>1569</v>
      </c>
      <c r="N1705" s="555" t="str">
        <f t="shared" ca="1" si="288"/>
        <v/>
      </c>
      <c r="O1705" s="494" t="s">
        <v>1570</v>
      </c>
      <c r="P1705" s="555" t="str">
        <f t="shared" ca="1" si="289"/>
        <v/>
      </c>
      <c r="Q1705" s="494" t="s">
        <v>1645</v>
      </c>
      <c r="R1705" s="494" t="str">
        <f t="shared" si="282"/>
        <v>I1705</v>
      </c>
      <c r="S1705" s="494" t="s">
        <v>1646</v>
      </c>
      <c r="T1705" s="494">
        <v>6</v>
      </c>
      <c r="U1705" s="556" t="str">
        <f t="shared" ca="1" si="285"/>
        <v/>
      </c>
      <c r="V1705" s="494">
        <v>7</v>
      </c>
      <c r="W1705" s="556" t="str">
        <f t="shared" ca="1" si="286"/>
        <v/>
      </c>
      <c r="X1705" s="494" t="s">
        <v>1647</v>
      </c>
      <c r="Y1705" s="547" t="str">
        <f t="shared" ca="1" si="290"/>
        <v/>
      </c>
      <c r="Z1705" s="494" t="s">
        <v>1583</v>
      </c>
      <c r="AA1705" s="547" t="str">
        <f t="shared" ca="1" si="291"/>
        <v/>
      </c>
      <c r="AB1705" s="494" t="s">
        <v>173</v>
      </c>
      <c r="AC1705" s="547" t="str">
        <f t="shared" ca="1" si="292"/>
        <v/>
      </c>
      <c r="AD1705" s="557"/>
      <c r="AE1705" s="958"/>
    </row>
    <row r="1706" spans="1:31" ht="15" customHeight="1">
      <c r="A1706" s="957" t="str">
        <f t="shared" ca="1" si="283"/>
        <v>16/17</v>
      </c>
      <c r="B1706" s="566" t="s">
        <v>1250</v>
      </c>
      <c r="C1706" s="567" t="str">
        <f t="shared" ca="1" si="284"/>
        <v>Green Star - Office</v>
      </c>
      <c r="D1706" s="958">
        <v>3</v>
      </c>
      <c r="E1706" s="959" t="s">
        <v>367</v>
      </c>
      <c r="F1706" s="558" t="s">
        <v>1488</v>
      </c>
      <c r="G1706" s="558">
        <v>144</v>
      </c>
      <c r="H1706" s="558" t="s">
        <v>1191</v>
      </c>
      <c r="I1706" s="559" t="s">
        <v>1727</v>
      </c>
      <c r="J1706" s="567" t="s">
        <v>1644</v>
      </c>
      <c r="K1706" s="961" t="s">
        <v>1568</v>
      </c>
      <c r="L1706" s="555" t="str">
        <f t="shared" ca="1" si="287"/>
        <v/>
      </c>
      <c r="M1706" s="494" t="s">
        <v>1569</v>
      </c>
      <c r="N1706" s="555" t="str">
        <f t="shared" ca="1" si="288"/>
        <v/>
      </c>
      <c r="O1706" s="494" t="s">
        <v>1570</v>
      </c>
      <c r="P1706" s="555" t="str">
        <f t="shared" ca="1" si="289"/>
        <v/>
      </c>
      <c r="Q1706" s="494" t="s">
        <v>1645</v>
      </c>
      <c r="R1706" s="494" t="str">
        <f t="shared" si="282"/>
        <v>I1706</v>
      </c>
      <c r="S1706" s="494" t="s">
        <v>1646</v>
      </c>
      <c r="T1706" s="494">
        <v>6</v>
      </c>
      <c r="U1706" s="556" t="str">
        <f t="shared" ca="1" si="285"/>
        <v/>
      </c>
      <c r="V1706" s="494">
        <v>7</v>
      </c>
      <c r="W1706" s="556" t="str">
        <f t="shared" ca="1" si="286"/>
        <v/>
      </c>
      <c r="X1706" s="494" t="s">
        <v>1647</v>
      </c>
      <c r="Y1706" s="547" t="str">
        <f t="shared" ca="1" si="290"/>
        <v/>
      </c>
      <c r="Z1706" s="494" t="s">
        <v>1583</v>
      </c>
      <c r="AA1706" s="547" t="str">
        <f t="shared" ca="1" si="291"/>
        <v/>
      </c>
      <c r="AB1706" s="494" t="s">
        <v>173</v>
      </c>
      <c r="AC1706" s="547" t="str">
        <f t="shared" ca="1" si="292"/>
        <v/>
      </c>
      <c r="AD1706" s="557"/>
      <c r="AE1706" s="958"/>
    </row>
    <row r="1707" spans="1:31" ht="15" customHeight="1">
      <c r="A1707" s="957" t="str">
        <f t="shared" ca="1" si="283"/>
        <v>16/17</v>
      </c>
      <c r="B1707" s="566" t="s">
        <v>1250</v>
      </c>
      <c r="C1707" s="567" t="str">
        <f t="shared" ca="1" si="284"/>
        <v>Green Star - Office</v>
      </c>
      <c r="D1707" s="958">
        <v>3</v>
      </c>
      <c r="E1707" s="959" t="s">
        <v>367</v>
      </c>
      <c r="F1707" s="558" t="s">
        <v>1488</v>
      </c>
      <c r="G1707" s="558">
        <v>131</v>
      </c>
      <c r="H1707" s="558" t="s">
        <v>1193</v>
      </c>
      <c r="I1707" s="559" t="s">
        <v>1687</v>
      </c>
      <c r="J1707" s="567" t="s">
        <v>1644</v>
      </c>
      <c r="K1707" s="961" t="s">
        <v>1568</v>
      </c>
      <c r="L1707" s="555" t="str">
        <f t="shared" ca="1" si="287"/>
        <v/>
      </c>
      <c r="M1707" s="494" t="s">
        <v>1569</v>
      </c>
      <c r="N1707" s="555" t="str">
        <f t="shared" ca="1" si="288"/>
        <v/>
      </c>
      <c r="O1707" s="494" t="s">
        <v>1570</v>
      </c>
      <c r="P1707" s="555" t="str">
        <f t="shared" ca="1" si="289"/>
        <v/>
      </c>
      <c r="Q1707" s="494" t="s">
        <v>1645</v>
      </c>
      <c r="R1707" s="494" t="str">
        <f t="shared" si="282"/>
        <v>I1707</v>
      </c>
      <c r="S1707" s="494" t="s">
        <v>1646</v>
      </c>
      <c r="T1707" s="494">
        <v>6</v>
      </c>
      <c r="U1707" s="556" t="str">
        <f t="shared" ca="1" si="285"/>
        <v/>
      </c>
      <c r="V1707" s="494">
        <v>7</v>
      </c>
      <c r="W1707" s="556" t="str">
        <f t="shared" ca="1" si="286"/>
        <v/>
      </c>
      <c r="X1707" s="494" t="s">
        <v>1647</v>
      </c>
      <c r="Y1707" s="547" t="str">
        <f t="shared" ca="1" si="290"/>
        <v/>
      </c>
      <c r="Z1707" s="494" t="s">
        <v>1583</v>
      </c>
      <c r="AA1707" s="547" t="str">
        <f t="shared" ca="1" si="291"/>
        <v/>
      </c>
      <c r="AB1707" s="494" t="s">
        <v>173</v>
      </c>
      <c r="AC1707" s="547" t="str">
        <f t="shared" ca="1" si="292"/>
        <v/>
      </c>
      <c r="AD1707" s="557"/>
      <c r="AE1707" s="958"/>
    </row>
    <row r="1708" spans="1:31" ht="15" customHeight="1">
      <c r="A1708" s="957" t="str">
        <f t="shared" ca="1" si="283"/>
        <v>16/17</v>
      </c>
      <c r="B1708" s="566" t="s">
        <v>1250</v>
      </c>
      <c r="C1708" s="567" t="str">
        <f t="shared" ca="1" si="284"/>
        <v>Green Star - Office</v>
      </c>
      <c r="D1708" s="958">
        <v>3</v>
      </c>
      <c r="E1708" s="959" t="s">
        <v>367</v>
      </c>
      <c r="F1708" s="558" t="s">
        <v>1488</v>
      </c>
      <c r="G1708" s="558">
        <v>145</v>
      </c>
      <c r="H1708" s="558" t="s">
        <v>1197</v>
      </c>
      <c r="I1708" s="559" t="s">
        <v>1195</v>
      </c>
      <c r="J1708" s="567" t="s">
        <v>1644</v>
      </c>
      <c r="K1708" s="961" t="s">
        <v>1568</v>
      </c>
      <c r="L1708" s="555" t="str">
        <f t="shared" ca="1" si="287"/>
        <v/>
      </c>
      <c r="M1708" s="494" t="s">
        <v>1569</v>
      </c>
      <c r="N1708" s="555" t="str">
        <f t="shared" ca="1" si="288"/>
        <v/>
      </c>
      <c r="O1708" s="494" t="s">
        <v>1570</v>
      </c>
      <c r="P1708" s="555" t="str">
        <f t="shared" ca="1" si="289"/>
        <v/>
      </c>
      <c r="Q1708" s="494" t="s">
        <v>1645</v>
      </c>
      <c r="R1708" s="494" t="str">
        <f t="shared" si="282"/>
        <v>I1708</v>
      </c>
      <c r="S1708" s="494" t="s">
        <v>1648</v>
      </c>
      <c r="T1708" s="494">
        <v>6</v>
      </c>
      <c r="U1708" s="556" t="str">
        <f t="shared" ca="1" si="285"/>
        <v/>
      </c>
      <c r="V1708" s="494">
        <v>7</v>
      </c>
      <c r="W1708" s="556" t="str">
        <f t="shared" ca="1" si="286"/>
        <v/>
      </c>
      <c r="X1708" s="494" t="s">
        <v>1647</v>
      </c>
      <c r="Y1708" s="547" t="str">
        <f t="shared" ca="1" si="290"/>
        <v/>
      </c>
      <c r="Z1708" s="494" t="s">
        <v>1583</v>
      </c>
      <c r="AA1708" s="547" t="str">
        <f t="shared" ca="1" si="291"/>
        <v/>
      </c>
      <c r="AB1708" s="494" t="s">
        <v>173</v>
      </c>
      <c r="AC1708" s="547" t="str">
        <f t="shared" ca="1" si="292"/>
        <v/>
      </c>
      <c r="AD1708" s="557"/>
      <c r="AE1708" s="958"/>
    </row>
    <row r="1709" spans="1:31" ht="15" customHeight="1">
      <c r="A1709" s="957" t="str">
        <f t="shared" ca="1" si="283"/>
        <v>16/17</v>
      </c>
      <c r="B1709" s="566" t="s">
        <v>1250</v>
      </c>
      <c r="C1709" s="567" t="str">
        <f t="shared" ca="1" si="284"/>
        <v>Green Star - Office</v>
      </c>
      <c r="D1709" s="958">
        <v>3</v>
      </c>
      <c r="E1709" s="959" t="s">
        <v>367</v>
      </c>
      <c r="F1709" s="558" t="s">
        <v>1488</v>
      </c>
      <c r="G1709" s="558">
        <v>145</v>
      </c>
      <c r="H1709" s="558" t="s">
        <v>1197</v>
      </c>
      <c r="I1709" s="559" t="s">
        <v>1196</v>
      </c>
      <c r="J1709" s="567" t="s">
        <v>1644</v>
      </c>
      <c r="K1709" s="961" t="s">
        <v>1568</v>
      </c>
      <c r="L1709" s="555" t="str">
        <f t="shared" ca="1" si="287"/>
        <v/>
      </c>
      <c r="M1709" s="494" t="s">
        <v>1569</v>
      </c>
      <c r="N1709" s="555" t="str">
        <f t="shared" ca="1" si="288"/>
        <v/>
      </c>
      <c r="O1709" s="494" t="s">
        <v>1570</v>
      </c>
      <c r="P1709" s="555" t="str">
        <f t="shared" ca="1" si="289"/>
        <v/>
      </c>
      <c r="Q1709" s="494" t="s">
        <v>1645</v>
      </c>
      <c r="R1709" s="494" t="str">
        <f t="shared" si="282"/>
        <v>I1709</v>
      </c>
      <c r="S1709" s="494" t="s">
        <v>1648</v>
      </c>
      <c r="T1709" s="494">
        <v>6</v>
      </c>
      <c r="U1709" s="556" t="str">
        <f t="shared" ca="1" si="285"/>
        <v/>
      </c>
      <c r="V1709" s="494">
        <v>7</v>
      </c>
      <c r="W1709" s="556" t="str">
        <f t="shared" ca="1" si="286"/>
        <v/>
      </c>
      <c r="X1709" s="494" t="s">
        <v>1647</v>
      </c>
      <c r="Y1709" s="547" t="str">
        <f t="shared" ca="1" si="290"/>
        <v/>
      </c>
      <c r="Z1709" s="494" t="s">
        <v>1583</v>
      </c>
      <c r="AA1709" s="547" t="str">
        <f t="shared" ca="1" si="291"/>
        <v/>
      </c>
      <c r="AB1709" s="494" t="s">
        <v>173</v>
      </c>
      <c r="AC1709" s="547" t="str">
        <f t="shared" ca="1" si="292"/>
        <v/>
      </c>
      <c r="AD1709" s="557"/>
      <c r="AE1709" s="958"/>
    </row>
    <row r="1710" spans="1:31" ht="15" customHeight="1">
      <c r="A1710" s="957" t="str">
        <f t="shared" ca="1" si="283"/>
        <v>16/17</v>
      </c>
      <c r="B1710" s="566" t="s">
        <v>1250</v>
      </c>
      <c r="C1710" s="567" t="str">
        <f t="shared" ca="1" si="284"/>
        <v>Green Star - Office</v>
      </c>
      <c r="D1710" s="958">
        <v>3</v>
      </c>
      <c r="E1710" s="959" t="s">
        <v>367</v>
      </c>
      <c r="F1710" s="558" t="s">
        <v>1488</v>
      </c>
      <c r="G1710" s="558">
        <v>146</v>
      </c>
      <c r="H1710" s="558" t="s">
        <v>1201</v>
      </c>
      <c r="I1710" s="559" t="s">
        <v>1199</v>
      </c>
      <c r="J1710" s="567" t="s">
        <v>1644</v>
      </c>
      <c r="K1710" s="961" t="s">
        <v>1568</v>
      </c>
      <c r="L1710" s="555" t="str">
        <f t="shared" ca="1" si="287"/>
        <v/>
      </c>
      <c r="M1710" s="494" t="s">
        <v>1569</v>
      </c>
      <c r="N1710" s="555" t="str">
        <f t="shared" ca="1" si="288"/>
        <v/>
      </c>
      <c r="O1710" s="494" t="s">
        <v>1570</v>
      </c>
      <c r="P1710" s="555" t="str">
        <f t="shared" ca="1" si="289"/>
        <v/>
      </c>
      <c r="Q1710" s="494" t="s">
        <v>1645</v>
      </c>
      <c r="R1710" s="494" t="str">
        <f t="shared" si="282"/>
        <v>I1710</v>
      </c>
      <c r="S1710" s="494" t="s">
        <v>1648</v>
      </c>
      <c r="T1710" s="494">
        <v>6</v>
      </c>
      <c r="U1710" s="556" t="str">
        <f t="shared" ca="1" si="285"/>
        <v/>
      </c>
      <c r="V1710" s="494">
        <v>7</v>
      </c>
      <c r="W1710" s="556" t="str">
        <f t="shared" ca="1" si="286"/>
        <v/>
      </c>
      <c r="X1710" s="494" t="s">
        <v>1647</v>
      </c>
      <c r="Y1710" s="547" t="str">
        <f t="shared" ca="1" si="290"/>
        <v/>
      </c>
      <c r="Z1710" s="494" t="s">
        <v>1583</v>
      </c>
      <c r="AA1710" s="547" t="str">
        <f t="shared" ca="1" si="291"/>
        <v/>
      </c>
      <c r="AB1710" s="494" t="s">
        <v>173</v>
      </c>
      <c r="AC1710" s="547" t="str">
        <f t="shared" ca="1" si="292"/>
        <v/>
      </c>
      <c r="AD1710" s="557"/>
      <c r="AE1710" s="958"/>
    </row>
    <row r="1711" spans="1:31" ht="15" customHeight="1">
      <c r="A1711" s="957" t="str">
        <f t="shared" ca="1" si="283"/>
        <v>16/17</v>
      </c>
      <c r="B1711" s="566" t="s">
        <v>1250</v>
      </c>
      <c r="C1711" s="567" t="str">
        <f t="shared" ca="1" si="284"/>
        <v>Green Star - Office</v>
      </c>
      <c r="D1711" s="958">
        <v>3</v>
      </c>
      <c r="E1711" s="959" t="s">
        <v>367</v>
      </c>
      <c r="F1711" s="558" t="s">
        <v>1488</v>
      </c>
      <c r="G1711" s="558">
        <v>146</v>
      </c>
      <c r="H1711" s="558" t="s">
        <v>1201</v>
      </c>
      <c r="I1711" s="559" t="s">
        <v>1200</v>
      </c>
      <c r="J1711" s="567" t="s">
        <v>1644</v>
      </c>
      <c r="K1711" s="961" t="s">
        <v>1568</v>
      </c>
      <c r="L1711" s="555" t="str">
        <f t="shared" ca="1" si="287"/>
        <v/>
      </c>
      <c r="M1711" s="494" t="s">
        <v>1569</v>
      </c>
      <c r="N1711" s="555" t="str">
        <f t="shared" ca="1" si="288"/>
        <v/>
      </c>
      <c r="O1711" s="494" t="s">
        <v>1570</v>
      </c>
      <c r="P1711" s="555" t="str">
        <f t="shared" ca="1" si="289"/>
        <v/>
      </c>
      <c r="Q1711" s="494" t="s">
        <v>1645</v>
      </c>
      <c r="R1711" s="494" t="str">
        <f t="shared" si="282"/>
        <v>I1711</v>
      </c>
      <c r="S1711" s="494" t="s">
        <v>1648</v>
      </c>
      <c r="T1711" s="494">
        <v>6</v>
      </c>
      <c r="U1711" s="556" t="str">
        <f t="shared" ca="1" si="285"/>
        <v/>
      </c>
      <c r="V1711" s="494">
        <v>7</v>
      </c>
      <c r="W1711" s="556" t="str">
        <f t="shared" ca="1" si="286"/>
        <v/>
      </c>
      <c r="X1711" s="494" t="s">
        <v>1647</v>
      </c>
      <c r="Y1711" s="547" t="str">
        <f t="shared" ca="1" si="290"/>
        <v/>
      </c>
      <c r="Z1711" s="494" t="s">
        <v>1583</v>
      </c>
      <c r="AA1711" s="547" t="str">
        <f t="shared" ca="1" si="291"/>
        <v/>
      </c>
      <c r="AB1711" s="494" t="s">
        <v>173</v>
      </c>
      <c r="AC1711" s="547" t="str">
        <f t="shared" ca="1" si="292"/>
        <v/>
      </c>
      <c r="AD1711" s="557"/>
      <c r="AE1711" s="958"/>
    </row>
    <row r="1712" spans="1:31" ht="15" customHeight="1">
      <c r="A1712" s="957" t="str">
        <f t="shared" ca="1" si="283"/>
        <v>16/17</v>
      </c>
      <c r="B1712" s="566" t="s">
        <v>1250</v>
      </c>
      <c r="C1712" s="567" t="str">
        <f t="shared" ca="1" si="284"/>
        <v>Green Star - Office</v>
      </c>
      <c r="D1712" s="958">
        <v>3</v>
      </c>
      <c r="E1712" s="959" t="s">
        <v>367</v>
      </c>
      <c r="F1712" s="558" t="s">
        <v>1488</v>
      </c>
      <c r="G1712" s="558">
        <v>63</v>
      </c>
      <c r="H1712" s="558" t="s">
        <v>1203</v>
      </c>
      <c r="I1712" s="559" t="s">
        <v>1202</v>
      </c>
      <c r="J1712" s="567" t="s">
        <v>1644</v>
      </c>
      <c r="K1712" s="961" t="s">
        <v>1568</v>
      </c>
      <c r="L1712" s="555" t="str">
        <f t="shared" ca="1" si="287"/>
        <v/>
      </c>
      <c r="M1712" s="494" t="s">
        <v>1569</v>
      </c>
      <c r="N1712" s="555" t="str">
        <f t="shared" ca="1" si="288"/>
        <v/>
      </c>
      <c r="O1712" s="494" t="s">
        <v>1570</v>
      </c>
      <c r="P1712" s="555" t="str">
        <f t="shared" ca="1" si="289"/>
        <v/>
      </c>
      <c r="Q1712" s="494" t="s">
        <v>1645</v>
      </c>
      <c r="R1712" s="494" t="str">
        <f t="shared" si="282"/>
        <v>I1712</v>
      </c>
      <c r="S1712" s="494" t="s">
        <v>1646</v>
      </c>
      <c r="T1712" s="494">
        <v>6</v>
      </c>
      <c r="U1712" s="556" t="str">
        <f t="shared" ca="1" si="285"/>
        <v/>
      </c>
      <c r="V1712" s="494">
        <v>7</v>
      </c>
      <c r="W1712" s="556" t="str">
        <f t="shared" ca="1" si="286"/>
        <v/>
      </c>
      <c r="X1712" s="494" t="s">
        <v>1647</v>
      </c>
      <c r="Y1712" s="547" t="str">
        <f t="shared" ca="1" si="290"/>
        <v/>
      </c>
      <c r="Z1712" s="494" t="s">
        <v>1583</v>
      </c>
      <c r="AA1712" s="547" t="str">
        <f t="shared" ca="1" si="291"/>
        <v/>
      </c>
      <c r="AB1712" s="494" t="s">
        <v>173</v>
      </c>
      <c r="AC1712" s="547" t="str">
        <f t="shared" ca="1" si="292"/>
        <v/>
      </c>
      <c r="AD1712" s="557"/>
      <c r="AE1712" s="958"/>
    </row>
    <row r="1713" spans="1:31" ht="15" customHeight="1">
      <c r="A1713" s="957" t="str">
        <f t="shared" ca="1" si="283"/>
        <v>16/17</v>
      </c>
      <c r="B1713" s="566" t="s">
        <v>1250</v>
      </c>
      <c r="C1713" s="567" t="str">
        <f t="shared" ca="1" si="284"/>
        <v>Green Star - Office</v>
      </c>
      <c r="D1713" s="958">
        <v>3</v>
      </c>
      <c r="E1713" s="959" t="s">
        <v>367</v>
      </c>
      <c r="F1713" s="558" t="s">
        <v>1488</v>
      </c>
      <c r="G1713" s="558">
        <v>64</v>
      </c>
      <c r="H1713" s="558" t="s">
        <v>1205</v>
      </c>
      <c r="I1713" s="559" t="s">
        <v>1204</v>
      </c>
      <c r="J1713" s="567" t="s">
        <v>1644</v>
      </c>
      <c r="K1713" s="961" t="s">
        <v>1568</v>
      </c>
      <c r="L1713" s="555" t="str">
        <f t="shared" ca="1" si="287"/>
        <v/>
      </c>
      <c r="M1713" s="494" t="s">
        <v>1569</v>
      </c>
      <c r="N1713" s="555" t="str">
        <f t="shared" ca="1" si="288"/>
        <v/>
      </c>
      <c r="O1713" s="494" t="s">
        <v>1570</v>
      </c>
      <c r="P1713" s="555" t="str">
        <f t="shared" ca="1" si="289"/>
        <v/>
      </c>
      <c r="Q1713" s="494" t="s">
        <v>1645</v>
      </c>
      <c r="R1713" s="494" t="str">
        <f t="shared" si="282"/>
        <v>I1713</v>
      </c>
      <c r="S1713" s="494" t="s">
        <v>1646</v>
      </c>
      <c r="T1713" s="494">
        <v>6</v>
      </c>
      <c r="U1713" s="556" t="str">
        <f t="shared" ca="1" si="285"/>
        <v/>
      </c>
      <c r="V1713" s="494">
        <v>7</v>
      </c>
      <c r="W1713" s="556" t="str">
        <f t="shared" ca="1" si="286"/>
        <v/>
      </c>
      <c r="X1713" s="494" t="s">
        <v>1647</v>
      </c>
      <c r="Y1713" s="547" t="str">
        <f t="shared" ca="1" si="290"/>
        <v/>
      </c>
      <c r="Z1713" s="494" t="s">
        <v>1583</v>
      </c>
      <c r="AA1713" s="547" t="str">
        <f t="shared" ca="1" si="291"/>
        <v/>
      </c>
      <c r="AB1713" s="494" t="s">
        <v>173</v>
      </c>
      <c r="AC1713" s="547" t="str">
        <f t="shared" ca="1" si="292"/>
        <v/>
      </c>
      <c r="AD1713" s="557"/>
      <c r="AE1713" s="958"/>
    </row>
    <row r="1714" spans="1:31" ht="15" customHeight="1">
      <c r="A1714" s="957" t="str">
        <f t="shared" ca="1" si="283"/>
        <v>16/17</v>
      </c>
      <c r="B1714" s="566" t="s">
        <v>1250</v>
      </c>
      <c r="C1714" s="567" t="str">
        <f t="shared" ca="1" si="284"/>
        <v>Green Star - Office</v>
      </c>
      <c r="D1714" s="958">
        <v>3</v>
      </c>
      <c r="E1714" s="959" t="s">
        <v>367</v>
      </c>
      <c r="F1714" s="558" t="s">
        <v>1488</v>
      </c>
      <c r="G1714" s="558">
        <v>147</v>
      </c>
      <c r="H1714" s="558" t="s">
        <v>1207</v>
      </c>
      <c r="I1714" s="559" t="s">
        <v>1206</v>
      </c>
      <c r="J1714" s="567" t="s">
        <v>1644</v>
      </c>
      <c r="K1714" s="961" t="s">
        <v>1568</v>
      </c>
      <c r="L1714" s="555" t="str">
        <f t="shared" ca="1" si="287"/>
        <v/>
      </c>
      <c r="M1714" s="494" t="s">
        <v>1569</v>
      </c>
      <c r="N1714" s="555" t="str">
        <f t="shared" ca="1" si="288"/>
        <v/>
      </c>
      <c r="O1714" s="494" t="s">
        <v>1570</v>
      </c>
      <c r="P1714" s="555" t="str">
        <f t="shared" ca="1" si="289"/>
        <v/>
      </c>
      <c r="Q1714" s="494" t="s">
        <v>1645</v>
      </c>
      <c r="R1714" s="494" t="str">
        <f t="shared" si="282"/>
        <v>I1714</v>
      </c>
      <c r="S1714" s="494" t="s">
        <v>1646</v>
      </c>
      <c r="T1714" s="494">
        <v>6</v>
      </c>
      <c r="U1714" s="556" t="str">
        <f t="shared" ca="1" si="285"/>
        <v/>
      </c>
      <c r="V1714" s="494">
        <v>7</v>
      </c>
      <c r="W1714" s="556" t="str">
        <f t="shared" ca="1" si="286"/>
        <v/>
      </c>
      <c r="X1714" s="494" t="s">
        <v>1647</v>
      </c>
      <c r="Y1714" s="547" t="str">
        <f t="shared" ca="1" si="290"/>
        <v/>
      </c>
      <c r="Z1714" s="494" t="s">
        <v>1583</v>
      </c>
      <c r="AA1714" s="547" t="str">
        <f t="shared" ca="1" si="291"/>
        <v/>
      </c>
      <c r="AB1714" s="494" t="s">
        <v>173</v>
      </c>
      <c r="AC1714" s="547" t="str">
        <f t="shared" ca="1" si="292"/>
        <v/>
      </c>
      <c r="AD1714" s="557"/>
      <c r="AE1714" s="958"/>
    </row>
    <row r="1715" spans="1:31" ht="15" customHeight="1">
      <c r="A1715" s="957" t="str">
        <f t="shared" ca="1" si="283"/>
        <v>16/17</v>
      </c>
      <c r="B1715" s="566" t="s">
        <v>1250</v>
      </c>
      <c r="C1715" s="567" t="str">
        <f t="shared" ca="1" si="284"/>
        <v>Green Star - Office</v>
      </c>
      <c r="D1715" s="958">
        <v>3</v>
      </c>
      <c r="E1715" s="959" t="s">
        <v>367</v>
      </c>
      <c r="F1715" s="558" t="s">
        <v>1488</v>
      </c>
      <c r="G1715" s="558">
        <v>148</v>
      </c>
      <c r="H1715" s="558" t="s">
        <v>1682</v>
      </c>
      <c r="I1715" s="559" t="s">
        <v>1208</v>
      </c>
      <c r="J1715" s="567" t="s">
        <v>1644</v>
      </c>
      <c r="K1715" s="961" t="s">
        <v>1568</v>
      </c>
      <c r="L1715" s="555" t="str">
        <f t="shared" ca="1" si="287"/>
        <v/>
      </c>
      <c r="M1715" s="494" t="s">
        <v>1569</v>
      </c>
      <c r="N1715" s="555" t="str">
        <f t="shared" ca="1" si="288"/>
        <v/>
      </c>
      <c r="O1715" s="494" t="s">
        <v>1570</v>
      </c>
      <c r="P1715" s="555" t="str">
        <f t="shared" ca="1" si="289"/>
        <v/>
      </c>
      <c r="Q1715" s="494" t="s">
        <v>1645</v>
      </c>
      <c r="R1715" s="494" t="str">
        <f>CONCATENATE("I",ROW(J1715))</f>
        <v>I1715</v>
      </c>
      <c r="S1715" s="494" t="s">
        <v>1646</v>
      </c>
      <c r="T1715" s="494">
        <v>6</v>
      </c>
      <c r="U1715" s="556" t="str">
        <f t="shared" ca="1" si="285"/>
        <v/>
      </c>
      <c r="V1715" s="494">
        <v>7</v>
      </c>
      <c r="W1715" s="556" t="str">
        <f t="shared" ca="1" si="286"/>
        <v/>
      </c>
      <c r="X1715" s="494" t="s">
        <v>1647</v>
      </c>
      <c r="Y1715" s="547" t="str">
        <f t="shared" ca="1" si="290"/>
        <v/>
      </c>
      <c r="Z1715" s="494" t="s">
        <v>1583</v>
      </c>
      <c r="AA1715" s="547" t="str">
        <f t="shared" ca="1" si="291"/>
        <v/>
      </c>
      <c r="AB1715" s="494" t="s">
        <v>173</v>
      </c>
      <c r="AC1715" s="547" t="str">
        <f t="shared" ca="1" si="292"/>
        <v/>
      </c>
      <c r="AD1715" s="557"/>
      <c r="AE1715" s="958"/>
    </row>
    <row r="1716" spans="1:31" ht="15" customHeight="1">
      <c r="A1716" s="957" t="str">
        <f t="shared" ca="1" si="283"/>
        <v>16/17</v>
      </c>
      <c r="B1716" s="566" t="s">
        <v>1250</v>
      </c>
      <c r="C1716" s="567" t="str">
        <f t="shared" ca="1" si="284"/>
        <v>Green Star - Office</v>
      </c>
      <c r="D1716" s="958">
        <v>3</v>
      </c>
      <c r="E1716" s="959" t="s">
        <v>396</v>
      </c>
      <c r="F1716" s="558" t="s">
        <v>1498</v>
      </c>
      <c r="G1716" s="558">
        <v>149</v>
      </c>
      <c r="H1716" s="558" t="s">
        <v>1577</v>
      </c>
      <c r="I1716" s="559" t="s">
        <v>1219</v>
      </c>
      <c r="J1716" s="567" t="s">
        <v>1644</v>
      </c>
      <c r="K1716" s="961" t="s">
        <v>1568</v>
      </c>
      <c r="L1716" s="555" t="str">
        <f t="shared" ca="1" si="287"/>
        <v/>
      </c>
      <c r="M1716" s="494" t="s">
        <v>1569</v>
      </c>
      <c r="N1716" s="555" t="str">
        <f t="shared" ca="1" si="288"/>
        <v/>
      </c>
      <c r="O1716" s="494" t="s">
        <v>1570</v>
      </c>
      <c r="P1716" s="555" t="str">
        <f t="shared" ca="1" si="289"/>
        <v/>
      </c>
      <c r="Q1716" s="494" t="s">
        <v>1645</v>
      </c>
      <c r="R1716" s="494" t="str">
        <f t="shared" ref="R1716:R1729" si="294">CONCATENATE("I",ROW(J1716))</f>
        <v>I1716</v>
      </c>
      <c r="S1716" s="494" t="s">
        <v>1646</v>
      </c>
      <c r="T1716" s="494">
        <v>6</v>
      </c>
      <c r="U1716" s="556" t="str">
        <f t="shared" ca="1" si="285"/>
        <v/>
      </c>
      <c r="V1716" s="494">
        <v>7</v>
      </c>
      <c r="W1716" s="556" t="str">
        <f t="shared" ca="1" si="286"/>
        <v/>
      </c>
      <c r="X1716" s="494" t="s">
        <v>1647</v>
      </c>
      <c r="Y1716" s="547" t="str">
        <f t="shared" ca="1" si="290"/>
        <v/>
      </c>
      <c r="Z1716" s="494" t="s">
        <v>1583</v>
      </c>
      <c r="AA1716" s="547" t="str">
        <f t="shared" ca="1" si="291"/>
        <v/>
      </c>
      <c r="AB1716" s="494" t="s">
        <v>173</v>
      </c>
      <c r="AC1716" s="547" t="str">
        <f t="shared" ca="1" si="292"/>
        <v/>
      </c>
      <c r="AD1716" s="557"/>
      <c r="AE1716" s="958"/>
    </row>
    <row r="1717" spans="1:31" ht="15" customHeight="1">
      <c r="A1717" s="957" t="str">
        <f t="shared" ca="1" si="283"/>
        <v>16/17</v>
      </c>
      <c r="B1717" s="566" t="s">
        <v>1250</v>
      </c>
      <c r="C1717" s="567" t="str">
        <f t="shared" ca="1" si="284"/>
        <v>Green Star - Office</v>
      </c>
      <c r="D1717" s="958">
        <v>3</v>
      </c>
      <c r="E1717" s="959" t="s">
        <v>396</v>
      </c>
      <c r="F1717" s="558" t="s">
        <v>1498</v>
      </c>
      <c r="G1717" s="558">
        <v>150</v>
      </c>
      <c r="H1717" s="558" t="s">
        <v>1039</v>
      </c>
      <c r="I1717" s="559" t="s">
        <v>1728</v>
      </c>
      <c r="J1717" s="567" t="s">
        <v>1644</v>
      </c>
      <c r="K1717" s="961" t="s">
        <v>1568</v>
      </c>
      <c r="L1717" s="555" t="str">
        <f t="shared" ca="1" si="287"/>
        <v/>
      </c>
      <c r="M1717" s="494" t="s">
        <v>1569</v>
      </c>
      <c r="N1717" s="555" t="str">
        <f t="shared" ca="1" si="288"/>
        <v/>
      </c>
      <c r="O1717" s="494" t="s">
        <v>1570</v>
      </c>
      <c r="P1717" s="555" t="str">
        <f t="shared" ca="1" si="289"/>
        <v/>
      </c>
      <c r="Q1717" s="494" t="s">
        <v>1645</v>
      </c>
      <c r="R1717" s="494" t="str">
        <f t="shared" si="294"/>
        <v>I1717</v>
      </c>
      <c r="S1717" s="494" t="s">
        <v>1646</v>
      </c>
      <c r="T1717" s="494">
        <v>6</v>
      </c>
      <c r="U1717" s="556" t="str">
        <f t="shared" ca="1" si="285"/>
        <v/>
      </c>
      <c r="V1717" s="494">
        <v>7</v>
      </c>
      <c r="W1717" s="556" t="str">
        <f t="shared" ca="1" si="286"/>
        <v/>
      </c>
      <c r="X1717" s="494" t="s">
        <v>1647</v>
      </c>
      <c r="Y1717" s="547" t="str">
        <f t="shared" ca="1" si="290"/>
        <v/>
      </c>
      <c r="Z1717" s="494" t="s">
        <v>1583</v>
      </c>
      <c r="AA1717" s="547" t="str">
        <f t="shared" ca="1" si="291"/>
        <v/>
      </c>
      <c r="AB1717" s="494" t="s">
        <v>173</v>
      </c>
      <c r="AC1717" s="547" t="str">
        <f t="shared" ca="1" si="292"/>
        <v/>
      </c>
      <c r="AD1717" s="557"/>
      <c r="AE1717" s="958"/>
    </row>
    <row r="1718" spans="1:31" ht="15" customHeight="1">
      <c r="A1718" s="957" t="str">
        <f t="shared" ca="1" si="283"/>
        <v>16/17</v>
      </c>
      <c r="B1718" s="566" t="s">
        <v>1250</v>
      </c>
      <c r="C1718" s="567" t="str">
        <f t="shared" ca="1" si="284"/>
        <v>Green Star - Office</v>
      </c>
      <c r="D1718" s="958">
        <v>3</v>
      </c>
      <c r="E1718" s="959" t="s">
        <v>396</v>
      </c>
      <c r="F1718" s="558" t="s">
        <v>1498</v>
      </c>
      <c r="G1718" s="558">
        <v>35</v>
      </c>
      <c r="H1718" s="558" t="s">
        <v>1045</v>
      </c>
      <c r="I1718" s="559" t="s">
        <v>1221</v>
      </c>
      <c r="J1718" s="567" t="s">
        <v>1644</v>
      </c>
      <c r="K1718" s="961" t="s">
        <v>1568</v>
      </c>
      <c r="L1718" s="555" t="str">
        <f t="shared" ca="1" si="287"/>
        <v/>
      </c>
      <c r="M1718" s="494" t="s">
        <v>1569</v>
      </c>
      <c r="N1718" s="555" t="str">
        <f t="shared" ca="1" si="288"/>
        <v/>
      </c>
      <c r="O1718" s="494" t="s">
        <v>1570</v>
      </c>
      <c r="P1718" s="555" t="str">
        <f t="shared" ca="1" si="289"/>
        <v/>
      </c>
      <c r="Q1718" s="494" t="s">
        <v>1645</v>
      </c>
      <c r="R1718" s="494" t="str">
        <f t="shared" si="294"/>
        <v>I1718</v>
      </c>
      <c r="S1718" s="494" t="s">
        <v>1646</v>
      </c>
      <c r="T1718" s="494">
        <v>6</v>
      </c>
      <c r="U1718" s="556" t="str">
        <f t="shared" ca="1" si="285"/>
        <v/>
      </c>
      <c r="V1718" s="494">
        <v>7</v>
      </c>
      <c r="W1718" s="556" t="str">
        <f t="shared" ca="1" si="286"/>
        <v/>
      </c>
      <c r="X1718" s="494" t="s">
        <v>1647</v>
      </c>
      <c r="Y1718" s="547" t="str">
        <f t="shared" ca="1" si="290"/>
        <v/>
      </c>
      <c r="Z1718" s="494" t="s">
        <v>1583</v>
      </c>
      <c r="AA1718" s="547" t="str">
        <f t="shared" ca="1" si="291"/>
        <v/>
      </c>
      <c r="AB1718" s="494" t="s">
        <v>173</v>
      </c>
      <c r="AC1718" s="547" t="str">
        <f t="shared" ca="1" si="292"/>
        <v/>
      </c>
      <c r="AD1718" s="557"/>
      <c r="AE1718" s="958"/>
    </row>
    <row r="1719" spans="1:31" ht="15" customHeight="1">
      <c r="A1719" s="957" t="str">
        <f t="shared" ca="1" si="283"/>
        <v>16/17</v>
      </c>
      <c r="B1719" s="566" t="s">
        <v>1250</v>
      </c>
      <c r="C1719" s="567" t="str">
        <f t="shared" ca="1" si="284"/>
        <v>Green Star - Office</v>
      </c>
      <c r="D1719" s="958">
        <v>3</v>
      </c>
      <c r="E1719" s="959" t="s">
        <v>396</v>
      </c>
      <c r="F1719" s="558" t="s">
        <v>1498</v>
      </c>
      <c r="G1719" s="558">
        <v>37</v>
      </c>
      <c r="H1719" s="558" t="s">
        <v>1046</v>
      </c>
      <c r="I1719" s="559" t="s">
        <v>1222</v>
      </c>
      <c r="J1719" s="567" t="s">
        <v>1644</v>
      </c>
      <c r="K1719" s="961" t="s">
        <v>1568</v>
      </c>
      <c r="L1719" s="555" t="str">
        <f t="shared" ca="1" si="287"/>
        <v/>
      </c>
      <c r="M1719" s="494" t="s">
        <v>1569</v>
      </c>
      <c r="N1719" s="555" t="str">
        <f t="shared" ca="1" si="288"/>
        <v/>
      </c>
      <c r="O1719" s="494" t="s">
        <v>1570</v>
      </c>
      <c r="P1719" s="555" t="str">
        <f t="shared" ca="1" si="289"/>
        <v/>
      </c>
      <c r="Q1719" s="494" t="s">
        <v>1645</v>
      </c>
      <c r="R1719" s="494" t="str">
        <f t="shared" si="294"/>
        <v>I1719</v>
      </c>
      <c r="S1719" s="494" t="s">
        <v>1646</v>
      </c>
      <c r="T1719" s="494">
        <v>6</v>
      </c>
      <c r="U1719" s="556" t="str">
        <f t="shared" ca="1" si="285"/>
        <v/>
      </c>
      <c r="V1719" s="494">
        <v>7</v>
      </c>
      <c r="W1719" s="556" t="str">
        <f t="shared" ca="1" si="286"/>
        <v/>
      </c>
      <c r="X1719" s="494" t="s">
        <v>1647</v>
      </c>
      <c r="Y1719" s="547" t="str">
        <f t="shared" ca="1" si="290"/>
        <v/>
      </c>
      <c r="Z1719" s="494" t="s">
        <v>1583</v>
      </c>
      <c r="AA1719" s="547" t="str">
        <f t="shared" ca="1" si="291"/>
        <v/>
      </c>
      <c r="AB1719" s="494" t="s">
        <v>173</v>
      </c>
      <c r="AC1719" s="547" t="str">
        <f t="shared" ca="1" si="292"/>
        <v/>
      </c>
      <c r="AD1719" s="557"/>
      <c r="AE1719" s="958"/>
    </row>
    <row r="1720" spans="1:31" ht="15" customHeight="1">
      <c r="A1720" s="957" t="str">
        <f t="shared" ca="1" si="283"/>
        <v>16/17</v>
      </c>
      <c r="B1720" s="566" t="s">
        <v>1250</v>
      </c>
      <c r="C1720" s="567" t="str">
        <f t="shared" ca="1" si="284"/>
        <v>Green Star - Office</v>
      </c>
      <c r="D1720" s="958">
        <v>3</v>
      </c>
      <c r="E1720" s="959" t="s">
        <v>396</v>
      </c>
      <c r="F1720" s="558" t="s">
        <v>1498</v>
      </c>
      <c r="G1720" s="558">
        <v>39</v>
      </c>
      <c r="H1720" s="558" t="s">
        <v>1047</v>
      </c>
      <c r="I1720" s="559" t="s">
        <v>783</v>
      </c>
      <c r="J1720" s="567" t="s">
        <v>1644</v>
      </c>
      <c r="K1720" s="961" t="s">
        <v>1568</v>
      </c>
      <c r="L1720" s="555" t="str">
        <f t="shared" ca="1" si="287"/>
        <v/>
      </c>
      <c r="M1720" s="494" t="s">
        <v>1569</v>
      </c>
      <c r="N1720" s="555" t="str">
        <f t="shared" ca="1" si="288"/>
        <v/>
      </c>
      <c r="O1720" s="494" t="s">
        <v>1570</v>
      </c>
      <c r="P1720" s="555" t="str">
        <f t="shared" ca="1" si="289"/>
        <v/>
      </c>
      <c r="Q1720" s="494" t="s">
        <v>1645</v>
      </c>
      <c r="R1720" s="494" t="str">
        <f t="shared" si="294"/>
        <v>I1720</v>
      </c>
      <c r="S1720" s="494" t="s">
        <v>1646</v>
      </c>
      <c r="T1720" s="494">
        <v>6</v>
      </c>
      <c r="U1720" s="556" t="str">
        <f t="shared" ca="1" si="285"/>
        <v/>
      </c>
      <c r="V1720" s="494">
        <v>7</v>
      </c>
      <c r="W1720" s="556" t="str">
        <f t="shared" ca="1" si="286"/>
        <v/>
      </c>
      <c r="X1720" s="494" t="s">
        <v>1647</v>
      </c>
      <c r="Y1720" s="547" t="str">
        <f t="shared" ca="1" si="290"/>
        <v/>
      </c>
      <c r="Z1720" s="494" t="s">
        <v>1583</v>
      </c>
      <c r="AA1720" s="547" t="str">
        <f t="shared" ca="1" si="291"/>
        <v/>
      </c>
      <c r="AB1720" s="494" t="s">
        <v>173</v>
      </c>
      <c r="AC1720" s="547" t="str">
        <f t="shared" ca="1" si="292"/>
        <v/>
      </c>
      <c r="AD1720" s="557"/>
      <c r="AE1720" s="958"/>
    </row>
    <row r="1721" spans="1:31" ht="15" customHeight="1">
      <c r="A1721" s="957" t="str">
        <f t="shared" ca="1" si="283"/>
        <v>16/17</v>
      </c>
      <c r="B1721" s="566" t="s">
        <v>1250</v>
      </c>
      <c r="C1721" s="567" t="str">
        <f t="shared" ca="1" si="284"/>
        <v>Green Star - Office</v>
      </c>
      <c r="D1721" s="958">
        <v>3</v>
      </c>
      <c r="E1721" s="959" t="s">
        <v>404</v>
      </c>
      <c r="F1721" s="558" t="s">
        <v>1499</v>
      </c>
      <c r="G1721" s="558">
        <v>13</v>
      </c>
      <c r="H1721" s="558" t="s">
        <v>1223</v>
      </c>
      <c r="I1721" s="559" t="s">
        <v>1224</v>
      </c>
      <c r="J1721" s="567" t="s">
        <v>1644</v>
      </c>
      <c r="K1721" s="961" t="s">
        <v>1568</v>
      </c>
      <c r="L1721" s="555" t="str">
        <f t="shared" ca="1" si="287"/>
        <v/>
      </c>
      <c r="M1721" s="494" t="s">
        <v>1569</v>
      </c>
      <c r="N1721" s="555" t="str">
        <f t="shared" ca="1" si="288"/>
        <v/>
      </c>
      <c r="O1721" s="494" t="s">
        <v>1570</v>
      </c>
      <c r="P1721" s="555" t="str">
        <f t="shared" ca="1" si="289"/>
        <v/>
      </c>
      <c r="Q1721" s="494" t="s">
        <v>1645</v>
      </c>
      <c r="R1721" s="494" t="str">
        <f t="shared" si="294"/>
        <v>I1721</v>
      </c>
      <c r="S1721" s="494" t="s">
        <v>1646</v>
      </c>
      <c r="T1721" s="494">
        <v>6</v>
      </c>
      <c r="U1721" s="556" t="str">
        <f t="shared" ca="1" si="285"/>
        <v/>
      </c>
      <c r="V1721" s="494">
        <v>7</v>
      </c>
      <c r="W1721" s="556" t="str">
        <f t="shared" ca="1" si="286"/>
        <v/>
      </c>
      <c r="X1721" s="494" t="s">
        <v>1647</v>
      </c>
      <c r="Y1721" s="547" t="str">
        <f t="shared" ca="1" si="290"/>
        <v/>
      </c>
      <c r="Z1721" s="494" t="s">
        <v>1583</v>
      </c>
      <c r="AA1721" s="547" t="str">
        <f t="shared" ca="1" si="291"/>
        <v/>
      </c>
      <c r="AB1721" s="494" t="s">
        <v>173</v>
      </c>
      <c r="AC1721" s="547" t="str">
        <f t="shared" ca="1" si="292"/>
        <v/>
      </c>
      <c r="AD1721" s="557"/>
      <c r="AE1721" s="958"/>
    </row>
    <row r="1722" spans="1:31" ht="15" customHeight="1">
      <c r="A1722" s="957" t="str">
        <f t="shared" ca="1" si="283"/>
        <v>16/17</v>
      </c>
      <c r="B1722" s="566" t="s">
        <v>1250</v>
      </c>
      <c r="C1722" s="567" t="str">
        <f t="shared" ca="1" si="284"/>
        <v>Green Star - Office</v>
      </c>
      <c r="D1722" s="958">
        <v>3</v>
      </c>
      <c r="E1722" s="959" t="s">
        <v>404</v>
      </c>
      <c r="F1722" s="558" t="s">
        <v>1499</v>
      </c>
      <c r="G1722" s="558">
        <v>14</v>
      </c>
      <c r="H1722" s="558" t="s">
        <v>1225</v>
      </c>
      <c r="I1722" s="559" t="s">
        <v>1226</v>
      </c>
      <c r="J1722" s="567" t="s">
        <v>1644</v>
      </c>
      <c r="K1722" s="961" t="s">
        <v>1568</v>
      </c>
      <c r="L1722" s="555" t="str">
        <f t="shared" ca="1" si="287"/>
        <v/>
      </c>
      <c r="M1722" s="494" t="s">
        <v>1569</v>
      </c>
      <c r="N1722" s="555" t="str">
        <f t="shared" ca="1" si="288"/>
        <v/>
      </c>
      <c r="O1722" s="494" t="s">
        <v>1570</v>
      </c>
      <c r="P1722" s="555" t="str">
        <f t="shared" ca="1" si="289"/>
        <v/>
      </c>
      <c r="Q1722" s="494" t="s">
        <v>1645</v>
      </c>
      <c r="R1722" s="494" t="str">
        <f t="shared" si="294"/>
        <v>I1722</v>
      </c>
      <c r="S1722" s="494" t="s">
        <v>1646</v>
      </c>
      <c r="T1722" s="494">
        <v>6</v>
      </c>
      <c r="U1722" s="556" t="str">
        <f t="shared" ca="1" si="285"/>
        <v/>
      </c>
      <c r="V1722" s="494">
        <v>7</v>
      </c>
      <c r="W1722" s="556" t="str">
        <f t="shared" ca="1" si="286"/>
        <v/>
      </c>
      <c r="X1722" s="494" t="s">
        <v>1647</v>
      </c>
      <c r="Y1722" s="547" t="str">
        <f t="shared" ca="1" si="290"/>
        <v/>
      </c>
      <c r="Z1722" s="494" t="s">
        <v>1583</v>
      </c>
      <c r="AA1722" s="547" t="str">
        <f t="shared" ca="1" si="291"/>
        <v/>
      </c>
      <c r="AB1722" s="494" t="s">
        <v>173</v>
      </c>
      <c r="AC1722" s="547" t="str">
        <f t="shared" ca="1" si="292"/>
        <v/>
      </c>
      <c r="AD1722" s="557"/>
      <c r="AE1722" s="958"/>
    </row>
    <row r="1723" spans="1:31" ht="15" customHeight="1">
      <c r="A1723" s="957" t="str">
        <f t="shared" ca="1" si="283"/>
        <v>16/17</v>
      </c>
      <c r="B1723" s="566" t="s">
        <v>1250</v>
      </c>
      <c r="C1723" s="567" t="str">
        <f t="shared" ca="1" si="284"/>
        <v>Green Star - Office</v>
      </c>
      <c r="D1723" s="958">
        <v>3</v>
      </c>
      <c r="E1723" s="959" t="s">
        <v>404</v>
      </c>
      <c r="F1723" s="558" t="s">
        <v>1499</v>
      </c>
      <c r="G1723" s="558">
        <v>151</v>
      </c>
      <c r="H1723" s="558" t="s">
        <v>1227</v>
      </c>
      <c r="I1723" s="559" t="s">
        <v>1729</v>
      </c>
      <c r="J1723" s="567" t="s">
        <v>1644</v>
      </c>
      <c r="K1723" s="961" t="s">
        <v>1568</v>
      </c>
      <c r="L1723" s="555" t="str">
        <f t="shared" ca="1" si="287"/>
        <v/>
      </c>
      <c r="M1723" s="494" t="s">
        <v>1569</v>
      </c>
      <c r="N1723" s="555" t="str">
        <f t="shared" ca="1" si="288"/>
        <v/>
      </c>
      <c r="O1723" s="494" t="s">
        <v>1570</v>
      </c>
      <c r="P1723" s="555" t="str">
        <f t="shared" ca="1" si="289"/>
        <v/>
      </c>
      <c r="Q1723" s="494" t="s">
        <v>1645</v>
      </c>
      <c r="R1723" s="494" t="str">
        <f t="shared" si="294"/>
        <v>I1723</v>
      </c>
      <c r="S1723" s="494" t="s">
        <v>1646</v>
      </c>
      <c r="T1723" s="494">
        <v>6</v>
      </c>
      <c r="U1723" s="556" t="str">
        <f t="shared" ca="1" si="285"/>
        <v/>
      </c>
      <c r="V1723" s="494">
        <v>7</v>
      </c>
      <c r="W1723" s="556" t="str">
        <f t="shared" ca="1" si="286"/>
        <v/>
      </c>
      <c r="X1723" s="494" t="s">
        <v>1647</v>
      </c>
      <c r="Y1723" s="547" t="str">
        <f t="shared" ca="1" si="290"/>
        <v/>
      </c>
      <c r="Z1723" s="494" t="s">
        <v>1583</v>
      </c>
      <c r="AA1723" s="547" t="str">
        <f t="shared" ca="1" si="291"/>
        <v/>
      </c>
      <c r="AB1723" s="494" t="s">
        <v>173</v>
      </c>
      <c r="AC1723" s="547" t="str">
        <f t="shared" ca="1" si="292"/>
        <v/>
      </c>
      <c r="AD1723" s="557"/>
      <c r="AE1723" s="958"/>
    </row>
    <row r="1724" spans="1:31" ht="15" customHeight="1">
      <c r="A1724" s="957" t="str">
        <f t="shared" ref="A1724:A1732" ca="1" si="295">IF(N1724="Design Review",16,IF(N1724="As Built",17,"16/17"))</f>
        <v>16/17</v>
      </c>
      <c r="B1724" s="566" t="s">
        <v>1250</v>
      </c>
      <c r="C1724" s="567" t="str">
        <f t="shared" ref="C1724:C1732" ca="1" si="296">IF(N1724="Design Review","Green Star - Office Design",IF(N1724="As Built","Green Star - Office As Built","Green Star - Office"))</f>
        <v>Green Star - Office</v>
      </c>
      <c r="D1724" s="958">
        <v>3</v>
      </c>
      <c r="E1724" s="959" t="s">
        <v>404</v>
      </c>
      <c r="F1724" s="558" t="s">
        <v>1499</v>
      </c>
      <c r="G1724" s="558">
        <v>27</v>
      </c>
      <c r="H1724" s="558" t="s">
        <v>1229</v>
      </c>
      <c r="I1724" s="559" t="s">
        <v>1230</v>
      </c>
      <c r="J1724" s="567" t="s">
        <v>1644</v>
      </c>
      <c r="K1724" s="961" t="s">
        <v>1568</v>
      </c>
      <c r="L1724" s="555" t="str">
        <f t="shared" ca="1" si="287"/>
        <v/>
      </c>
      <c r="M1724" s="494" t="s">
        <v>1569</v>
      </c>
      <c r="N1724" s="555" t="str">
        <f t="shared" ca="1" si="288"/>
        <v/>
      </c>
      <c r="O1724" s="494" t="s">
        <v>1570</v>
      </c>
      <c r="P1724" s="555" t="str">
        <f t="shared" ca="1" si="289"/>
        <v/>
      </c>
      <c r="Q1724" s="494" t="s">
        <v>1645</v>
      </c>
      <c r="R1724" s="494" t="str">
        <f t="shared" si="294"/>
        <v>I1724</v>
      </c>
      <c r="S1724" s="494" t="s">
        <v>1646</v>
      </c>
      <c r="T1724" s="494">
        <v>6</v>
      </c>
      <c r="U1724" s="556" t="str">
        <f t="shared" ca="1" si="285"/>
        <v/>
      </c>
      <c r="V1724" s="494">
        <v>7</v>
      </c>
      <c r="W1724" s="556" t="str">
        <f t="shared" ca="1" si="286"/>
        <v/>
      </c>
      <c r="X1724" s="494" t="s">
        <v>1647</v>
      </c>
      <c r="Y1724" s="547" t="str">
        <f t="shared" ca="1" si="290"/>
        <v/>
      </c>
      <c r="Z1724" s="494" t="s">
        <v>1583</v>
      </c>
      <c r="AA1724" s="547" t="str">
        <f t="shared" ca="1" si="291"/>
        <v/>
      </c>
      <c r="AB1724" s="494" t="s">
        <v>173</v>
      </c>
      <c r="AC1724" s="547" t="str">
        <f t="shared" ca="1" si="292"/>
        <v/>
      </c>
      <c r="AD1724" s="557"/>
      <c r="AE1724" s="958"/>
    </row>
    <row r="1725" spans="1:31" ht="15" customHeight="1">
      <c r="A1725" s="957" t="str">
        <f t="shared" ca="1" si="295"/>
        <v>16/17</v>
      </c>
      <c r="B1725" s="566" t="s">
        <v>1250</v>
      </c>
      <c r="C1725" s="567" t="str">
        <f t="shared" ca="1" si="296"/>
        <v>Green Star - Office</v>
      </c>
      <c r="D1725" s="958">
        <v>3</v>
      </c>
      <c r="E1725" s="959" t="s">
        <v>404</v>
      </c>
      <c r="F1725" s="558" t="s">
        <v>1499</v>
      </c>
      <c r="G1725" s="558">
        <v>873</v>
      </c>
      <c r="H1725" s="558" t="s">
        <v>1231</v>
      </c>
      <c r="I1725" s="559" t="s">
        <v>1232</v>
      </c>
      <c r="J1725" s="567" t="s">
        <v>1644</v>
      </c>
      <c r="K1725" s="961" t="s">
        <v>1568</v>
      </c>
      <c r="L1725" s="555" t="str">
        <f t="shared" ca="1" si="287"/>
        <v/>
      </c>
      <c r="M1725" s="494" t="s">
        <v>1569</v>
      </c>
      <c r="N1725" s="555" t="str">
        <f t="shared" ca="1" si="288"/>
        <v/>
      </c>
      <c r="O1725" s="494" t="s">
        <v>1570</v>
      </c>
      <c r="P1725" s="555" t="str">
        <f t="shared" ca="1" si="289"/>
        <v/>
      </c>
      <c r="Q1725" s="494" t="s">
        <v>1645</v>
      </c>
      <c r="R1725" s="494" t="str">
        <f t="shared" si="294"/>
        <v>I1725</v>
      </c>
      <c r="S1725" s="494" t="s">
        <v>1646</v>
      </c>
      <c r="T1725" s="494">
        <v>6</v>
      </c>
      <c r="U1725" s="556" t="str">
        <f t="shared" ca="1" si="285"/>
        <v/>
      </c>
      <c r="V1725" s="494">
        <v>7</v>
      </c>
      <c r="W1725" s="556" t="str">
        <f t="shared" ca="1" si="286"/>
        <v/>
      </c>
      <c r="X1725" s="494" t="s">
        <v>1647</v>
      </c>
      <c r="Y1725" s="547" t="str">
        <f t="shared" ca="1" si="290"/>
        <v/>
      </c>
      <c r="Z1725" s="494" t="s">
        <v>1583</v>
      </c>
      <c r="AA1725" s="547" t="str">
        <f t="shared" ca="1" si="291"/>
        <v/>
      </c>
      <c r="AB1725" s="494" t="s">
        <v>173</v>
      </c>
      <c r="AC1725" s="547" t="str">
        <f t="shared" ca="1" si="292"/>
        <v/>
      </c>
      <c r="AD1725" s="557"/>
      <c r="AE1725" s="958"/>
    </row>
    <row r="1726" spans="1:31" ht="15" customHeight="1">
      <c r="A1726" s="957" t="str">
        <f t="shared" ca="1" si="295"/>
        <v>16/17</v>
      </c>
      <c r="B1726" s="566" t="s">
        <v>1250</v>
      </c>
      <c r="C1726" s="567" t="str">
        <f t="shared" ca="1" si="296"/>
        <v>Green Star - Office</v>
      </c>
      <c r="D1726" s="958">
        <v>3</v>
      </c>
      <c r="E1726" s="959" t="s">
        <v>404</v>
      </c>
      <c r="F1726" s="558" t="s">
        <v>1499</v>
      </c>
      <c r="G1726" s="558">
        <v>152</v>
      </c>
      <c r="H1726" s="558" t="s">
        <v>1233</v>
      </c>
      <c r="I1726" s="559" t="s">
        <v>1235</v>
      </c>
      <c r="J1726" s="567" t="s">
        <v>1644</v>
      </c>
      <c r="K1726" s="961" t="s">
        <v>1568</v>
      </c>
      <c r="L1726" s="555" t="str">
        <f t="shared" ca="1" si="287"/>
        <v/>
      </c>
      <c r="M1726" s="494" t="s">
        <v>1569</v>
      </c>
      <c r="N1726" s="555" t="str">
        <f t="shared" ca="1" si="288"/>
        <v/>
      </c>
      <c r="O1726" s="494" t="s">
        <v>1570</v>
      </c>
      <c r="P1726" s="555" t="str">
        <f t="shared" ca="1" si="289"/>
        <v/>
      </c>
      <c r="Q1726" s="494" t="s">
        <v>1645</v>
      </c>
      <c r="R1726" s="494" t="str">
        <f t="shared" si="294"/>
        <v>I1726</v>
      </c>
      <c r="S1726" s="494" t="s">
        <v>1648</v>
      </c>
      <c r="T1726" s="494">
        <v>6</v>
      </c>
      <c r="U1726" s="556" t="str">
        <f t="shared" ca="1" si="285"/>
        <v/>
      </c>
      <c r="V1726" s="494">
        <v>7</v>
      </c>
      <c r="W1726" s="556" t="str">
        <f t="shared" ca="1" si="286"/>
        <v/>
      </c>
      <c r="X1726" s="494" t="s">
        <v>1647</v>
      </c>
      <c r="Y1726" s="547" t="str">
        <f t="shared" ca="1" si="290"/>
        <v/>
      </c>
      <c r="Z1726" s="494" t="s">
        <v>1583</v>
      </c>
      <c r="AA1726" s="547" t="str">
        <f t="shared" ca="1" si="291"/>
        <v/>
      </c>
      <c r="AB1726" s="494" t="s">
        <v>173</v>
      </c>
      <c r="AC1726" s="547" t="str">
        <f t="shared" ca="1" si="292"/>
        <v/>
      </c>
      <c r="AD1726" s="557"/>
      <c r="AE1726" s="958"/>
    </row>
    <row r="1727" spans="1:31" ht="15" customHeight="1">
      <c r="A1727" s="957" t="str">
        <f t="shared" ca="1" si="295"/>
        <v>16/17</v>
      </c>
      <c r="B1727" s="566" t="s">
        <v>1250</v>
      </c>
      <c r="C1727" s="567" t="str">
        <f t="shared" ca="1" si="296"/>
        <v>Green Star - Office</v>
      </c>
      <c r="D1727" s="958">
        <v>3</v>
      </c>
      <c r="E1727" s="959" t="s">
        <v>404</v>
      </c>
      <c r="F1727" s="558" t="s">
        <v>1499</v>
      </c>
      <c r="G1727" s="558">
        <v>152</v>
      </c>
      <c r="H1727" s="558" t="s">
        <v>1233</v>
      </c>
      <c r="I1727" s="559" t="s">
        <v>1236</v>
      </c>
      <c r="J1727" s="567" t="s">
        <v>1644</v>
      </c>
      <c r="K1727" s="961" t="s">
        <v>1568</v>
      </c>
      <c r="L1727" s="555" t="str">
        <f t="shared" ca="1" si="287"/>
        <v/>
      </c>
      <c r="M1727" s="494" t="s">
        <v>1569</v>
      </c>
      <c r="N1727" s="555" t="str">
        <f t="shared" ca="1" si="288"/>
        <v/>
      </c>
      <c r="O1727" s="494" t="s">
        <v>1570</v>
      </c>
      <c r="P1727" s="555" t="str">
        <f t="shared" ca="1" si="289"/>
        <v/>
      </c>
      <c r="Q1727" s="494" t="s">
        <v>1645</v>
      </c>
      <c r="R1727" s="494" t="str">
        <f t="shared" si="294"/>
        <v>I1727</v>
      </c>
      <c r="S1727" s="494" t="s">
        <v>1648</v>
      </c>
      <c r="T1727" s="494">
        <v>6</v>
      </c>
      <c r="U1727" s="556" t="str">
        <f t="shared" ref="U1727:U1790" ca="1" si="297">IF(AND($B1727=INDIRECT(CONCATENATE($J1727,$K1727,5)),ISBLANK(INDEX(INDIRECT(CONCATENATE($J1727,$Q1727)),MATCH(INDIRECT($R1727),INDIRECT(CONCATENATE($J1727,$S1727)),0),T1727))=FALSE),INDEX(INDIRECT(CONCATENATE($J1727,$Q1727)),MATCH(INDIRECT($R1727),INDIRECT(CONCATENATE($J1727,$S1727)),0),T1727),"")</f>
        <v/>
      </c>
      <c r="V1727" s="494">
        <v>7</v>
      </c>
      <c r="W1727" s="556" t="str">
        <f t="shared" ref="W1727:W1790" ca="1" si="298">IF(AND($B1727=INDIRECT(CONCATENATE($J1727,$K1727,5)),ISBLANK(INDEX(INDIRECT(CONCATENATE($J1727,$Q1727)),MATCH(INDIRECT($R1727),INDIRECT(CONCATENATE($J1727,$S1727)),0),V1727))=FALSE),INDEX(INDIRECT(CONCATENATE($J1727,$Q1727)),MATCH(INDIRECT($R1727),INDIRECT(CONCATENATE($J1727,$S1727)),0),V1727),"")</f>
        <v/>
      </c>
      <c r="X1727" s="494" t="s">
        <v>1647</v>
      </c>
      <c r="Y1727" s="547" t="str">
        <f t="shared" ca="1" si="290"/>
        <v/>
      </c>
      <c r="Z1727" s="494" t="s">
        <v>1583</v>
      </c>
      <c r="AA1727" s="547" t="str">
        <f t="shared" ca="1" si="291"/>
        <v/>
      </c>
      <c r="AB1727" s="494" t="s">
        <v>173</v>
      </c>
      <c r="AC1727" s="547" t="str">
        <f t="shared" ca="1" si="292"/>
        <v/>
      </c>
      <c r="AD1727" s="557"/>
      <c r="AE1727" s="958"/>
    </row>
    <row r="1728" spans="1:31" ht="15" customHeight="1">
      <c r="A1728" s="957" t="str">
        <f t="shared" ca="1" si="295"/>
        <v>16/17</v>
      </c>
      <c r="B1728" s="566" t="s">
        <v>1250</v>
      </c>
      <c r="C1728" s="567" t="str">
        <f t="shared" ca="1" si="296"/>
        <v>Green Star - Office</v>
      </c>
      <c r="D1728" s="958">
        <v>3</v>
      </c>
      <c r="E1728" s="959" t="s">
        <v>404</v>
      </c>
      <c r="F1728" s="558" t="s">
        <v>1499</v>
      </c>
      <c r="G1728" s="558">
        <v>22</v>
      </c>
      <c r="H1728" s="558" t="s">
        <v>1237</v>
      </c>
      <c r="I1728" s="559" t="s">
        <v>409</v>
      </c>
      <c r="J1728" s="567" t="s">
        <v>1644</v>
      </c>
      <c r="K1728" s="961" t="s">
        <v>1568</v>
      </c>
      <c r="L1728" s="555" t="str">
        <f t="shared" ca="1" si="287"/>
        <v/>
      </c>
      <c r="M1728" s="494" t="s">
        <v>1569</v>
      </c>
      <c r="N1728" s="555" t="str">
        <f t="shared" ca="1" si="288"/>
        <v/>
      </c>
      <c r="O1728" s="494" t="s">
        <v>1570</v>
      </c>
      <c r="P1728" s="555" t="str">
        <f t="shared" ca="1" si="289"/>
        <v/>
      </c>
      <c r="Q1728" s="494" t="s">
        <v>1645</v>
      </c>
      <c r="R1728" s="494" t="str">
        <f t="shared" si="294"/>
        <v>I1728</v>
      </c>
      <c r="S1728" s="494" t="s">
        <v>1646</v>
      </c>
      <c r="T1728" s="494">
        <v>6</v>
      </c>
      <c r="U1728" s="556" t="str">
        <f t="shared" ca="1" si="297"/>
        <v/>
      </c>
      <c r="V1728" s="494">
        <v>7</v>
      </c>
      <c r="W1728" s="556" t="str">
        <f t="shared" ca="1" si="298"/>
        <v/>
      </c>
      <c r="X1728" s="494" t="s">
        <v>1647</v>
      </c>
      <c r="Y1728" s="547" t="str">
        <f t="shared" ca="1" si="290"/>
        <v/>
      </c>
      <c r="Z1728" s="494" t="s">
        <v>1583</v>
      </c>
      <c r="AA1728" s="547" t="str">
        <f t="shared" ca="1" si="291"/>
        <v/>
      </c>
      <c r="AB1728" s="494" t="s">
        <v>173</v>
      </c>
      <c r="AC1728" s="547" t="str">
        <f t="shared" ca="1" si="292"/>
        <v/>
      </c>
      <c r="AD1728" s="557"/>
      <c r="AE1728" s="958"/>
    </row>
    <row r="1729" spans="1:31" ht="15" customHeight="1">
      <c r="A1729" s="957" t="str">
        <f t="shared" ca="1" si="295"/>
        <v>16/17</v>
      </c>
      <c r="B1729" s="566" t="s">
        <v>1250</v>
      </c>
      <c r="C1729" s="567" t="str">
        <f t="shared" ca="1" si="296"/>
        <v>Green Star - Office</v>
      </c>
      <c r="D1729" s="958">
        <v>3</v>
      </c>
      <c r="E1729" s="959" t="s">
        <v>404</v>
      </c>
      <c r="F1729" s="558" t="s">
        <v>1499</v>
      </c>
      <c r="G1729" s="558">
        <v>153</v>
      </c>
      <c r="H1729" s="558" t="s">
        <v>1238</v>
      </c>
      <c r="I1729" s="559" t="s">
        <v>1239</v>
      </c>
      <c r="J1729" s="567" t="s">
        <v>1644</v>
      </c>
      <c r="K1729" s="961" t="s">
        <v>1568</v>
      </c>
      <c r="L1729" s="555" t="str">
        <f t="shared" ca="1" si="287"/>
        <v/>
      </c>
      <c r="M1729" s="494" t="s">
        <v>1569</v>
      </c>
      <c r="N1729" s="555" t="str">
        <f t="shared" ca="1" si="288"/>
        <v/>
      </c>
      <c r="O1729" s="494" t="s">
        <v>1570</v>
      </c>
      <c r="P1729" s="555" t="str">
        <f t="shared" ca="1" si="289"/>
        <v/>
      </c>
      <c r="Q1729" s="494" t="s">
        <v>1645</v>
      </c>
      <c r="R1729" s="494" t="str">
        <f t="shared" si="294"/>
        <v>I1729</v>
      </c>
      <c r="S1729" s="494" t="s">
        <v>1646</v>
      </c>
      <c r="T1729" s="494">
        <v>6</v>
      </c>
      <c r="U1729" s="556" t="str">
        <f t="shared" ca="1" si="297"/>
        <v/>
      </c>
      <c r="V1729" s="494">
        <v>7</v>
      </c>
      <c r="W1729" s="556" t="str">
        <f t="shared" ca="1" si="298"/>
        <v/>
      </c>
      <c r="X1729" s="494" t="s">
        <v>1647</v>
      </c>
      <c r="Y1729" s="547" t="str">
        <f t="shared" ca="1" si="290"/>
        <v/>
      </c>
      <c r="Z1729" s="494" t="s">
        <v>1583</v>
      </c>
      <c r="AA1729" s="547" t="str">
        <f t="shared" ca="1" si="291"/>
        <v/>
      </c>
      <c r="AB1729" s="494" t="s">
        <v>173</v>
      </c>
      <c r="AC1729" s="547" t="str">
        <f t="shared" ca="1" si="292"/>
        <v/>
      </c>
      <c r="AD1729" s="557"/>
      <c r="AE1729" s="958"/>
    </row>
    <row r="1730" spans="1:31" ht="15" customHeight="1">
      <c r="A1730" s="957" t="str">
        <f t="shared" ca="1" si="295"/>
        <v>16/17</v>
      </c>
      <c r="B1730" s="566" t="s">
        <v>1250</v>
      </c>
      <c r="C1730" s="567" t="str">
        <f t="shared" ca="1" si="296"/>
        <v>Green Star - Office</v>
      </c>
      <c r="D1730" s="958">
        <v>3</v>
      </c>
      <c r="E1730" s="959" t="s">
        <v>419</v>
      </c>
      <c r="F1730" s="558" t="s">
        <v>1501</v>
      </c>
      <c r="G1730" s="558">
        <v>18</v>
      </c>
      <c r="H1730" s="558" t="s">
        <v>1079</v>
      </c>
      <c r="I1730" s="559" t="s">
        <v>1242</v>
      </c>
      <c r="J1730" s="567" t="s">
        <v>1644</v>
      </c>
      <c r="K1730" s="961" t="s">
        <v>1568</v>
      </c>
      <c r="L1730" s="555" t="str">
        <f t="shared" ref="L1730:L1793" ca="1" si="299">IF(AND(INDIRECT(CONCATENATE($J1730,$K1730,5))=$B1730,ISNUMBER(SEARCH("Please",INDIRECT(CONCATENATE($J1730,$K1730,2)),1))=FALSE),SUMPRODUCT(MID(0&amp;INDIRECT(CONCATENATE($J1730,$K1730,2)), LARGE(INDEX(ISNUMBER(--MID(INDIRECT(CONCATENATE($J1730,$K1730,2)), ROW(INDIRECT("1:"&amp;LEN(INDIRECT(CONCATENATE($J1730,$K1730,2))))),1))*ROW(INDIRECT("1:"&amp;LEN(INDIRECT(CONCATENATE($J1730,$K1730,2))))),0), ROW(INDIRECT("1:"&amp;LEN(INDIRECT(CONCATENATE($J1730,$K1730,2))))))+1,1)*10^ROW(INDIRECT("1:"&amp;LEN(INDIRECT(CONCATENATE($J1730,$K1730,2)))))/10),"")</f>
        <v/>
      </c>
      <c r="M1730" s="494" t="s">
        <v>1569</v>
      </c>
      <c r="N1730" s="555" t="str">
        <f t="shared" ca="1" si="288"/>
        <v/>
      </c>
      <c r="O1730" s="494" t="s">
        <v>1570</v>
      </c>
      <c r="P1730" s="555" t="str">
        <f t="shared" ca="1" si="289"/>
        <v/>
      </c>
      <c r="Q1730" s="494" t="s">
        <v>1645</v>
      </c>
      <c r="R1730" s="494" t="str">
        <f>CONCATENATE("I",ROW(J1730))</f>
        <v>I1730</v>
      </c>
      <c r="S1730" s="494" t="s">
        <v>1646</v>
      </c>
      <c r="T1730" s="494">
        <v>6</v>
      </c>
      <c r="U1730" s="556" t="str">
        <f t="shared" ca="1" si="297"/>
        <v/>
      </c>
      <c r="V1730" s="494">
        <v>7</v>
      </c>
      <c r="W1730" s="556" t="str">
        <f t="shared" ca="1" si="298"/>
        <v/>
      </c>
      <c r="X1730" s="494" t="s">
        <v>1647</v>
      </c>
      <c r="Y1730" s="547" t="str">
        <f ca="1">IF(AND(INDIRECT(CONCATENATE($J1730,$K1730,5))=$B1730,ISBLANK(INDIRECT(CONCATENATE($J1730,X1730)))=FALSE),INDIRECT(CONCATENATE($J1730,X1730)),"")</f>
        <v/>
      </c>
      <c r="Z1730" s="494" t="s">
        <v>1583</v>
      </c>
      <c r="AA1730" s="547" t="str">
        <f ca="1">IF(AND(INDIRECT(CONCATENATE($J1730,$K1730,"5"))=$B1730,ISBLANK(INDIRECT(CONCATENATE($J1730,Z1730)))=FALSE),INDIRECT(CONCATENATE($J1730,Z1730)),"")</f>
        <v/>
      </c>
      <c r="AB1730" s="494" t="s">
        <v>173</v>
      </c>
      <c r="AC1730" s="547" t="str">
        <f t="shared" ref="AC1730:AC1757" ca="1" si="300">IF(AND(INDIRECT(CONCATENATE($J1730,$K1730,"5"))=$B1730,ISBLANK(INDIRECT(CONCATENATE($J1730,AB1730)))=FALSE),INDIRECT(CONCATENATE($J1730,AB1730)),"")</f>
        <v/>
      </c>
      <c r="AD1730" s="557"/>
      <c r="AE1730" s="958"/>
    </row>
    <row r="1731" spans="1:31" ht="15" customHeight="1">
      <c r="A1731" s="957" t="str">
        <f t="shared" ca="1" si="295"/>
        <v>16/17</v>
      </c>
      <c r="B1731" s="566" t="s">
        <v>1250</v>
      </c>
      <c r="C1731" s="567" t="str">
        <f t="shared" ca="1" si="296"/>
        <v>Green Star - Office</v>
      </c>
      <c r="D1731" s="958">
        <v>3</v>
      </c>
      <c r="E1731" s="959" t="s">
        <v>419</v>
      </c>
      <c r="F1731" s="558" t="s">
        <v>1501</v>
      </c>
      <c r="G1731" s="558">
        <v>24</v>
      </c>
      <c r="H1731" s="558" t="s">
        <v>1243</v>
      </c>
      <c r="I1731" s="559" t="s">
        <v>1244</v>
      </c>
      <c r="J1731" s="567" t="s">
        <v>1644</v>
      </c>
      <c r="K1731" s="961" t="s">
        <v>1568</v>
      </c>
      <c r="L1731" s="555" t="str">
        <f t="shared" ca="1" si="299"/>
        <v/>
      </c>
      <c r="M1731" s="494" t="s">
        <v>1569</v>
      </c>
      <c r="N1731" s="555" t="str">
        <f t="shared" ca="1" si="288"/>
        <v/>
      </c>
      <c r="O1731" s="494" t="s">
        <v>1570</v>
      </c>
      <c r="P1731" s="555" t="str">
        <f t="shared" ca="1" si="289"/>
        <v/>
      </c>
      <c r="Q1731" s="494" t="s">
        <v>1645</v>
      </c>
      <c r="R1731" s="494" t="str">
        <f>CONCATENATE("I",ROW(J1731))</f>
        <v>I1731</v>
      </c>
      <c r="S1731" s="494" t="s">
        <v>1646</v>
      </c>
      <c r="T1731" s="494">
        <v>6</v>
      </c>
      <c r="U1731" s="556" t="str">
        <f t="shared" ca="1" si="297"/>
        <v/>
      </c>
      <c r="V1731" s="494">
        <v>7</v>
      </c>
      <c r="W1731" s="556" t="str">
        <f t="shared" ca="1" si="298"/>
        <v/>
      </c>
      <c r="X1731" s="494" t="s">
        <v>1647</v>
      </c>
      <c r="Y1731" s="547" t="str">
        <f ca="1">IF(AND(INDIRECT(CONCATENATE($J1731,$K1731,5))=$B1731,ISBLANK(INDIRECT(CONCATENATE($J1731,X1731)))=FALSE),INDIRECT(CONCATENATE($J1731,X1731)),"")</f>
        <v/>
      </c>
      <c r="Z1731" s="494" t="s">
        <v>1583</v>
      </c>
      <c r="AA1731" s="547" t="str">
        <f ca="1">IF(AND(INDIRECT(CONCATENATE($J1731,$K1731,"5"))=$B1731,ISBLANK(INDIRECT(CONCATENATE($J1731,Z1731)))=FALSE),INDIRECT(CONCATENATE($J1731,Z1731)),"")</f>
        <v/>
      </c>
      <c r="AB1731" s="494" t="s">
        <v>173</v>
      </c>
      <c r="AC1731" s="547" t="str">
        <f t="shared" ca="1" si="300"/>
        <v/>
      </c>
      <c r="AD1731" s="557"/>
      <c r="AE1731" s="958"/>
    </row>
    <row r="1732" spans="1:31" ht="15" customHeight="1">
      <c r="A1732" s="957" t="str">
        <f t="shared" ca="1" si="295"/>
        <v>16/17</v>
      </c>
      <c r="B1732" s="566" t="s">
        <v>1250</v>
      </c>
      <c r="C1732" s="567" t="str">
        <f t="shared" ca="1" si="296"/>
        <v>Green Star - Office</v>
      </c>
      <c r="D1732" s="958">
        <v>3</v>
      </c>
      <c r="E1732" s="959" t="s">
        <v>419</v>
      </c>
      <c r="F1732" s="558" t="s">
        <v>1501</v>
      </c>
      <c r="G1732" s="558">
        <v>28</v>
      </c>
      <c r="H1732" s="558" t="s">
        <v>1245</v>
      </c>
      <c r="I1732" s="559" t="s">
        <v>1246</v>
      </c>
      <c r="J1732" s="567" t="s">
        <v>1644</v>
      </c>
      <c r="K1732" s="961" t="s">
        <v>1568</v>
      </c>
      <c r="L1732" s="555" t="str">
        <f t="shared" ca="1" si="299"/>
        <v/>
      </c>
      <c r="M1732" s="494" t="s">
        <v>1569</v>
      </c>
      <c r="N1732" s="555" t="str">
        <f t="shared" ca="1" si="288"/>
        <v/>
      </c>
      <c r="O1732" s="494" t="s">
        <v>1570</v>
      </c>
      <c r="P1732" s="555" t="str">
        <f t="shared" ca="1" si="289"/>
        <v/>
      </c>
      <c r="Q1732" s="494" t="s">
        <v>1645</v>
      </c>
      <c r="R1732" s="494" t="str">
        <f>CONCATENATE("I",ROW(J1732))</f>
        <v>I1732</v>
      </c>
      <c r="S1732" s="494" t="s">
        <v>1646</v>
      </c>
      <c r="T1732" s="494">
        <v>6</v>
      </c>
      <c r="U1732" s="556" t="str">
        <f t="shared" ca="1" si="297"/>
        <v/>
      </c>
      <c r="V1732" s="494">
        <v>7</v>
      </c>
      <c r="W1732" s="556" t="str">
        <f t="shared" ca="1" si="298"/>
        <v/>
      </c>
      <c r="X1732" s="494" t="s">
        <v>1647</v>
      </c>
      <c r="Y1732" s="547" t="str">
        <f ca="1">IF(AND(INDIRECT(CONCATENATE($J1732,$K1732,5))=$B1732,ISBLANK(INDIRECT(CONCATENATE($J1732,X1732)))=FALSE),INDIRECT(CONCATENATE($J1732,X1732)),"")</f>
        <v/>
      </c>
      <c r="Z1732" s="494" t="s">
        <v>1583</v>
      </c>
      <c r="AA1732" s="547" t="str">
        <f ca="1">IF(AND(INDIRECT(CONCATENATE($J1732,$K1732,"5"))=$B1732,ISBLANK(INDIRECT(CONCATENATE($J1732,Z1732)))=FALSE),INDIRECT(CONCATENATE($J1732,Z1732)),"")</f>
        <v/>
      </c>
      <c r="AB1732" s="494" t="s">
        <v>173</v>
      </c>
      <c r="AC1732" s="547" t="str">
        <f t="shared" ca="1" si="300"/>
        <v/>
      </c>
      <c r="AD1732" s="557"/>
      <c r="AE1732" s="958"/>
    </row>
    <row r="1733" spans="1:31" ht="15" customHeight="1">
      <c r="A1733" s="957">
        <v>36</v>
      </c>
      <c r="B1733" s="566" t="s">
        <v>796</v>
      </c>
      <c r="C1733" s="567" t="s">
        <v>1730</v>
      </c>
      <c r="D1733" s="958" t="s">
        <v>1596</v>
      </c>
      <c r="E1733" s="959" t="s">
        <v>254</v>
      </c>
      <c r="F1733" s="558" t="s">
        <v>1444</v>
      </c>
      <c r="G1733" s="558">
        <v>16</v>
      </c>
      <c r="H1733" s="558">
        <v>1.1000000000000001</v>
      </c>
      <c r="I1733" s="559" t="s">
        <v>812</v>
      </c>
      <c r="J1733" s="567" t="s">
        <v>1731</v>
      </c>
      <c r="K1733" s="961" t="s">
        <v>1373</v>
      </c>
      <c r="L1733" s="555" t="str">
        <f t="shared" ca="1" si="299"/>
        <v/>
      </c>
      <c r="M1733" s="494" t="s">
        <v>1609</v>
      </c>
      <c r="N1733" s="555" t="str">
        <f t="shared" ref="N1733:N1796" ca="1" si="301">IF(AND(INDIRECT(CONCATENATE($J1733,$K1733,5))=$B1733,ISNUMBER(SEARCH("Select",INDIRECT(CONCATENATE($J1733,$M1733,7)),1))=FALSE),INDIRECT(CONCATENATE($J1733,$M1733,7)),"")</f>
        <v/>
      </c>
      <c r="O1733" s="494" t="s">
        <v>1732</v>
      </c>
      <c r="P1733" s="555" t="str">
        <f t="shared" ref="P1733:P1796" ca="1" si="302">IF(AND(INDIRECT(CONCATENATE($J1733,$K1733,5))=$B1733,ISNUMBER(SEARCH("Select",INDIRECT(CONCATENATE($J1733,$O1733,7)),1))=FALSE),INDIRECT(CONCATENATE($J1733,$O1733,7)),"")</f>
        <v/>
      </c>
      <c r="Q1733" s="494" t="s">
        <v>1733</v>
      </c>
      <c r="R1733" s="494" t="str">
        <f>CONCATENATE("H",ROW(J1733))</f>
        <v>H1733</v>
      </c>
      <c r="S1733" s="494" t="s">
        <v>1734</v>
      </c>
      <c r="T1733" s="494">
        <v>7</v>
      </c>
      <c r="U1733" s="556" t="str">
        <f t="shared" ca="1" si="297"/>
        <v/>
      </c>
      <c r="V1733" s="494">
        <v>8</v>
      </c>
      <c r="W1733" s="556" t="str">
        <f t="shared" ca="1" si="298"/>
        <v/>
      </c>
      <c r="X1733" s="557"/>
      <c r="Y1733" s="958"/>
      <c r="Z1733" s="958"/>
      <c r="AA1733" s="958"/>
      <c r="AB1733" s="958" t="s">
        <v>1735</v>
      </c>
      <c r="AC1733" s="547" t="str">
        <f t="shared" ca="1" si="300"/>
        <v/>
      </c>
      <c r="AD1733" s="494" t="s">
        <v>1736</v>
      </c>
      <c r="AE1733" s="547" t="str">
        <f t="shared" ref="AE1733:AE1796" ca="1" si="303">IF(AND(INDIRECT(CONCATENATE($J1733,$K1733,"5"))=$B1733,ISBLANK(INDIRECT(CONCATENATE($J1733,AD1733)))=FALSE),INDIRECT(CONCATENATE($J1733,AD1733)),"")</f>
        <v/>
      </c>
    </row>
    <row r="1734" spans="1:31" ht="15" customHeight="1">
      <c r="A1734" s="957">
        <v>36</v>
      </c>
      <c r="B1734" s="566" t="s">
        <v>796</v>
      </c>
      <c r="C1734" s="567" t="s">
        <v>1730</v>
      </c>
      <c r="D1734" s="958" t="s">
        <v>1596</v>
      </c>
      <c r="E1734" s="959" t="s">
        <v>254</v>
      </c>
      <c r="F1734" s="558" t="s">
        <v>1444</v>
      </c>
      <c r="G1734" s="558">
        <v>358</v>
      </c>
      <c r="H1734" s="558">
        <v>2.1</v>
      </c>
      <c r="I1734" s="559" t="s">
        <v>814</v>
      </c>
      <c r="J1734" s="567" t="s">
        <v>1731</v>
      </c>
      <c r="K1734" s="961" t="s">
        <v>1373</v>
      </c>
      <c r="L1734" s="555" t="str">
        <f t="shared" ca="1" si="299"/>
        <v/>
      </c>
      <c r="M1734" s="494" t="s">
        <v>1609</v>
      </c>
      <c r="N1734" s="555" t="str">
        <f t="shared" ca="1" si="301"/>
        <v/>
      </c>
      <c r="O1734" s="494" t="s">
        <v>1732</v>
      </c>
      <c r="P1734" s="555" t="str">
        <f t="shared" ca="1" si="302"/>
        <v/>
      </c>
      <c r="Q1734" s="494" t="s">
        <v>1733</v>
      </c>
      <c r="R1734" s="494" t="str">
        <f t="shared" ref="R1734:R1797" si="304">CONCATENATE("H",ROW(J1734))</f>
        <v>H1734</v>
      </c>
      <c r="S1734" s="494" t="s">
        <v>1734</v>
      </c>
      <c r="T1734" s="494">
        <v>7</v>
      </c>
      <c r="U1734" s="556" t="str">
        <f t="shared" ca="1" si="297"/>
        <v/>
      </c>
      <c r="V1734" s="494">
        <v>8</v>
      </c>
      <c r="W1734" s="556" t="str">
        <f t="shared" ca="1" si="298"/>
        <v/>
      </c>
      <c r="X1734" s="557"/>
      <c r="Y1734" s="958"/>
      <c r="Z1734" s="958"/>
      <c r="AA1734" s="958"/>
      <c r="AB1734" s="958" t="s">
        <v>1735</v>
      </c>
      <c r="AC1734" s="547" t="str">
        <f t="shared" ca="1" si="300"/>
        <v/>
      </c>
      <c r="AD1734" s="494" t="s">
        <v>1736</v>
      </c>
      <c r="AE1734" s="547" t="str">
        <f t="shared" ca="1" si="303"/>
        <v/>
      </c>
    </row>
    <row r="1735" spans="1:31" ht="15" customHeight="1">
      <c r="A1735" s="957">
        <v>36</v>
      </c>
      <c r="B1735" s="566" t="s">
        <v>796</v>
      </c>
      <c r="C1735" s="567" t="s">
        <v>1730</v>
      </c>
      <c r="D1735" s="958" t="s">
        <v>1596</v>
      </c>
      <c r="E1735" s="959" t="s">
        <v>254</v>
      </c>
      <c r="F1735" s="558" t="s">
        <v>1444</v>
      </c>
      <c r="G1735" s="558">
        <v>358</v>
      </c>
      <c r="H1735" s="558">
        <v>2.2000000000000002</v>
      </c>
      <c r="I1735" s="559" t="s">
        <v>815</v>
      </c>
      <c r="J1735" s="567" t="s">
        <v>1731</v>
      </c>
      <c r="K1735" s="961" t="s">
        <v>1373</v>
      </c>
      <c r="L1735" s="555" t="str">
        <f t="shared" ca="1" si="299"/>
        <v/>
      </c>
      <c r="M1735" s="494" t="s">
        <v>1609</v>
      </c>
      <c r="N1735" s="555" t="str">
        <f t="shared" ca="1" si="301"/>
        <v/>
      </c>
      <c r="O1735" s="494" t="s">
        <v>1732</v>
      </c>
      <c r="P1735" s="555" t="str">
        <f t="shared" ca="1" si="302"/>
        <v/>
      </c>
      <c r="Q1735" s="494" t="s">
        <v>1733</v>
      </c>
      <c r="R1735" s="494" t="str">
        <f t="shared" si="304"/>
        <v>H1735</v>
      </c>
      <c r="S1735" s="494" t="s">
        <v>1734</v>
      </c>
      <c r="T1735" s="494">
        <v>7</v>
      </c>
      <c r="U1735" s="556" t="str">
        <f t="shared" ca="1" si="297"/>
        <v/>
      </c>
      <c r="V1735" s="494">
        <v>8</v>
      </c>
      <c r="W1735" s="556" t="str">
        <f t="shared" ca="1" si="298"/>
        <v/>
      </c>
      <c r="X1735" s="557"/>
      <c r="Y1735" s="958"/>
      <c r="Z1735" s="958"/>
      <c r="AA1735" s="958"/>
      <c r="AB1735" s="958" t="s">
        <v>1735</v>
      </c>
      <c r="AC1735" s="547" t="str">
        <f t="shared" ca="1" si="300"/>
        <v/>
      </c>
      <c r="AD1735" s="494" t="s">
        <v>1736</v>
      </c>
      <c r="AE1735" s="547" t="str">
        <f t="shared" ca="1" si="303"/>
        <v/>
      </c>
    </row>
    <row r="1736" spans="1:31" ht="15" customHeight="1">
      <c r="A1736" s="957">
        <v>36</v>
      </c>
      <c r="B1736" s="566" t="s">
        <v>796</v>
      </c>
      <c r="C1736" s="567" t="s">
        <v>1730</v>
      </c>
      <c r="D1736" s="958" t="s">
        <v>1596</v>
      </c>
      <c r="E1736" s="959" t="s">
        <v>254</v>
      </c>
      <c r="F1736" s="558" t="s">
        <v>1444</v>
      </c>
      <c r="G1736" s="558">
        <v>359</v>
      </c>
      <c r="H1736" s="558">
        <v>3.1</v>
      </c>
      <c r="I1736" s="559" t="s">
        <v>294</v>
      </c>
      <c r="J1736" s="567" t="s">
        <v>1731</v>
      </c>
      <c r="K1736" s="961" t="s">
        <v>1373</v>
      </c>
      <c r="L1736" s="555" t="str">
        <f t="shared" ca="1" si="299"/>
        <v/>
      </c>
      <c r="M1736" s="494" t="s">
        <v>1609</v>
      </c>
      <c r="N1736" s="555" t="str">
        <f t="shared" ca="1" si="301"/>
        <v/>
      </c>
      <c r="O1736" s="494" t="s">
        <v>1732</v>
      </c>
      <c r="P1736" s="555" t="str">
        <f t="shared" ca="1" si="302"/>
        <v/>
      </c>
      <c r="Q1736" s="494" t="s">
        <v>1733</v>
      </c>
      <c r="R1736" s="494" t="str">
        <f t="shared" si="304"/>
        <v>H1736</v>
      </c>
      <c r="S1736" s="494" t="s">
        <v>1734</v>
      </c>
      <c r="T1736" s="494">
        <v>7</v>
      </c>
      <c r="U1736" s="556" t="str">
        <f t="shared" ca="1" si="297"/>
        <v/>
      </c>
      <c r="V1736" s="494">
        <v>8</v>
      </c>
      <c r="W1736" s="556" t="str">
        <f t="shared" ca="1" si="298"/>
        <v/>
      </c>
      <c r="X1736" s="557"/>
      <c r="Y1736" s="958"/>
      <c r="Z1736" s="958"/>
      <c r="AA1736" s="958"/>
      <c r="AB1736" s="958" t="s">
        <v>1735</v>
      </c>
      <c r="AC1736" s="547" t="str">
        <f t="shared" ca="1" si="300"/>
        <v/>
      </c>
      <c r="AD1736" s="494" t="s">
        <v>1736</v>
      </c>
      <c r="AE1736" s="547" t="str">
        <f t="shared" ca="1" si="303"/>
        <v/>
      </c>
    </row>
    <row r="1737" spans="1:31" ht="15" customHeight="1">
      <c r="A1737" s="957">
        <v>36</v>
      </c>
      <c r="B1737" s="566" t="s">
        <v>796</v>
      </c>
      <c r="C1737" s="567" t="s">
        <v>1730</v>
      </c>
      <c r="D1737" s="958" t="s">
        <v>1596</v>
      </c>
      <c r="E1737" s="959" t="s">
        <v>254</v>
      </c>
      <c r="F1737" s="558" t="s">
        <v>1444</v>
      </c>
      <c r="G1737" s="558">
        <v>359</v>
      </c>
      <c r="H1737" s="558">
        <v>3.2</v>
      </c>
      <c r="I1737" s="559" t="s">
        <v>295</v>
      </c>
      <c r="J1737" s="567" t="s">
        <v>1731</v>
      </c>
      <c r="K1737" s="961" t="s">
        <v>1373</v>
      </c>
      <c r="L1737" s="555" t="str">
        <f t="shared" ca="1" si="299"/>
        <v/>
      </c>
      <c r="M1737" s="494" t="s">
        <v>1609</v>
      </c>
      <c r="N1737" s="555" t="str">
        <f t="shared" ca="1" si="301"/>
        <v/>
      </c>
      <c r="O1737" s="494" t="s">
        <v>1732</v>
      </c>
      <c r="P1737" s="555" t="str">
        <f t="shared" ca="1" si="302"/>
        <v/>
      </c>
      <c r="Q1737" s="494" t="s">
        <v>1733</v>
      </c>
      <c r="R1737" s="494" t="str">
        <f t="shared" si="304"/>
        <v>H1737</v>
      </c>
      <c r="S1737" s="494" t="s">
        <v>1734</v>
      </c>
      <c r="T1737" s="494">
        <v>7</v>
      </c>
      <c r="U1737" s="556" t="str">
        <f t="shared" ca="1" si="297"/>
        <v/>
      </c>
      <c r="V1737" s="494">
        <v>8</v>
      </c>
      <c r="W1737" s="556" t="str">
        <f t="shared" ca="1" si="298"/>
        <v/>
      </c>
      <c r="X1737" s="557"/>
      <c r="Y1737" s="958"/>
      <c r="Z1737" s="958"/>
      <c r="AA1737" s="958"/>
      <c r="AB1737" s="958" t="s">
        <v>1735</v>
      </c>
      <c r="AC1737" s="547" t="str">
        <f t="shared" ca="1" si="300"/>
        <v/>
      </c>
      <c r="AD1737" s="494" t="s">
        <v>1736</v>
      </c>
      <c r="AE1737" s="547" t="str">
        <f t="shared" ca="1" si="303"/>
        <v/>
      </c>
    </row>
    <row r="1738" spans="1:31" ht="15" customHeight="1">
      <c r="A1738" s="957">
        <v>36</v>
      </c>
      <c r="B1738" s="566" t="s">
        <v>796</v>
      </c>
      <c r="C1738" s="567" t="s">
        <v>1730</v>
      </c>
      <c r="D1738" s="958" t="s">
        <v>1596</v>
      </c>
      <c r="E1738" s="959" t="s">
        <v>254</v>
      </c>
      <c r="F1738" s="558" t="s">
        <v>1444</v>
      </c>
      <c r="G1738" s="558">
        <v>360</v>
      </c>
      <c r="H1738" s="558">
        <v>4.0999999999999996</v>
      </c>
      <c r="I1738" s="559" t="s">
        <v>820</v>
      </c>
      <c r="J1738" s="567" t="s">
        <v>1731</v>
      </c>
      <c r="K1738" s="961" t="s">
        <v>1373</v>
      </c>
      <c r="L1738" s="555" t="str">
        <f t="shared" ca="1" si="299"/>
        <v/>
      </c>
      <c r="M1738" s="494" t="s">
        <v>1609</v>
      </c>
      <c r="N1738" s="555" t="str">
        <f t="shared" ca="1" si="301"/>
        <v/>
      </c>
      <c r="O1738" s="494" t="s">
        <v>1732</v>
      </c>
      <c r="P1738" s="555" t="str">
        <f t="shared" ca="1" si="302"/>
        <v/>
      </c>
      <c r="Q1738" s="494" t="s">
        <v>1733</v>
      </c>
      <c r="R1738" s="494" t="str">
        <f t="shared" si="304"/>
        <v>H1738</v>
      </c>
      <c r="S1738" s="494" t="s">
        <v>1734</v>
      </c>
      <c r="T1738" s="494">
        <v>7</v>
      </c>
      <c r="U1738" s="556" t="str">
        <f t="shared" ca="1" si="297"/>
        <v/>
      </c>
      <c r="V1738" s="494">
        <v>8</v>
      </c>
      <c r="W1738" s="556" t="str">
        <f t="shared" ca="1" si="298"/>
        <v/>
      </c>
      <c r="X1738" s="557"/>
      <c r="Y1738" s="958"/>
      <c r="Z1738" s="958"/>
      <c r="AA1738" s="958"/>
      <c r="AB1738" s="958" t="s">
        <v>1735</v>
      </c>
      <c r="AC1738" s="547" t="str">
        <f t="shared" ca="1" si="300"/>
        <v/>
      </c>
      <c r="AD1738" s="494" t="s">
        <v>1736</v>
      </c>
      <c r="AE1738" s="547" t="str">
        <f t="shared" ca="1" si="303"/>
        <v/>
      </c>
    </row>
    <row r="1739" spans="1:31" ht="15" customHeight="1">
      <c r="A1739" s="957">
        <v>36</v>
      </c>
      <c r="B1739" s="566" t="s">
        <v>796</v>
      </c>
      <c r="C1739" s="567" t="s">
        <v>1730</v>
      </c>
      <c r="D1739" s="958" t="s">
        <v>1596</v>
      </c>
      <c r="E1739" s="959" t="s">
        <v>254</v>
      </c>
      <c r="F1739" s="558" t="s">
        <v>1444</v>
      </c>
      <c r="G1739" s="558">
        <v>360</v>
      </c>
      <c r="H1739" s="558">
        <v>4.2</v>
      </c>
      <c r="I1739" s="559" t="s">
        <v>821</v>
      </c>
      <c r="J1739" s="567" t="s">
        <v>1731</v>
      </c>
      <c r="K1739" s="961" t="s">
        <v>1373</v>
      </c>
      <c r="L1739" s="555" t="str">
        <f t="shared" ca="1" si="299"/>
        <v/>
      </c>
      <c r="M1739" s="494" t="s">
        <v>1609</v>
      </c>
      <c r="N1739" s="555" t="str">
        <f t="shared" ca="1" si="301"/>
        <v/>
      </c>
      <c r="O1739" s="494" t="s">
        <v>1732</v>
      </c>
      <c r="P1739" s="555" t="str">
        <f t="shared" ca="1" si="302"/>
        <v/>
      </c>
      <c r="Q1739" s="494" t="s">
        <v>1733</v>
      </c>
      <c r="R1739" s="494" t="str">
        <f t="shared" si="304"/>
        <v>H1739</v>
      </c>
      <c r="S1739" s="494" t="s">
        <v>1734</v>
      </c>
      <c r="T1739" s="494">
        <v>7</v>
      </c>
      <c r="U1739" s="556" t="str">
        <f t="shared" ca="1" si="297"/>
        <v/>
      </c>
      <c r="V1739" s="494">
        <v>8</v>
      </c>
      <c r="W1739" s="556" t="str">
        <f t="shared" ca="1" si="298"/>
        <v/>
      </c>
      <c r="X1739" s="557"/>
      <c r="Y1739" s="958"/>
      <c r="Z1739" s="958"/>
      <c r="AA1739" s="958"/>
      <c r="AB1739" s="958" t="s">
        <v>1735</v>
      </c>
      <c r="AC1739" s="547" t="str">
        <f t="shared" ca="1" si="300"/>
        <v/>
      </c>
      <c r="AD1739" s="494" t="s">
        <v>1736</v>
      </c>
      <c r="AE1739" s="547" t="str">
        <f t="shared" ca="1" si="303"/>
        <v/>
      </c>
    </row>
    <row r="1740" spans="1:31" ht="15" customHeight="1">
      <c r="A1740" s="957">
        <v>36</v>
      </c>
      <c r="B1740" s="566" t="s">
        <v>796</v>
      </c>
      <c r="C1740" s="567" t="s">
        <v>1730</v>
      </c>
      <c r="D1740" s="958" t="s">
        <v>1596</v>
      </c>
      <c r="E1740" s="959" t="s">
        <v>254</v>
      </c>
      <c r="F1740" s="558" t="s">
        <v>1444</v>
      </c>
      <c r="G1740" s="558">
        <v>94</v>
      </c>
      <c r="H1740" s="558">
        <v>5.0999999999999996</v>
      </c>
      <c r="I1740" s="559" t="s">
        <v>298</v>
      </c>
      <c r="J1740" s="567" t="s">
        <v>1731</v>
      </c>
      <c r="K1740" s="961" t="s">
        <v>1373</v>
      </c>
      <c r="L1740" s="555" t="str">
        <f t="shared" ca="1" si="299"/>
        <v/>
      </c>
      <c r="M1740" s="494" t="s">
        <v>1609</v>
      </c>
      <c r="N1740" s="555" t="str">
        <f t="shared" ca="1" si="301"/>
        <v/>
      </c>
      <c r="O1740" s="494" t="s">
        <v>1732</v>
      </c>
      <c r="P1740" s="555" t="str">
        <f t="shared" ca="1" si="302"/>
        <v/>
      </c>
      <c r="Q1740" s="494" t="s">
        <v>1733</v>
      </c>
      <c r="R1740" s="494" t="str">
        <f t="shared" si="304"/>
        <v>H1740</v>
      </c>
      <c r="S1740" s="494" t="s">
        <v>1734</v>
      </c>
      <c r="T1740" s="494">
        <v>7</v>
      </c>
      <c r="U1740" s="556" t="str">
        <f t="shared" ca="1" si="297"/>
        <v/>
      </c>
      <c r="V1740" s="494">
        <v>8</v>
      </c>
      <c r="W1740" s="556" t="str">
        <f t="shared" ca="1" si="298"/>
        <v/>
      </c>
      <c r="X1740" s="557"/>
      <c r="Y1740" s="958"/>
      <c r="Z1740" s="958"/>
      <c r="AA1740" s="958"/>
      <c r="AB1740" s="958" t="s">
        <v>1735</v>
      </c>
      <c r="AC1740" s="547" t="str">
        <f t="shared" ca="1" si="300"/>
        <v/>
      </c>
      <c r="AD1740" s="494" t="s">
        <v>1736</v>
      </c>
      <c r="AE1740" s="547" t="str">
        <f t="shared" ca="1" si="303"/>
        <v/>
      </c>
    </row>
    <row r="1741" spans="1:31" ht="15" customHeight="1">
      <c r="A1741" s="957">
        <v>36</v>
      </c>
      <c r="B1741" s="566" t="s">
        <v>796</v>
      </c>
      <c r="C1741" s="567" t="s">
        <v>1730</v>
      </c>
      <c r="D1741" s="958" t="s">
        <v>1596</v>
      </c>
      <c r="E1741" s="959" t="s">
        <v>254</v>
      </c>
      <c r="F1741" s="558" t="s">
        <v>1444</v>
      </c>
      <c r="G1741" s="558">
        <v>94</v>
      </c>
      <c r="H1741" s="558">
        <v>5.2</v>
      </c>
      <c r="I1741" s="559" t="s">
        <v>824</v>
      </c>
      <c r="J1741" s="567" t="s">
        <v>1731</v>
      </c>
      <c r="K1741" s="961" t="s">
        <v>1373</v>
      </c>
      <c r="L1741" s="555" t="str">
        <f t="shared" ca="1" si="299"/>
        <v/>
      </c>
      <c r="M1741" s="494" t="s">
        <v>1609</v>
      </c>
      <c r="N1741" s="555" t="str">
        <f t="shared" ca="1" si="301"/>
        <v/>
      </c>
      <c r="O1741" s="494" t="s">
        <v>1732</v>
      </c>
      <c r="P1741" s="555" t="str">
        <f t="shared" ca="1" si="302"/>
        <v/>
      </c>
      <c r="Q1741" s="494" t="s">
        <v>1733</v>
      </c>
      <c r="R1741" s="494" t="str">
        <f t="shared" si="304"/>
        <v>H1741</v>
      </c>
      <c r="S1741" s="494" t="s">
        <v>1734</v>
      </c>
      <c r="T1741" s="494">
        <v>7</v>
      </c>
      <c r="U1741" s="556" t="str">
        <f t="shared" ca="1" si="297"/>
        <v/>
      </c>
      <c r="V1741" s="494">
        <v>8</v>
      </c>
      <c r="W1741" s="556" t="str">
        <f t="shared" ca="1" si="298"/>
        <v/>
      </c>
      <c r="X1741" s="557"/>
      <c r="Y1741" s="958"/>
      <c r="Z1741" s="958"/>
      <c r="AA1741" s="958"/>
      <c r="AB1741" s="958" t="s">
        <v>1735</v>
      </c>
      <c r="AC1741" s="547" t="str">
        <f t="shared" ca="1" si="300"/>
        <v/>
      </c>
      <c r="AD1741" s="494" t="s">
        <v>1736</v>
      </c>
      <c r="AE1741" s="547" t="str">
        <f t="shared" ca="1" si="303"/>
        <v/>
      </c>
    </row>
    <row r="1742" spans="1:31" ht="15" customHeight="1">
      <c r="A1742" s="957">
        <v>36</v>
      </c>
      <c r="B1742" s="566" t="s">
        <v>796</v>
      </c>
      <c r="C1742" s="567" t="s">
        <v>1730</v>
      </c>
      <c r="D1742" s="958" t="s">
        <v>1596</v>
      </c>
      <c r="E1742" s="959" t="s">
        <v>254</v>
      </c>
      <c r="F1742" s="558" t="s">
        <v>1444</v>
      </c>
      <c r="G1742" s="558">
        <v>94</v>
      </c>
      <c r="H1742" s="558">
        <v>5.3</v>
      </c>
      <c r="I1742" s="559" t="s">
        <v>825</v>
      </c>
      <c r="J1742" s="567" t="s">
        <v>1731</v>
      </c>
      <c r="K1742" s="961" t="s">
        <v>1373</v>
      </c>
      <c r="L1742" s="555" t="str">
        <f t="shared" ca="1" si="299"/>
        <v/>
      </c>
      <c r="M1742" s="494" t="s">
        <v>1609</v>
      </c>
      <c r="N1742" s="555" t="str">
        <f t="shared" ca="1" si="301"/>
        <v/>
      </c>
      <c r="O1742" s="494" t="s">
        <v>1732</v>
      </c>
      <c r="P1742" s="555" t="str">
        <f t="shared" ca="1" si="302"/>
        <v/>
      </c>
      <c r="Q1742" s="494" t="s">
        <v>1733</v>
      </c>
      <c r="R1742" s="494" t="str">
        <f t="shared" si="304"/>
        <v>H1742</v>
      </c>
      <c r="S1742" s="494" t="s">
        <v>1734</v>
      </c>
      <c r="T1742" s="494">
        <v>7</v>
      </c>
      <c r="U1742" s="556" t="str">
        <f t="shared" ca="1" si="297"/>
        <v/>
      </c>
      <c r="V1742" s="494">
        <v>8</v>
      </c>
      <c r="W1742" s="556" t="str">
        <f t="shared" ca="1" si="298"/>
        <v/>
      </c>
      <c r="X1742" s="557"/>
      <c r="Y1742" s="958"/>
      <c r="Z1742" s="958"/>
      <c r="AA1742" s="958"/>
      <c r="AB1742" s="958" t="s">
        <v>1735</v>
      </c>
      <c r="AC1742" s="547" t="str">
        <f t="shared" ca="1" si="300"/>
        <v/>
      </c>
      <c r="AD1742" s="494" t="s">
        <v>1736</v>
      </c>
      <c r="AE1742" s="547" t="str">
        <f t="shared" ca="1" si="303"/>
        <v/>
      </c>
    </row>
    <row r="1743" spans="1:31" ht="15" customHeight="1">
      <c r="A1743" s="957">
        <v>36</v>
      </c>
      <c r="B1743" s="566" t="s">
        <v>796</v>
      </c>
      <c r="C1743" s="567" t="s">
        <v>1730</v>
      </c>
      <c r="D1743" s="958" t="s">
        <v>1596</v>
      </c>
      <c r="E1743" s="959" t="s">
        <v>254</v>
      </c>
      <c r="F1743" s="558" t="s">
        <v>1444</v>
      </c>
      <c r="G1743" s="558">
        <v>361</v>
      </c>
      <c r="H1743" s="558">
        <v>6.1</v>
      </c>
      <c r="I1743" s="559" t="s">
        <v>828</v>
      </c>
      <c r="J1743" s="567" t="s">
        <v>1731</v>
      </c>
      <c r="K1743" s="961" t="s">
        <v>1373</v>
      </c>
      <c r="L1743" s="555" t="str">
        <f t="shared" ca="1" si="299"/>
        <v/>
      </c>
      <c r="M1743" s="494" t="s">
        <v>1609</v>
      </c>
      <c r="N1743" s="555" t="str">
        <f t="shared" ca="1" si="301"/>
        <v/>
      </c>
      <c r="O1743" s="494" t="s">
        <v>1732</v>
      </c>
      <c r="P1743" s="555" t="str">
        <f t="shared" ca="1" si="302"/>
        <v/>
      </c>
      <c r="Q1743" s="494" t="s">
        <v>1733</v>
      </c>
      <c r="R1743" s="494" t="str">
        <f t="shared" si="304"/>
        <v>H1743</v>
      </c>
      <c r="S1743" s="494" t="s">
        <v>1734</v>
      </c>
      <c r="T1743" s="494">
        <v>7</v>
      </c>
      <c r="U1743" s="556" t="str">
        <f t="shared" ca="1" si="297"/>
        <v/>
      </c>
      <c r="V1743" s="494">
        <v>8</v>
      </c>
      <c r="W1743" s="556" t="str">
        <f t="shared" ca="1" si="298"/>
        <v/>
      </c>
      <c r="X1743" s="557"/>
      <c r="Y1743" s="958"/>
      <c r="Z1743" s="958"/>
      <c r="AA1743" s="958"/>
      <c r="AB1743" s="958" t="s">
        <v>1735</v>
      </c>
      <c r="AC1743" s="547" t="str">
        <f t="shared" ca="1" si="300"/>
        <v/>
      </c>
      <c r="AD1743" s="494" t="s">
        <v>1736</v>
      </c>
      <c r="AE1743" s="547" t="str">
        <f t="shared" ca="1" si="303"/>
        <v/>
      </c>
    </row>
    <row r="1744" spans="1:31" ht="15" customHeight="1">
      <c r="A1744" s="957">
        <v>36</v>
      </c>
      <c r="B1744" s="566" t="s">
        <v>796</v>
      </c>
      <c r="C1744" s="567" t="s">
        <v>1730</v>
      </c>
      <c r="D1744" s="958" t="s">
        <v>1596</v>
      </c>
      <c r="E1744" s="959" t="s">
        <v>254</v>
      </c>
      <c r="F1744" s="558" t="s">
        <v>1444</v>
      </c>
      <c r="G1744" s="558">
        <v>361</v>
      </c>
      <c r="H1744" s="558">
        <v>6.2</v>
      </c>
      <c r="I1744" s="559" t="s">
        <v>829</v>
      </c>
      <c r="J1744" s="567" t="s">
        <v>1731</v>
      </c>
      <c r="K1744" s="961" t="s">
        <v>1373</v>
      </c>
      <c r="L1744" s="555" t="str">
        <f t="shared" ca="1" si="299"/>
        <v/>
      </c>
      <c r="M1744" s="494" t="s">
        <v>1609</v>
      </c>
      <c r="N1744" s="555" t="str">
        <f t="shared" ca="1" si="301"/>
        <v/>
      </c>
      <c r="O1744" s="494" t="s">
        <v>1732</v>
      </c>
      <c r="P1744" s="555" t="str">
        <f t="shared" ca="1" si="302"/>
        <v/>
      </c>
      <c r="Q1744" s="494" t="s">
        <v>1733</v>
      </c>
      <c r="R1744" s="494" t="str">
        <f t="shared" si="304"/>
        <v>H1744</v>
      </c>
      <c r="S1744" s="494" t="s">
        <v>1734</v>
      </c>
      <c r="T1744" s="494">
        <v>7</v>
      </c>
      <c r="U1744" s="556" t="str">
        <f t="shared" ca="1" si="297"/>
        <v/>
      </c>
      <c r="V1744" s="494">
        <v>8</v>
      </c>
      <c r="W1744" s="556" t="str">
        <f t="shared" ca="1" si="298"/>
        <v/>
      </c>
      <c r="X1744" s="557"/>
      <c r="Y1744" s="958"/>
      <c r="Z1744" s="958"/>
      <c r="AA1744" s="958"/>
      <c r="AB1744" s="958" t="s">
        <v>1735</v>
      </c>
      <c r="AC1744" s="547" t="str">
        <f t="shared" ca="1" si="300"/>
        <v/>
      </c>
      <c r="AD1744" s="494" t="s">
        <v>1736</v>
      </c>
      <c r="AE1744" s="547" t="str">
        <f t="shared" ca="1" si="303"/>
        <v/>
      </c>
    </row>
    <row r="1745" spans="1:31" ht="15" customHeight="1">
      <c r="A1745" s="957">
        <v>36</v>
      </c>
      <c r="B1745" s="566" t="s">
        <v>796</v>
      </c>
      <c r="C1745" s="567" t="s">
        <v>1730</v>
      </c>
      <c r="D1745" s="958" t="s">
        <v>1596</v>
      </c>
      <c r="E1745" s="959" t="s">
        <v>254</v>
      </c>
      <c r="F1745" s="558" t="s">
        <v>1444</v>
      </c>
      <c r="G1745" s="558">
        <v>361</v>
      </c>
      <c r="H1745" s="558">
        <v>6.3</v>
      </c>
      <c r="I1745" s="559" t="s">
        <v>830</v>
      </c>
      <c r="J1745" s="567" t="s">
        <v>1731</v>
      </c>
      <c r="K1745" s="961" t="s">
        <v>1373</v>
      </c>
      <c r="L1745" s="555" t="str">
        <f t="shared" ca="1" si="299"/>
        <v/>
      </c>
      <c r="M1745" s="494" t="s">
        <v>1609</v>
      </c>
      <c r="N1745" s="555" t="str">
        <f t="shared" ca="1" si="301"/>
        <v/>
      </c>
      <c r="O1745" s="494" t="s">
        <v>1732</v>
      </c>
      <c r="P1745" s="555" t="str">
        <f t="shared" ca="1" si="302"/>
        <v/>
      </c>
      <c r="Q1745" s="494" t="s">
        <v>1733</v>
      </c>
      <c r="R1745" s="494" t="str">
        <f t="shared" si="304"/>
        <v>H1745</v>
      </c>
      <c r="S1745" s="494" t="s">
        <v>1734</v>
      </c>
      <c r="T1745" s="494">
        <v>7</v>
      </c>
      <c r="U1745" s="556" t="str">
        <f t="shared" ca="1" si="297"/>
        <v/>
      </c>
      <c r="V1745" s="494">
        <v>8</v>
      </c>
      <c r="W1745" s="556" t="str">
        <f t="shared" ca="1" si="298"/>
        <v/>
      </c>
      <c r="X1745" s="557"/>
      <c r="Y1745" s="958"/>
      <c r="Z1745" s="958"/>
      <c r="AA1745" s="958"/>
      <c r="AB1745" s="958" t="s">
        <v>1735</v>
      </c>
      <c r="AC1745" s="547" t="str">
        <f t="shared" ca="1" si="300"/>
        <v/>
      </c>
      <c r="AD1745" s="494" t="s">
        <v>1736</v>
      </c>
      <c r="AE1745" s="547" t="str">
        <f t="shared" ca="1" si="303"/>
        <v/>
      </c>
    </row>
    <row r="1746" spans="1:31" ht="15" customHeight="1">
      <c r="A1746" s="957">
        <v>36</v>
      </c>
      <c r="B1746" s="566" t="s">
        <v>796</v>
      </c>
      <c r="C1746" s="567" t="s">
        <v>1730</v>
      </c>
      <c r="D1746" s="958" t="s">
        <v>1596</v>
      </c>
      <c r="E1746" s="959" t="s">
        <v>254</v>
      </c>
      <c r="F1746" s="558" t="s">
        <v>1444</v>
      </c>
      <c r="G1746" s="558">
        <v>325</v>
      </c>
      <c r="H1746" s="558">
        <v>7.1</v>
      </c>
      <c r="I1746" s="559" t="s">
        <v>290</v>
      </c>
      <c r="J1746" s="567" t="s">
        <v>1731</v>
      </c>
      <c r="K1746" s="961" t="s">
        <v>1373</v>
      </c>
      <c r="L1746" s="555" t="str">
        <f t="shared" ca="1" si="299"/>
        <v/>
      </c>
      <c r="M1746" s="494" t="s">
        <v>1609</v>
      </c>
      <c r="N1746" s="555" t="str">
        <f t="shared" ca="1" si="301"/>
        <v/>
      </c>
      <c r="O1746" s="494" t="s">
        <v>1732</v>
      </c>
      <c r="P1746" s="555" t="str">
        <f t="shared" ca="1" si="302"/>
        <v/>
      </c>
      <c r="Q1746" s="494" t="s">
        <v>1733</v>
      </c>
      <c r="R1746" s="494" t="str">
        <f t="shared" si="304"/>
        <v>H1746</v>
      </c>
      <c r="S1746" s="494" t="s">
        <v>1734</v>
      </c>
      <c r="T1746" s="494">
        <v>7</v>
      </c>
      <c r="U1746" s="556" t="str">
        <f t="shared" ca="1" si="297"/>
        <v/>
      </c>
      <c r="V1746" s="494">
        <v>8</v>
      </c>
      <c r="W1746" s="556" t="str">
        <f t="shared" ca="1" si="298"/>
        <v/>
      </c>
      <c r="X1746" s="557"/>
      <c r="Y1746" s="958"/>
      <c r="Z1746" s="958"/>
      <c r="AA1746" s="958"/>
      <c r="AB1746" s="958" t="s">
        <v>1735</v>
      </c>
      <c r="AC1746" s="547" t="str">
        <f t="shared" ca="1" si="300"/>
        <v/>
      </c>
      <c r="AD1746" s="494" t="s">
        <v>1736</v>
      </c>
      <c r="AE1746" s="547" t="str">
        <f t="shared" ca="1" si="303"/>
        <v/>
      </c>
    </row>
    <row r="1747" spans="1:31" ht="15" customHeight="1">
      <c r="A1747" s="957">
        <v>36</v>
      </c>
      <c r="B1747" s="566" t="s">
        <v>796</v>
      </c>
      <c r="C1747" s="567" t="s">
        <v>1730</v>
      </c>
      <c r="D1747" s="958" t="s">
        <v>1596</v>
      </c>
      <c r="E1747" s="959" t="s">
        <v>254</v>
      </c>
      <c r="F1747" s="558" t="s">
        <v>1444</v>
      </c>
      <c r="G1747" s="558">
        <v>325</v>
      </c>
      <c r="H1747" s="558">
        <v>7.2</v>
      </c>
      <c r="I1747" s="559" t="s">
        <v>832</v>
      </c>
      <c r="J1747" s="567" t="s">
        <v>1731</v>
      </c>
      <c r="K1747" s="961" t="s">
        <v>1373</v>
      </c>
      <c r="L1747" s="555" t="str">
        <f t="shared" ca="1" si="299"/>
        <v/>
      </c>
      <c r="M1747" s="494" t="s">
        <v>1609</v>
      </c>
      <c r="N1747" s="555" t="str">
        <f t="shared" ca="1" si="301"/>
        <v/>
      </c>
      <c r="O1747" s="494" t="s">
        <v>1732</v>
      </c>
      <c r="P1747" s="555" t="str">
        <f t="shared" ca="1" si="302"/>
        <v/>
      </c>
      <c r="Q1747" s="494" t="s">
        <v>1733</v>
      </c>
      <c r="R1747" s="494" t="str">
        <f t="shared" si="304"/>
        <v>H1747</v>
      </c>
      <c r="S1747" s="494" t="s">
        <v>1734</v>
      </c>
      <c r="T1747" s="494">
        <v>7</v>
      </c>
      <c r="U1747" s="556" t="str">
        <f t="shared" ca="1" si="297"/>
        <v/>
      </c>
      <c r="V1747" s="494">
        <v>8</v>
      </c>
      <c r="W1747" s="556" t="str">
        <f t="shared" ca="1" si="298"/>
        <v/>
      </c>
      <c r="X1747" s="557"/>
      <c r="Y1747" s="958"/>
      <c r="Z1747" s="958"/>
      <c r="AA1747" s="958"/>
      <c r="AB1747" s="958" t="s">
        <v>1735</v>
      </c>
      <c r="AC1747" s="547" t="str">
        <f t="shared" ca="1" si="300"/>
        <v/>
      </c>
      <c r="AD1747" s="494" t="s">
        <v>1736</v>
      </c>
      <c r="AE1747" s="547" t="str">
        <f t="shared" ca="1" si="303"/>
        <v/>
      </c>
    </row>
    <row r="1748" spans="1:31" ht="15" customHeight="1">
      <c r="A1748" s="957">
        <v>36</v>
      </c>
      <c r="B1748" s="566" t="s">
        <v>796</v>
      </c>
      <c r="C1748" s="567" t="s">
        <v>1730</v>
      </c>
      <c r="D1748" s="958" t="s">
        <v>1596</v>
      </c>
      <c r="E1748" s="959" t="s">
        <v>254</v>
      </c>
      <c r="F1748" s="558" t="s">
        <v>1444</v>
      </c>
      <c r="G1748" s="558">
        <v>325</v>
      </c>
      <c r="H1748" s="558">
        <v>7.3</v>
      </c>
      <c r="I1748" s="559" t="s">
        <v>833</v>
      </c>
      <c r="J1748" s="567" t="s">
        <v>1731</v>
      </c>
      <c r="K1748" s="961" t="s">
        <v>1373</v>
      </c>
      <c r="L1748" s="555" t="str">
        <f t="shared" ca="1" si="299"/>
        <v/>
      </c>
      <c r="M1748" s="494" t="s">
        <v>1609</v>
      </c>
      <c r="N1748" s="555" t="str">
        <f t="shared" ca="1" si="301"/>
        <v/>
      </c>
      <c r="O1748" s="494" t="s">
        <v>1732</v>
      </c>
      <c r="P1748" s="555" t="str">
        <f t="shared" ca="1" si="302"/>
        <v/>
      </c>
      <c r="Q1748" s="494" t="s">
        <v>1733</v>
      </c>
      <c r="R1748" s="494" t="str">
        <f t="shared" si="304"/>
        <v>H1748</v>
      </c>
      <c r="S1748" s="494" t="s">
        <v>1734</v>
      </c>
      <c r="T1748" s="494">
        <v>7</v>
      </c>
      <c r="U1748" s="556" t="str">
        <f t="shared" ca="1" si="297"/>
        <v/>
      </c>
      <c r="V1748" s="494">
        <v>8</v>
      </c>
      <c r="W1748" s="556" t="str">
        <f t="shared" ca="1" si="298"/>
        <v/>
      </c>
      <c r="X1748" s="557"/>
      <c r="Y1748" s="958"/>
      <c r="Z1748" s="958"/>
      <c r="AA1748" s="958"/>
      <c r="AB1748" s="958" t="s">
        <v>1735</v>
      </c>
      <c r="AC1748" s="547" t="str">
        <f t="shared" ca="1" si="300"/>
        <v/>
      </c>
      <c r="AD1748" s="494" t="s">
        <v>1736</v>
      </c>
      <c r="AE1748" s="547" t="str">
        <f t="shared" ca="1" si="303"/>
        <v/>
      </c>
    </row>
    <row r="1749" spans="1:31" ht="15" customHeight="1">
      <c r="A1749" s="957">
        <v>36</v>
      </c>
      <c r="B1749" s="566" t="s">
        <v>796</v>
      </c>
      <c r="C1749" s="567" t="s">
        <v>1730</v>
      </c>
      <c r="D1749" s="958" t="s">
        <v>1596</v>
      </c>
      <c r="E1749" s="959" t="s">
        <v>306</v>
      </c>
      <c r="F1749" s="558" t="s">
        <v>1454</v>
      </c>
      <c r="G1749" s="558">
        <v>888</v>
      </c>
      <c r="H1749" s="558">
        <v>8.1</v>
      </c>
      <c r="I1749" s="559" t="s">
        <v>835</v>
      </c>
      <c r="J1749" s="567" t="s">
        <v>1731</v>
      </c>
      <c r="K1749" s="961" t="s">
        <v>1373</v>
      </c>
      <c r="L1749" s="555" t="str">
        <f t="shared" ca="1" si="299"/>
        <v/>
      </c>
      <c r="M1749" s="494" t="s">
        <v>1609</v>
      </c>
      <c r="N1749" s="555" t="str">
        <f t="shared" ca="1" si="301"/>
        <v/>
      </c>
      <c r="O1749" s="494" t="s">
        <v>1732</v>
      </c>
      <c r="P1749" s="555" t="str">
        <f t="shared" ca="1" si="302"/>
        <v/>
      </c>
      <c r="Q1749" s="494" t="s">
        <v>1733</v>
      </c>
      <c r="R1749" s="494" t="str">
        <f t="shared" si="304"/>
        <v>H1749</v>
      </c>
      <c r="S1749" s="494" t="s">
        <v>1734</v>
      </c>
      <c r="T1749" s="494">
        <v>7</v>
      </c>
      <c r="U1749" s="556" t="str">
        <f t="shared" ca="1" si="297"/>
        <v/>
      </c>
      <c r="V1749" s="494">
        <v>8</v>
      </c>
      <c r="W1749" s="556" t="str">
        <f t="shared" ca="1" si="298"/>
        <v/>
      </c>
      <c r="X1749" s="557"/>
      <c r="Y1749" s="958"/>
      <c r="Z1749" s="958"/>
      <c r="AA1749" s="958"/>
      <c r="AB1749" s="958" t="s">
        <v>1735</v>
      </c>
      <c r="AC1749" s="547" t="str">
        <f t="shared" ca="1" si="300"/>
        <v/>
      </c>
      <c r="AD1749" s="494" t="s">
        <v>1736</v>
      </c>
      <c r="AE1749" s="547" t="str">
        <f t="shared" ca="1" si="303"/>
        <v/>
      </c>
    </row>
    <row r="1750" spans="1:31" ht="15" customHeight="1">
      <c r="A1750" s="957">
        <v>36</v>
      </c>
      <c r="B1750" s="566" t="s">
        <v>796</v>
      </c>
      <c r="C1750" s="567" t="s">
        <v>1730</v>
      </c>
      <c r="D1750" s="958" t="s">
        <v>1596</v>
      </c>
      <c r="E1750" s="959" t="s">
        <v>306</v>
      </c>
      <c r="F1750" s="558" t="s">
        <v>1454</v>
      </c>
      <c r="G1750" s="558">
        <v>888</v>
      </c>
      <c r="H1750" s="558">
        <v>8.1999999999999993</v>
      </c>
      <c r="I1750" s="559" t="s">
        <v>836</v>
      </c>
      <c r="J1750" s="567" t="s">
        <v>1731</v>
      </c>
      <c r="K1750" s="961" t="s">
        <v>1373</v>
      </c>
      <c r="L1750" s="555" t="str">
        <f t="shared" ca="1" si="299"/>
        <v/>
      </c>
      <c r="M1750" s="494" t="s">
        <v>1609</v>
      </c>
      <c r="N1750" s="555" t="str">
        <f t="shared" ca="1" si="301"/>
        <v/>
      </c>
      <c r="O1750" s="494" t="s">
        <v>1732</v>
      </c>
      <c r="P1750" s="555" t="str">
        <f t="shared" ca="1" si="302"/>
        <v/>
      </c>
      <c r="Q1750" s="494" t="s">
        <v>1733</v>
      </c>
      <c r="R1750" s="494" t="str">
        <f t="shared" si="304"/>
        <v>H1750</v>
      </c>
      <c r="S1750" s="494" t="s">
        <v>1734</v>
      </c>
      <c r="T1750" s="494">
        <v>7</v>
      </c>
      <c r="U1750" s="556" t="str">
        <f t="shared" ca="1" si="297"/>
        <v/>
      </c>
      <c r="V1750" s="494">
        <v>8</v>
      </c>
      <c r="W1750" s="556" t="str">
        <f t="shared" ca="1" si="298"/>
        <v/>
      </c>
      <c r="X1750" s="557"/>
      <c r="Y1750" s="958"/>
      <c r="Z1750" s="958"/>
      <c r="AA1750" s="958"/>
      <c r="AB1750" s="958" t="s">
        <v>1735</v>
      </c>
      <c r="AC1750" s="547" t="str">
        <f t="shared" ca="1" si="300"/>
        <v/>
      </c>
      <c r="AD1750" s="494" t="s">
        <v>1736</v>
      </c>
      <c r="AE1750" s="547" t="str">
        <f t="shared" ca="1" si="303"/>
        <v/>
      </c>
    </row>
    <row r="1751" spans="1:31" ht="15" customHeight="1">
      <c r="A1751" s="957">
        <v>36</v>
      </c>
      <c r="B1751" s="566" t="s">
        <v>796</v>
      </c>
      <c r="C1751" s="567" t="s">
        <v>1730</v>
      </c>
      <c r="D1751" s="958" t="s">
        <v>1596</v>
      </c>
      <c r="E1751" s="959" t="s">
        <v>306</v>
      </c>
      <c r="F1751" s="558" t="s">
        <v>1454</v>
      </c>
      <c r="G1751" s="558">
        <v>888</v>
      </c>
      <c r="H1751" s="558">
        <v>8.3000000000000007</v>
      </c>
      <c r="I1751" s="559" t="s">
        <v>838</v>
      </c>
      <c r="J1751" s="567" t="s">
        <v>1731</v>
      </c>
      <c r="K1751" s="961" t="s">
        <v>1373</v>
      </c>
      <c r="L1751" s="555" t="str">
        <f t="shared" ca="1" si="299"/>
        <v/>
      </c>
      <c r="M1751" s="494" t="s">
        <v>1609</v>
      </c>
      <c r="N1751" s="555" t="str">
        <f t="shared" ca="1" si="301"/>
        <v/>
      </c>
      <c r="O1751" s="494" t="s">
        <v>1732</v>
      </c>
      <c r="P1751" s="555" t="str">
        <f t="shared" ca="1" si="302"/>
        <v/>
      </c>
      <c r="Q1751" s="494" t="s">
        <v>1733</v>
      </c>
      <c r="R1751" s="494" t="str">
        <f t="shared" si="304"/>
        <v>H1751</v>
      </c>
      <c r="S1751" s="494" t="s">
        <v>1734</v>
      </c>
      <c r="T1751" s="494">
        <v>7</v>
      </c>
      <c r="U1751" s="556" t="str">
        <f t="shared" ca="1" si="297"/>
        <v/>
      </c>
      <c r="V1751" s="494">
        <v>8</v>
      </c>
      <c r="W1751" s="556" t="str">
        <f t="shared" ca="1" si="298"/>
        <v/>
      </c>
      <c r="X1751" s="557"/>
      <c r="Y1751" s="958"/>
      <c r="Z1751" s="958"/>
      <c r="AA1751" s="958"/>
      <c r="AB1751" s="958" t="s">
        <v>1735</v>
      </c>
      <c r="AC1751" s="547" t="str">
        <f t="shared" ca="1" si="300"/>
        <v/>
      </c>
      <c r="AD1751" s="494" t="s">
        <v>1736</v>
      </c>
      <c r="AE1751" s="547" t="str">
        <f t="shared" ca="1" si="303"/>
        <v/>
      </c>
    </row>
    <row r="1752" spans="1:31" ht="15" customHeight="1">
      <c r="A1752" s="957">
        <v>36</v>
      </c>
      <c r="B1752" s="566" t="s">
        <v>796</v>
      </c>
      <c r="C1752" s="567" t="s">
        <v>1730</v>
      </c>
      <c r="D1752" s="958" t="s">
        <v>1596</v>
      </c>
      <c r="E1752" s="959" t="s">
        <v>306</v>
      </c>
      <c r="F1752" s="558" t="s">
        <v>1454</v>
      </c>
      <c r="G1752" s="558">
        <v>134</v>
      </c>
      <c r="H1752" s="558">
        <v>9.1</v>
      </c>
      <c r="I1752" s="559" t="s">
        <v>840</v>
      </c>
      <c r="J1752" s="567" t="s">
        <v>1731</v>
      </c>
      <c r="K1752" s="961" t="s">
        <v>1373</v>
      </c>
      <c r="L1752" s="555" t="str">
        <f t="shared" ca="1" si="299"/>
        <v/>
      </c>
      <c r="M1752" s="494" t="s">
        <v>1609</v>
      </c>
      <c r="N1752" s="555" t="str">
        <f t="shared" ca="1" si="301"/>
        <v/>
      </c>
      <c r="O1752" s="494" t="s">
        <v>1732</v>
      </c>
      <c r="P1752" s="555" t="str">
        <f t="shared" ca="1" si="302"/>
        <v/>
      </c>
      <c r="Q1752" s="494" t="s">
        <v>1733</v>
      </c>
      <c r="R1752" s="494" t="str">
        <f t="shared" si="304"/>
        <v>H1752</v>
      </c>
      <c r="S1752" s="494" t="s">
        <v>1734</v>
      </c>
      <c r="T1752" s="494">
        <v>7</v>
      </c>
      <c r="U1752" s="556" t="str">
        <f t="shared" ca="1" si="297"/>
        <v/>
      </c>
      <c r="V1752" s="494">
        <v>8</v>
      </c>
      <c r="W1752" s="556" t="str">
        <f t="shared" ca="1" si="298"/>
        <v/>
      </c>
      <c r="X1752" s="557"/>
      <c r="Y1752" s="958"/>
      <c r="Z1752" s="958"/>
      <c r="AA1752" s="958"/>
      <c r="AB1752" s="958" t="s">
        <v>1735</v>
      </c>
      <c r="AC1752" s="547" t="str">
        <f t="shared" ca="1" si="300"/>
        <v/>
      </c>
      <c r="AD1752" s="494" t="s">
        <v>1736</v>
      </c>
      <c r="AE1752" s="547" t="str">
        <f t="shared" ca="1" si="303"/>
        <v/>
      </c>
    </row>
    <row r="1753" spans="1:31" ht="15" customHeight="1">
      <c r="A1753" s="957">
        <v>36</v>
      </c>
      <c r="B1753" s="566" t="s">
        <v>796</v>
      </c>
      <c r="C1753" s="567" t="s">
        <v>1730</v>
      </c>
      <c r="D1753" s="958" t="s">
        <v>1596</v>
      </c>
      <c r="E1753" s="959" t="s">
        <v>306</v>
      </c>
      <c r="F1753" s="558" t="s">
        <v>1454</v>
      </c>
      <c r="G1753" s="558">
        <v>134</v>
      </c>
      <c r="H1753" s="558">
        <v>9.1999999999999993</v>
      </c>
      <c r="I1753" s="559" t="s">
        <v>841</v>
      </c>
      <c r="J1753" s="567" t="s">
        <v>1731</v>
      </c>
      <c r="K1753" s="961" t="s">
        <v>1373</v>
      </c>
      <c r="L1753" s="555" t="str">
        <f t="shared" ca="1" si="299"/>
        <v/>
      </c>
      <c r="M1753" s="494" t="s">
        <v>1609</v>
      </c>
      <c r="N1753" s="555" t="str">
        <f t="shared" ca="1" si="301"/>
        <v/>
      </c>
      <c r="O1753" s="494" t="s">
        <v>1732</v>
      </c>
      <c r="P1753" s="555" t="str">
        <f t="shared" ca="1" si="302"/>
        <v/>
      </c>
      <c r="Q1753" s="494" t="s">
        <v>1733</v>
      </c>
      <c r="R1753" s="494" t="str">
        <f t="shared" si="304"/>
        <v>H1753</v>
      </c>
      <c r="S1753" s="494" t="s">
        <v>1734</v>
      </c>
      <c r="T1753" s="494">
        <v>7</v>
      </c>
      <c r="U1753" s="556" t="str">
        <f t="shared" ca="1" si="297"/>
        <v/>
      </c>
      <c r="V1753" s="494">
        <v>8</v>
      </c>
      <c r="W1753" s="556" t="str">
        <f t="shared" ca="1" si="298"/>
        <v/>
      </c>
      <c r="X1753" s="557"/>
      <c r="Y1753" s="958"/>
      <c r="Z1753" s="958"/>
      <c r="AA1753" s="958"/>
      <c r="AB1753" s="958" t="s">
        <v>1735</v>
      </c>
      <c r="AC1753" s="547" t="str">
        <f t="shared" ca="1" si="300"/>
        <v/>
      </c>
      <c r="AD1753" s="494" t="s">
        <v>1736</v>
      </c>
      <c r="AE1753" s="547" t="str">
        <f t="shared" ca="1" si="303"/>
        <v/>
      </c>
    </row>
    <row r="1754" spans="1:31" ht="15" customHeight="1">
      <c r="A1754" s="957">
        <v>36</v>
      </c>
      <c r="B1754" s="566" t="s">
        <v>796</v>
      </c>
      <c r="C1754" s="567" t="s">
        <v>1730</v>
      </c>
      <c r="D1754" s="958" t="s">
        <v>1596</v>
      </c>
      <c r="E1754" s="959" t="s">
        <v>306</v>
      </c>
      <c r="F1754" s="558" t="s">
        <v>1454</v>
      </c>
      <c r="G1754" s="558">
        <v>334</v>
      </c>
      <c r="H1754" s="558">
        <v>10.1</v>
      </c>
      <c r="I1754" s="559" t="s">
        <v>843</v>
      </c>
      <c r="J1754" s="567" t="s">
        <v>1731</v>
      </c>
      <c r="K1754" s="961" t="s">
        <v>1373</v>
      </c>
      <c r="L1754" s="555" t="str">
        <f t="shared" ca="1" si="299"/>
        <v/>
      </c>
      <c r="M1754" s="494" t="s">
        <v>1609</v>
      </c>
      <c r="N1754" s="555" t="str">
        <f t="shared" ca="1" si="301"/>
        <v/>
      </c>
      <c r="O1754" s="494" t="s">
        <v>1732</v>
      </c>
      <c r="P1754" s="555" t="str">
        <f t="shared" ca="1" si="302"/>
        <v/>
      </c>
      <c r="Q1754" s="494" t="s">
        <v>1733</v>
      </c>
      <c r="R1754" s="494" t="str">
        <f t="shared" si="304"/>
        <v>H1754</v>
      </c>
      <c r="S1754" s="494" t="s">
        <v>1734</v>
      </c>
      <c r="T1754" s="494">
        <v>7</v>
      </c>
      <c r="U1754" s="556" t="str">
        <f t="shared" ca="1" si="297"/>
        <v/>
      </c>
      <c r="V1754" s="494">
        <v>8</v>
      </c>
      <c r="W1754" s="556" t="str">
        <f t="shared" ca="1" si="298"/>
        <v/>
      </c>
      <c r="X1754" s="557"/>
      <c r="Y1754" s="958"/>
      <c r="Z1754" s="958"/>
      <c r="AA1754" s="958"/>
      <c r="AB1754" s="958" t="s">
        <v>1735</v>
      </c>
      <c r="AC1754" s="547" t="str">
        <f t="shared" ca="1" si="300"/>
        <v/>
      </c>
      <c r="AD1754" s="494" t="s">
        <v>1736</v>
      </c>
      <c r="AE1754" s="547" t="str">
        <f t="shared" ca="1" si="303"/>
        <v/>
      </c>
    </row>
    <row r="1755" spans="1:31" ht="15" customHeight="1">
      <c r="A1755" s="957">
        <v>36</v>
      </c>
      <c r="B1755" s="566" t="s">
        <v>796</v>
      </c>
      <c r="C1755" s="567" t="s">
        <v>1730</v>
      </c>
      <c r="D1755" s="958" t="s">
        <v>1596</v>
      </c>
      <c r="E1755" s="959" t="s">
        <v>306</v>
      </c>
      <c r="F1755" s="558" t="s">
        <v>1454</v>
      </c>
      <c r="G1755" s="558">
        <v>334</v>
      </c>
      <c r="H1755" s="558">
        <v>10.199999999999999</v>
      </c>
      <c r="I1755" s="559" t="s">
        <v>844</v>
      </c>
      <c r="J1755" s="567" t="s">
        <v>1731</v>
      </c>
      <c r="K1755" s="961" t="s">
        <v>1373</v>
      </c>
      <c r="L1755" s="555" t="str">
        <f t="shared" ca="1" si="299"/>
        <v/>
      </c>
      <c r="M1755" s="494" t="s">
        <v>1609</v>
      </c>
      <c r="N1755" s="555" t="str">
        <f t="shared" ca="1" si="301"/>
        <v/>
      </c>
      <c r="O1755" s="494" t="s">
        <v>1732</v>
      </c>
      <c r="P1755" s="555" t="str">
        <f t="shared" ca="1" si="302"/>
        <v/>
      </c>
      <c r="Q1755" s="494" t="s">
        <v>1733</v>
      </c>
      <c r="R1755" s="494" t="str">
        <f t="shared" si="304"/>
        <v>H1755</v>
      </c>
      <c r="S1755" s="494" t="s">
        <v>1734</v>
      </c>
      <c r="T1755" s="494">
        <v>7</v>
      </c>
      <c r="U1755" s="556" t="str">
        <f t="shared" ca="1" si="297"/>
        <v/>
      </c>
      <c r="V1755" s="494">
        <v>8</v>
      </c>
      <c r="W1755" s="556" t="str">
        <f t="shared" ca="1" si="298"/>
        <v/>
      </c>
      <c r="X1755" s="557"/>
      <c r="Y1755" s="958"/>
      <c r="Z1755" s="958"/>
      <c r="AA1755" s="958"/>
      <c r="AB1755" s="958" t="s">
        <v>1735</v>
      </c>
      <c r="AC1755" s="547" t="str">
        <f t="shared" ca="1" si="300"/>
        <v/>
      </c>
      <c r="AD1755" s="494" t="s">
        <v>1736</v>
      </c>
      <c r="AE1755" s="547" t="str">
        <f t="shared" ca="1" si="303"/>
        <v/>
      </c>
    </row>
    <row r="1756" spans="1:31" ht="15" customHeight="1">
      <c r="A1756" s="957">
        <v>36</v>
      </c>
      <c r="B1756" s="566" t="s">
        <v>796</v>
      </c>
      <c r="C1756" s="567" t="s">
        <v>1730</v>
      </c>
      <c r="D1756" s="958" t="s">
        <v>1596</v>
      </c>
      <c r="E1756" s="959" t="s">
        <v>306</v>
      </c>
      <c r="F1756" s="558" t="s">
        <v>1454</v>
      </c>
      <c r="G1756" s="558">
        <v>363</v>
      </c>
      <c r="H1756" s="558">
        <v>11.1</v>
      </c>
      <c r="I1756" s="559" t="s">
        <v>847</v>
      </c>
      <c r="J1756" s="567" t="s">
        <v>1731</v>
      </c>
      <c r="K1756" s="961" t="s">
        <v>1373</v>
      </c>
      <c r="L1756" s="555" t="str">
        <f t="shared" ca="1" si="299"/>
        <v/>
      </c>
      <c r="M1756" s="494" t="s">
        <v>1609</v>
      </c>
      <c r="N1756" s="555" t="str">
        <f t="shared" ca="1" si="301"/>
        <v/>
      </c>
      <c r="O1756" s="494" t="s">
        <v>1732</v>
      </c>
      <c r="P1756" s="555" t="str">
        <f t="shared" ca="1" si="302"/>
        <v/>
      </c>
      <c r="Q1756" s="494" t="s">
        <v>1733</v>
      </c>
      <c r="R1756" s="494" t="str">
        <f t="shared" si="304"/>
        <v>H1756</v>
      </c>
      <c r="S1756" s="494" t="s">
        <v>1734</v>
      </c>
      <c r="T1756" s="494">
        <v>7</v>
      </c>
      <c r="U1756" s="556" t="str">
        <f t="shared" ca="1" si="297"/>
        <v/>
      </c>
      <c r="V1756" s="494">
        <v>8</v>
      </c>
      <c r="W1756" s="556" t="str">
        <f t="shared" ca="1" si="298"/>
        <v/>
      </c>
      <c r="X1756" s="557"/>
      <c r="Y1756" s="958"/>
      <c r="Z1756" s="958"/>
      <c r="AA1756" s="958"/>
      <c r="AB1756" s="958" t="s">
        <v>1735</v>
      </c>
      <c r="AC1756" s="547" t="str">
        <f t="shared" ca="1" si="300"/>
        <v/>
      </c>
      <c r="AD1756" s="494" t="s">
        <v>1736</v>
      </c>
      <c r="AE1756" s="547" t="str">
        <f t="shared" ca="1" si="303"/>
        <v/>
      </c>
    </row>
    <row r="1757" spans="1:31" ht="15" customHeight="1">
      <c r="A1757" s="957">
        <v>36</v>
      </c>
      <c r="B1757" s="566" t="s">
        <v>796</v>
      </c>
      <c r="C1757" s="567" t="s">
        <v>1730</v>
      </c>
      <c r="D1757" s="958" t="s">
        <v>1596</v>
      </c>
      <c r="E1757" s="959" t="s">
        <v>306</v>
      </c>
      <c r="F1757" s="558" t="s">
        <v>1454</v>
      </c>
      <c r="G1757" s="558">
        <v>363</v>
      </c>
      <c r="H1757" s="558">
        <v>11.2</v>
      </c>
      <c r="I1757" s="559" t="s">
        <v>848</v>
      </c>
      <c r="J1757" s="567" t="s">
        <v>1731</v>
      </c>
      <c r="K1757" s="961" t="s">
        <v>1373</v>
      </c>
      <c r="L1757" s="555" t="str">
        <f t="shared" ca="1" si="299"/>
        <v/>
      </c>
      <c r="M1757" s="494" t="s">
        <v>1609</v>
      </c>
      <c r="N1757" s="555" t="str">
        <f t="shared" ca="1" si="301"/>
        <v/>
      </c>
      <c r="O1757" s="494" t="s">
        <v>1732</v>
      </c>
      <c r="P1757" s="555" t="str">
        <f t="shared" ca="1" si="302"/>
        <v/>
      </c>
      <c r="Q1757" s="494" t="s">
        <v>1733</v>
      </c>
      <c r="R1757" s="494" t="str">
        <f t="shared" si="304"/>
        <v>H1757</v>
      </c>
      <c r="S1757" s="494" t="s">
        <v>1734</v>
      </c>
      <c r="T1757" s="494">
        <v>7</v>
      </c>
      <c r="U1757" s="556" t="str">
        <f t="shared" ca="1" si="297"/>
        <v/>
      </c>
      <c r="V1757" s="494">
        <v>8</v>
      </c>
      <c r="W1757" s="556" t="str">
        <f t="shared" ca="1" si="298"/>
        <v/>
      </c>
      <c r="X1757" s="557"/>
      <c r="Y1757" s="958"/>
      <c r="Z1757" s="958"/>
      <c r="AA1757" s="958"/>
      <c r="AB1757" s="958" t="s">
        <v>1735</v>
      </c>
      <c r="AC1757" s="547" t="str">
        <f t="shared" ca="1" si="300"/>
        <v/>
      </c>
      <c r="AD1757" s="494" t="s">
        <v>1736</v>
      </c>
      <c r="AE1757" s="547" t="str">
        <f t="shared" ca="1" si="303"/>
        <v/>
      </c>
    </row>
    <row r="1758" spans="1:31" ht="15" customHeight="1">
      <c r="A1758" s="957">
        <v>36</v>
      </c>
      <c r="B1758" s="566" t="s">
        <v>796</v>
      </c>
      <c r="C1758" s="567" t="s">
        <v>1730</v>
      </c>
      <c r="D1758" s="958" t="s">
        <v>1596</v>
      </c>
      <c r="E1758" s="959" t="s">
        <v>306</v>
      </c>
      <c r="F1758" s="558" t="s">
        <v>1454</v>
      </c>
      <c r="G1758" s="558">
        <v>73</v>
      </c>
      <c r="H1758" s="558" t="s">
        <v>850</v>
      </c>
      <c r="I1758" s="559" t="s">
        <v>851</v>
      </c>
      <c r="J1758" s="567" t="s">
        <v>1731</v>
      </c>
      <c r="K1758" s="961" t="s">
        <v>1373</v>
      </c>
      <c r="L1758" s="555" t="str">
        <f t="shared" ca="1" si="299"/>
        <v/>
      </c>
      <c r="M1758" s="494" t="s">
        <v>1609</v>
      </c>
      <c r="N1758" s="555" t="str">
        <f t="shared" ca="1" si="301"/>
        <v/>
      </c>
      <c r="O1758" s="494" t="s">
        <v>1732</v>
      </c>
      <c r="P1758" s="555" t="str">
        <f t="shared" ca="1" si="302"/>
        <v/>
      </c>
      <c r="Q1758" s="494" t="s">
        <v>1733</v>
      </c>
      <c r="R1758" s="494" t="str">
        <f>CONCATENATE("H",ROW(J1758))</f>
        <v>H1758</v>
      </c>
      <c r="S1758" s="494" t="s">
        <v>1734</v>
      </c>
      <c r="T1758" s="494">
        <v>7</v>
      </c>
      <c r="U1758" s="556" t="str">
        <f t="shared" ca="1" si="297"/>
        <v/>
      </c>
      <c r="V1758" s="494">
        <v>8</v>
      </c>
      <c r="W1758" s="556" t="str">
        <f t="shared" ca="1" si="298"/>
        <v/>
      </c>
      <c r="X1758" s="557"/>
      <c r="Y1758" s="958"/>
      <c r="Z1758" s="958"/>
      <c r="AA1758" s="958"/>
      <c r="AB1758" s="958" t="s">
        <v>1735</v>
      </c>
      <c r="AC1758" s="547" t="str">
        <f ca="1">IF(AND(INDIRECT(CONCATENATE($J1762,$K1762,"5"))=$B1762,ISBLANK(INDIRECT(CONCATENATE($J1762,AB1758)))=FALSE),INDIRECT(CONCATENATE($J1762,AB1758)),"")</f>
        <v/>
      </c>
      <c r="AD1758" s="494" t="s">
        <v>1736</v>
      </c>
      <c r="AE1758" s="547" t="str">
        <f t="shared" ca="1" si="303"/>
        <v/>
      </c>
    </row>
    <row r="1759" spans="1:31" ht="15" customHeight="1">
      <c r="A1759" s="957">
        <v>36</v>
      </c>
      <c r="B1759" s="566" t="s">
        <v>796</v>
      </c>
      <c r="C1759" s="567" t="s">
        <v>1730</v>
      </c>
      <c r="D1759" s="958" t="s">
        <v>1596</v>
      </c>
      <c r="E1759" s="959" t="s">
        <v>306</v>
      </c>
      <c r="F1759" s="558" t="s">
        <v>1454</v>
      </c>
      <c r="G1759" s="558">
        <v>73</v>
      </c>
      <c r="H1759" s="558" t="s">
        <v>853</v>
      </c>
      <c r="I1759" s="559" t="s">
        <v>854</v>
      </c>
      <c r="J1759" s="567" t="s">
        <v>1731</v>
      </c>
      <c r="K1759" s="961" t="s">
        <v>1373</v>
      </c>
      <c r="L1759" s="555" t="str">
        <f t="shared" ca="1" si="299"/>
        <v/>
      </c>
      <c r="M1759" s="494" t="s">
        <v>1609</v>
      </c>
      <c r="N1759" s="555" t="str">
        <f t="shared" ca="1" si="301"/>
        <v/>
      </c>
      <c r="O1759" s="494" t="s">
        <v>1732</v>
      </c>
      <c r="P1759" s="555" t="str">
        <f t="shared" ca="1" si="302"/>
        <v/>
      </c>
      <c r="Q1759" s="494" t="s">
        <v>1733</v>
      </c>
      <c r="R1759" s="494" t="str">
        <f>CONCATENATE("H",ROW(J1759))</f>
        <v>H1759</v>
      </c>
      <c r="S1759" s="494" t="s">
        <v>1734</v>
      </c>
      <c r="T1759" s="494">
        <v>7</v>
      </c>
      <c r="U1759" s="556" t="str">
        <f t="shared" ca="1" si="297"/>
        <v/>
      </c>
      <c r="V1759" s="494">
        <v>8</v>
      </c>
      <c r="W1759" s="556" t="str">
        <f t="shared" ca="1" si="298"/>
        <v/>
      </c>
      <c r="X1759" s="557"/>
      <c r="Y1759" s="958"/>
      <c r="Z1759" s="958"/>
      <c r="AA1759" s="958"/>
      <c r="AB1759" s="958" t="s">
        <v>1735</v>
      </c>
      <c r="AC1759" s="547" t="str">
        <f ca="1">IF(AND(INDIRECT(CONCATENATE($J1763,$K1763,"5"))=$B1763,ISBLANK(INDIRECT(CONCATENATE($J1763,AB1759)))=FALSE),INDIRECT(CONCATENATE($J1763,AB1759)),"")</f>
        <v/>
      </c>
      <c r="AD1759" s="494" t="s">
        <v>1736</v>
      </c>
      <c r="AE1759" s="547" t="str">
        <f t="shared" ca="1" si="303"/>
        <v/>
      </c>
    </row>
    <row r="1760" spans="1:31" ht="15" customHeight="1">
      <c r="A1760" s="957">
        <v>36</v>
      </c>
      <c r="B1760" s="566" t="s">
        <v>796</v>
      </c>
      <c r="C1760" s="567" t="s">
        <v>1730</v>
      </c>
      <c r="D1760" s="958" t="s">
        <v>1596</v>
      </c>
      <c r="E1760" s="959" t="s">
        <v>306</v>
      </c>
      <c r="F1760" s="558" t="s">
        <v>1454</v>
      </c>
      <c r="G1760" s="558">
        <v>73</v>
      </c>
      <c r="H1760" s="558" t="s">
        <v>855</v>
      </c>
      <c r="I1760" s="559" t="s">
        <v>856</v>
      </c>
      <c r="J1760" s="567" t="s">
        <v>1731</v>
      </c>
      <c r="K1760" s="961" t="s">
        <v>1373</v>
      </c>
      <c r="L1760" s="555" t="str">
        <f t="shared" ca="1" si="299"/>
        <v/>
      </c>
      <c r="M1760" s="494" t="s">
        <v>1609</v>
      </c>
      <c r="N1760" s="555" t="str">
        <f t="shared" ca="1" si="301"/>
        <v/>
      </c>
      <c r="O1760" s="494" t="s">
        <v>1732</v>
      </c>
      <c r="P1760" s="555" t="str">
        <f t="shared" ca="1" si="302"/>
        <v/>
      </c>
      <c r="Q1760" s="494" t="s">
        <v>1733</v>
      </c>
      <c r="R1760" s="494" t="str">
        <f>CONCATENATE("H",ROW(J1760))</f>
        <v>H1760</v>
      </c>
      <c r="S1760" s="494" t="s">
        <v>1734</v>
      </c>
      <c r="T1760" s="494">
        <v>7</v>
      </c>
      <c r="U1760" s="556" t="str">
        <f t="shared" ca="1" si="297"/>
        <v/>
      </c>
      <c r="V1760" s="494">
        <v>8</v>
      </c>
      <c r="W1760" s="556" t="str">
        <f t="shared" ca="1" si="298"/>
        <v/>
      </c>
      <c r="X1760" s="557"/>
      <c r="Y1760" s="958"/>
      <c r="Z1760" s="958"/>
      <c r="AA1760" s="958"/>
      <c r="AB1760" s="958" t="s">
        <v>1735</v>
      </c>
      <c r="AC1760" s="547" t="str">
        <f ca="1">IF(AND(INDIRECT(CONCATENATE($J1764,$K1764,"5"))=$B1764,ISBLANK(INDIRECT(CONCATENATE($J1764,AB1760)))=FALSE),INDIRECT(CONCATENATE($J1764,AB1760)),"")</f>
        <v/>
      </c>
      <c r="AD1760" s="494" t="s">
        <v>1736</v>
      </c>
      <c r="AE1760" s="547" t="str">
        <f t="shared" ca="1" si="303"/>
        <v/>
      </c>
    </row>
    <row r="1761" spans="1:31" ht="15" customHeight="1">
      <c r="A1761" s="957">
        <v>36</v>
      </c>
      <c r="B1761" s="566" t="s">
        <v>796</v>
      </c>
      <c r="C1761" s="567" t="s">
        <v>1730</v>
      </c>
      <c r="D1761" s="958" t="s">
        <v>1596</v>
      </c>
      <c r="E1761" s="959" t="s">
        <v>306</v>
      </c>
      <c r="F1761" s="558" t="s">
        <v>1454</v>
      </c>
      <c r="G1761" s="558">
        <v>73</v>
      </c>
      <c r="H1761" s="558" t="s">
        <v>857</v>
      </c>
      <c r="I1761" s="559" t="s">
        <v>858</v>
      </c>
      <c r="J1761" s="567" t="s">
        <v>1731</v>
      </c>
      <c r="K1761" s="961" t="s">
        <v>1373</v>
      </c>
      <c r="L1761" s="555" t="str">
        <f t="shared" ca="1" si="299"/>
        <v/>
      </c>
      <c r="M1761" s="494" t="s">
        <v>1609</v>
      </c>
      <c r="N1761" s="555" t="str">
        <f t="shared" ca="1" si="301"/>
        <v/>
      </c>
      <c r="O1761" s="494" t="s">
        <v>1732</v>
      </c>
      <c r="P1761" s="555" t="str">
        <f t="shared" ca="1" si="302"/>
        <v/>
      </c>
      <c r="Q1761" s="494" t="s">
        <v>1733</v>
      </c>
      <c r="R1761" s="494" t="str">
        <f>CONCATENATE("H",ROW(J1761))</f>
        <v>H1761</v>
      </c>
      <c r="S1761" s="494" t="s">
        <v>1734</v>
      </c>
      <c r="T1761" s="494">
        <v>7</v>
      </c>
      <c r="U1761" s="556" t="str">
        <f t="shared" ca="1" si="297"/>
        <v/>
      </c>
      <c r="V1761" s="494">
        <v>8</v>
      </c>
      <c r="W1761" s="556" t="str">
        <f t="shared" ca="1" si="298"/>
        <v/>
      </c>
      <c r="X1761" s="557"/>
      <c r="Y1761" s="958"/>
      <c r="Z1761" s="958"/>
      <c r="AA1761" s="958"/>
      <c r="AB1761" s="958" t="s">
        <v>1735</v>
      </c>
      <c r="AC1761" s="547" t="str">
        <f ca="1">IF(AND(INDIRECT(CONCATENATE($J1758,$K1758,"5"))=$B1758,ISBLANK(INDIRECT(CONCATENATE($J1758,AB1761)))=FALSE),INDIRECT(CONCATENATE($J1758,AB1761)),"")</f>
        <v/>
      </c>
      <c r="AD1761" s="494" t="s">
        <v>1736</v>
      </c>
      <c r="AE1761" s="547" t="str">
        <f t="shared" ca="1" si="303"/>
        <v/>
      </c>
    </row>
    <row r="1762" spans="1:31" ht="15" customHeight="1">
      <c r="A1762" s="957">
        <v>36</v>
      </c>
      <c r="B1762" s="566" t="s">
        <v>796</v>
      </c>
      <c r="C1762" s="567" t="s">
        <v>1730</v>
      </c>
      <c r="D1762" s="958" t="s">
        <v>1596</v>
      </c>
      <c r="E1762" s="959" t="s">
        <v>306</v>
      </c>
      <c r="F1762" s="558" t="s">
        <v>1454</v>
      </c>
      <c r="G1762" s="558">
        <v>336</v>
      </c>
      <c r="H1762" s="558">
        <v>13.1</v>
      </c>
      <c r="I1762" s="559" t="s">
        <v>314</v>
      </c>
      <c r="J1762" s="567" t="s">
        <v>1731</v>
      </c>
      <c r="K1762" s="961" t="s">
        <v>1373</v>
      </c>
      <c r="L1762" s="555" t="str">
        <f t="shared" ca="1" si="299"/>
        <v/>
      </c>
      <c r="M1762" s="494" t="s">
        <v>1609</v>
      </c>
      <c r="N1762" s="555" t="str">
        <f t="shared" ca="1" si="301"/>
        <v/>
      </c>
      <c r="O1762" s="494" t="s">
        <v>1732</v>
      </c>
      <c r="P1762" s="555" t="str">
        <f t="shared" ca="1" si="302"/>
        <v/>
      </c>
      <c r="Q1762" s="494" t="s">
        <v>1733</v>
      </c>
      <c r="R1762" s="494" t="str">
        <f t="shared" si="304"/>
        <v>H1762</v>
      </c>
      <c r="S1762" s="494" t="s">
        <v>1734</v>
      </c>
      <c r="T1762" s="494">
        <v>7</v>
      </c>
      <c r="U1762" s="556" t="str">
        <f t="shared" ca="1" si="297"/>
        <v/>
      </c>
      <c r="V1762" s="494">
        <v>8</v>
      </c>
      <c r="W1762" s="556" t="str">
        <f t="shared" ca="1" si="298"/>
        <v/>
      </c>
      <c r="X1762" s="557"/>
      <c r="Y1762" s="958"/>
      <c r="Z1762" s="958"/>
      <c r="AA1762" s="958"/>
      <c r="AB1762" s="958" t="s">
        <v>1735</v>
      </c>
      <c r="AC1762" s="547" t="str">
        <f ca="1">IF(AND(INDIRECT(CONCATENATE($J1759,$K1759,"5"))=$B1759,ISBLANK(INDIRECT(CONCATENATE($J1759,AB1762)))=FALSE),INDIRECT(CONCATENATE($J1759,AB1762)),"")</f>
        <v/>
      </c>
      <c r="AD1762" s="494" t="s">
        <v>1736</v>
      </c>
      <c r="AE1762" s="547" t="str">
        <f t="shared" ca="1" si="303"/>
        <v/>
      </c>
    </row>
    <row r="1763" spans="1:31" ht="15" customHeight="1">
      <c r="A1763" s="957">
        <v>36</v>
      </c>
      <c r="B1763" s="566" t="s">
        <v>796</v>
      </c>
      <c r="C1763" s="567" t="s">
        <v>1730</v>
      </c>
      <c r="D1763" s="958" t="s">
        <v>1596</v>
      </c>
      <c r="E1763" s="959" t="s">
        <v>306</v>
      </c>
      <c r="F1763" s="558" t="s">
        <v>1454</v>
      </c>
      <c r="G1763" s="558">
        <v>364</v>
      </c>
      <c r="H1763" s="558">
        <v>14.1</v>
      </c>
      <c r="I1763" s="559" t="s">
        <v>862</v>
      </c>
      <c r="J1763" s="567" t="s">
        <v>1731</v>
      </c>
      <c r="K1763" s="961" t="s">
        <v>1373</v>
      </c>
      <c r="L1763" s="555" t="str">
        <f t="shared" ca="1" si="299"/>
        <v/>
      </c>
      <c r="M1763" s="494" t="s">
        <v>1609</v>
      </c>
      <c r="N1763" s="555" t="str">
        <f t="shared" ca="1" si="301"/>
        <v/>
      </c>
      <c r="O1763" s="494" t="s">
        <v>1732</v>
      </c>
      <c r="P1763" s="555" t="str">
        <f t="shared" ca="1" si="302"/>
        <v/>
      </c>
      <c r="Q1763" s="494" t="s">
        <v>1733</v>
      </c>
      <c r="R1763" s="494" t="str">
        <f t="shared" si="304"/>
        <v>H1763</v>
      </c>
      <c r="S1763" s="494" t="s">
        <v>1734</v>
      </c>
      <c r="T1763" s="494">
        <v>7</v>
      </c>
      <c r="U1763" s="556" t="str">
        <f t="shared" ca="1" si="297"/>
        <v/>
      </c>
      <c r="V1763" s="494">
        <v>8</v>
      </c>
      <c r="W1763" s="556" t="str">
        <f t="shared" ca="1" si="298"/>
        <v/>
      </c>
      <c r="X1763" s="557"/>
      <c r="Y1763" s="958"/>
      <c r="Z1763" s="958"/>
      <c r="AA1763" s="958"/>
      <c r="AB1763" s="958" t="s">
        <v>1735</v>
      </c>
      <c r="AC1763" s="547" t="str">
        <f ca="1">IF(AND(INDIRECT(CONCATENATE($J1760,$K1760,"5"))=$B1760,ISBLANK(INDIRECT(CONCATENATE($J1760,AB1763)))=FALSE),INDIRECT(CONCATENATE($J1760,AB1763)),"")</f>
        <v/>
      </c>
      <c r="AD1763" s="494" t="s">
        <v>1736</v>
      </c>
      <c r="AE1763" s="547" t="str">
        <f t="shared" ca="1" si="303"/>
        <v/>
      </c>
    </row>
    <row r="1764" spans="1:31" ht="15" customHeight="1">
      <c r="A1764" s="957">
        <v>36</v>
      </c>
      <c r="B1764" s="566" t="s">
        <v>796</v>
      </c>
      <c r="C1764" s="567" t="s">
        <v>1730</v>
      </c>
      <c r="D1764" s="958" t="s">
        <v>1596</v>
      </c>
      <c r="E1764" s="959" t="s">
        <v>306</v>
      </c>
      <c r="F1764" s="558" t="s">
        <v>1454</v>
      </c>
      <c r="G1764" s="558">
        <v>364</v>
      </c>
      <c r="H1764" s="558">
        <v>14.2</v>
      </c>
      <c r="I1764" s="559" t="s">
        <v>863</v>
      </c>
      <c r="J1764" s="567" t="s">
        <v>1731</v>
      </c>
      <c r="K1764" s="961" t="s">
        <v>1373</v>
      </c>
      <c r="L1764" s="555" t="str">
        <f t="shared" ca="1" si="299"/>
        <v/>
      </c>
      <c r="M1764" s="494" t="s">
        <v>1609</v>
      </c>
      <c r="N1764" s="555" t="str">
        <f t="shared" ca="1" si="301"/>
        <v/>
      </c>
      <c r="O1764" s="494" t="s">
        <v>1732</v>
      </c>
      <c r="P1764" s="555" t="str">
        <f t="shared" ca="1" si="302"/>
        <v/>
      </c>
      <c r="Q1764" s="494" t="s">
        <v>1733</v>
      </c>
      <c r="R1764" s="494" t="str">
        <f t="shared" si="304"/>
        <v>H1764</v>
      </c>
      <c r="S1764" s="494" t="s">
        <v>1734</v>
      </c>
      <c r="T1764" s="494">
        <v>7</v>
      </c>
      <c r="U1764" s="556" t="str">
        <f t="shared" ca="1" si="297"/>
        <v/>
      </c>
      <c r="V1764" s="494">
        <v>8</v>
      </c>
      <c r="W1764" s="556" t="str">
        <f t="shared" ca="1" si="298"/>
        <v/>
      </c>
      <c r="X1764" s="557"/>
      <c r="Y1764" s="958"/>
      <c r="Z1764" s="958"/>
      <c r="AA1764" s="958"/>
      <c r="AB1764" s="958" t="s">
        <v>1735</v>
      </c>
      <c r="AC1764" s="547" t="str">
        <f ca="1">IF(AND(INDIRECT(CONCATENATE($J1761,$K1761,"5"))=$B1761,ISBLANK(INDIRECT(CONCATENATE($J1761,AB1764)))=FALSE),INDIRECT(CONCATENATE($J1761,AB1764)),"")</f>
        <v/>
      </c>
      <c r="AD1764" s="494" t="s">
        <v>1736</v>
      </c>
      <c r="AE1764" s="547" t="str">
        <f t="shared" ca="1" si="303"/>
        <v/>
      </c>
    </row>
    <row r="1765" spans="1:31" ht="15" customHeight="1">
      <c r="A1765" s="957">
        <v>36</v>
      </c>
      <c r="B1765" s="566" t="s">
        <v>796</v>
      </c>
      <c r="C1765" s="567" t="s">
        <v>1730</v>
      </c>
      <c r="D1765" s="958" t="s">
        <v>1596</v>
      </c>
      <c r="E1765" s="959" t="s">
        <v>335</v>
      </c>
      <c r="F1765" s="558" t="s">
        <v>1455</v>
      </c>
      <c r="G1765" s="558">
        <v>341</v>
      </c>
      <c r="H1765" s="558" t="s">
        <v>865</v>
      </c>
      <c r="I1765" s="559" t="s">
        <v>866</v>
      </c>
      <c r="J1765" s="567" t="s">
        <v>1731</v>
      </c>
      <c r="K1765" s="961" t="s">
        <v>1373</v>
      </c>
      <c r="L1765" s="555" t="str">
        <f t="shared" ca="1" si="299"/>
        <v/>
      </c>
      <c r="M1765" s="494" t="s">
        <v>1609</v>
      </c>
      <c r="N1765" s="555" t="str">
        <f t="shared" ca="1" si="301"/>
        <v/>
      </c>
      <c r="O1765" s="494" t="s">
        <v>1732</v>
      </c>
      <c r="P1765" s="555" t="str">
        <f t="shared" ca="1" si="302"/>
        <v/>
      </c>
      <c r="Q1765" s="494" t="s">
        <v>1733</v>
      </c>
      <c r="R1765" s="494" t="str">
        <f t="shared" si="304"/>
        <v>H1765</v>
      </c>
      <c r="S1765" s="494" t="s">
        <v>1734</v>
      </c>
      <c r="T1765" s="494">
        <v>7</v>
      </c>
      <c r="U1765" s="556" t="str">
        <f t="shared" ca="1" si="297"/>
        <v/>
      </c>
      <c r="V1765" s="494">
        <v>8</v>
      </c>
      <c r="W1765" s="556" t="str">
        <f t="shared" ca="1" si="298"/>
        <v/>
      </c>
      <c r="X1765" s="557"/>
      <c r="Y1765" s="958"/>
      <c r="Z1765" s="958"/>
      <c r="AA1765" s="958"/>
      <c r="AB1765" s="958" t="s">
        <v>1735</v>
      </c>
      <c r="AC1765" s="547" t="str">
        <f t="shared" ref="AC1765:AC1776" ca="1" si="305">IF(AND(INDIRECT(CONCATENATE($J1765,$K1765,"5"))=$B1765,ISBLANK(INDIRECT(CONCATENATE($J1765,AB1765)))=FALSE),INDIRECT(CONCATENATE($J1765,AB1765)),"")</f>
        <v/>
      </c>
      <c r="AD1765" s="494" t="s">
        <v>1736</v>
      </c>
      <c r="AE1765" s="547" t="str">
        <f t="shared" ca="1" si="303"/>
        <v/>
      </c>
    </row>
    <row r="1766" spans="1:31" ht="15" customHeight="1">
      <c r="A1766" s="957">
        <v>36</v>
      </c>
      <c r="B1766" s="566" t="s">
        <v>796</v>
      </c>
      <c r="C1766" s="567" t="s">
        <v>1730</v>
      </c>
      <c r="D1766" s="958" t="s">
        <v>1596</v>
      </c>
      <c r="E1766" s="959" t="s">
        <v>335</v>
      </c>
      <c r="F1766" s="558" t="s">
        <v>1455</v>
      </c>
      <c r="G1766" s="558">
        <v>341</v>
      </c>
      <c r="H1766" s="558" t="s">
        <v>868</v>
      </c>
      <c r="I1766" s="559" t="s">
        <v>1737</v>
      </c>
      <c r="J1766" s="567" t="s">
        <v>1731</v>
      </c>
      <c r="K1766" s="961" t="s">
        <v>1373</v>
      </c>
      <c r="L1766" s="555" t="str">
        <f t="shared" ca="1" si="299"/>
        <v/>
      </c>
      <c r="M1766" s="494" t="s">
        <v>1609</v>
      </c>
      <c r="N1766" s="555" t="str">
        <f t="shared" ca="1" si="301"/>
        <v/>
      </c>
      <c r="O1766" s="494" t="s">
        <v>1732</v>
      </c>
      <c r="P1766" s="555" t="str">
        <f t="shared" ca="1" si="302"/>
        <v/>
      </c>
      <c r="Q1766" s="494" t="s">
        <v>1733</v>
      </c>
      <c r="R1766" s="494" t="str">
        <f t="shared" si="304"/>
        <v>H1766</v>
      </c>
      <c r="S1766" s="494" t="s">
        <v>1734</v>
      </c>
      <c r="T1766" s="494">
        <v>7</v>
      </c>
      <c r="U1766" s="556" t="str">
        <f t="shared" ca="1" si="297"/>
        <v/>
      </c>
      <c r="V1766" s="494">
        <v>8</v>
      </c>
      <c r="W1766" s="556" t="str">
        <f t="shared" ca="1" si="298"/>
        <v/>
      </c>
      <c r="X1766" s="557"/>
      <c r="Y1766" s="958"/>
      <c r="Z1766" s="958"/>
      <c r="AA1766" s="958"/>
      <c r="AB1766" s="958" t="s">
        <v>1735</v>
      </c>
      <c r="AC1766" s="547" t="str">
        <f t="shared" ca="1" si="305"/>
        <v/>
      </c>
      <c r="AD1766" s="494" t="s">
        <v>1736</v>
      </c>
      <c r="AE1766" s="547" t="str">
        <f t="shared" ca="1" si="303"/>
        <v/>
      </c>
    </row>
    <row r="1767" spans="1:31" ht="15" customHeight="1">
      <c r="A1767" s="957">
        <v>36</v>
      </c>
      <c r="B1767" s="566" t="s">
        <v>796</v>
      </c>
      <c r="C1767" s="567" t="s">
        <v>1730</v>
      </c>
      <c r="D1767" s="958" t="s">
        <v>1596</v>
      </c>
      <c r="E1767" s="959" t="s">
        <v>335</v>
      </c>
      <c r="F1767" s="558" t="s">
        <v>1455</v>
      </c>
      <c r="G1767" s="558">
        <v>341</v>
      </c>
      <c r="H1767" s="558" t="s">
        <v>29</v>
      </c>
      <c r="I1767" s="559" t="s">
        <v>869</v>
      </c>
      <c r="J1767" s="567" t="s">
        <v>1731</v>
      </c>
      <c r="K1767" s="961" t="s">
        <v>1373</v>
      </c>
      <c r="L1767" s="555" t="str">
        <f t="shared" ca="1" si="299"/>
        <v/>
      </c>
      <c r="M1767" s="494" t="s">
        <v>1609</v>
      </c>
      <c r="N1767" s="555" t="str">
        <f t="shared" ca="1" si="301"/>
        <v/>
      </c>
      <c r="O1767" s="494" t="s">
        <v>1732</v>
      </c>
      <c r="P1767" s="555" t="str">
        <f t="shared" ca="1" si="302"/>
        <v/>
      </c>
      <c r="Q1767" s="494" t="s">
        <v>1733</v>
      </c>
      <c r="R1767" s="494" t="str">
        <f t="shared" si="304"/>
        <v>H1767</v>
      </c>
      <c r="S1767" s="494" t="s">
        <v>1734</v>
      </c>
      <c r="T1767" s="494">
        <v>7</v>
      </c>
      <c r="U1767" s="556" t="str">
        <f t="shared" ca="1" si="297"/>
        <v/>
      </c>
      <c r="V1767" s="494">
        <v>8</v>
      </c>
      <c r="W1767" s="556" t="str">
        <f t="shared" ca="1" si="298"/>
        <v/>
      </c>
      <c r="X1767" s="557"/>
      <c r="Y1767" s="958"/>
      <c r="Z1767" s="958"/>
      <c r="AA1767" s="958"/>
      <c r="AB1767" s="958" t="s">
        <v>1735</v>
      </c>
      <c r="AC1767" s="547" t="str">
        <f t="shared" ca="1" si="305"/>
        <v/>
      </c>
      <c r="AD1767" s="494" t="s">
        <v>1736</v>
      </c>
      <c r="AE1767" s="547" t="str">
        <f t="shared" ca="1" si="303"/>
        <v/>
      </c>
    </row>
    <row r="1768" spans="1:31" ht="15" customHeight="1">
      <c r="A1768" s="957">
        <v>36</v>
      </c>
      <c r="B1768" s="566" t="s">
        <v>796</v>
      </c>
      <c r="C1768" s="567" t="s">
        <v>1730</v>
      </c>
      <c r="D1768" s="958" t="s">
        <v>1596</v>
      </c>
      <c r="E1768" s="959" t="s">
        <v>335</v>
      </c>
      <c r="F1768" s="558" t="s">
        <v>1455</v>
      </c>
      <c r="G1768" s="558">
        <v>341</v>
      </c>
      <c r="H1768" s="558" t="s">
        <v>871</v>
      </c>
      <c r="I1768" s="559" t="s">
        <v>872</v>
      </c>
      <c r="J1768" s="567" t="s">
        <v>1731</v>
      </c>
      <c r="K1768" s="961" t="s">
        <v>1373</v>
      </c>
      <c r="L1768" s="555" t="str">
        <f t="shared" ca="1" si="299"/>
        <v/>
      </c>
      <c r="M1768" s="494" t="s">
        <v>1609</v>
      </c>
      <c r="N1768" s="555" t="str">
        <f t="shared" ca="1" si="301"/>
        <v/>
      </c>
      <c r="O1768" s="494" t="s">
        <v>1732</v>
      </c>
      <c r="P1768" s="555" t="str">
        <f t="shared" ca="1" si="302"/>
        <v/>
      </c>
      <c r="Q1768" s="494" t="s">
        <v>1733</v>
      </c>
      <c r="R1768" s="494" t="str">
        <f t="shared" si="304"/>
        <v>H1768</v>
      </c>
      <c r="S1768" s="494" t="s">
        <v>1734</v>
      </c>
      <c r="T1768" s="494">
        <v>7</v>
      </c>
      <c r="U1768" s="556" t="str">
        <f t="shared" ca="1" si="297"/>
        <v/>
      </c>
      <c r="V1768" s="494">
        <v>8</v>
      </c>
      <c r="W1768" s="556" t="str">
        <f t="shared" ca="1" si="298"/>
        <v/>
      </c>
      <c r="X1768" s="557"/>
      <c r="Y1768" s="958"/>
      <c r="Z1768" s="958"/>
      <c r="AA1768" s="958"/>
      <c r="AB1768" s="958" t="s">
        <v>1735</v>
      </c>
      <c r="AC1768" s="547" t="str">
        <f t="shared" ca="1" si="305"/>
        <v/>
      </c>
      <c r="AD1768" s="494" t="s">
        <v>1736</v>
      </c>
      <c r="AE1768" s="547" t="str">
        <f t="shared" ca="1" si="303"/>
        <v/>
      </c>
    </row>
    <row r="1769" spans="1:31" ht="15" customHeight="1">
      <c r="A1769" s="957">
        <v>36</v>
      </c>
      <c r="B1769" s="566" t="s">
        <v>796</v>
      </c>
      <c r="C1769" s="567" t="s">
        <v>1730</v>
      </c>
      <c r="D1769" s="958" t="s">
        <v>1596</v>
      </c>
      <c r="E1769" s="959" t="s">
        <v>335</v>
      </c>
      <c r="F1769" s="558" t="s">
        <v>1455</v>
      </c>
      <c r="G1769" s="558">
        <v>365</v>
      </c>
      <c r="H1769" s="558" t="s">
        <v>341</v>
      </c>
      <c r="I1769" s="559" t="s">
        <v>876</v>
      </c>
      <c r="J1769" s="567" t="s">
        <v>1731</v>
      </c>
      <c r="K1769" s="961" t="s">
        <v>1373</v>
      </c>
      <c r="L1769" s="555" t="str">
        <f t="shared" ca="1" si="299"/>
        <v/>
      </c>
      <c r="M1769" s="494" t="s">
        <v>1609</v>
      </c>
      <c r="N1769" s="555" t="str">
        <f t="shared" ca="1" si="301"/>
        <v/>
      </c>
      <c r="O1769" s="494" t="s">
        <v>1732</v>
      </c>
      <c r="P1769" s="555" t="str">
        <f t="shared" ca="1" si="302"/>
        <v/>
      </c>
      <c r="Q1769" s="494" t="s">
        <v>1733</v>
      </c>
      <c r="R1769" s="494" t="str">
        <f t="shared" si="304"/>
        <v>H1769</v>
      </c>
      <c r="S1769" s="494" t="s">
        <v>1734</v>
      </c>
      <c r="T1769" s="494">
        <v>7</v>
      </c>
      <c r="U1769" s="556" t="str">
        <f t="shared" ca="1" si="297"/>
        <v/>
      </c>
      <c r="V1769" s="494">
        <v>8</v>
      </c>
      <c r="W1769" s="556" t="str">
        <f t="shared" ca="1" si="298"/>
        <v/>
      </c>
      <c r="X1769" s="557"/>
      <c r="Y1769" s="958"/>
      <c r="Z1769" s="958"/>
      <c r="AA1769" s="958"/>
      <c r="AB1769" s="958" t="s">
        <v>1735</v>
      </c>
      <c r="AC1769" s="547" t="str">
        <f t="shared" ca="1" si="305"/>
        <v/>
      </c>
      <c r="AD1769" s="494" t="s">
        <v>1736</v>
      </c>
      <c r="AE1769" s="547" t="str">
        <f t="shared" ca="1" si="303"/>
        <v/>
      </c>
    </row>
    <row r="1770" spans="1:31" ht="15" customHeight="1">
      <c r="A1770" s="957">
        <v>36</v>
      </c>
      <c r="B1770" s="566" t="s">
        <v>796</v>
      </c>
      <c r="C1770" s="567" t="s">
        <v>1730</v>
      </c>
      <c r="D1770" s="958" t="s">
        <v>1596</v>
      </c>
      <c r="E1770" s="959" t="s">
        <v>335</v>
      </c>
      <c r="F1770" s="558" t="s">
        <v>1455</v>
      </c>
      <c r="G1770" s="558">
        <v>365</v>
      </c>
      <c r="H1770" s="558" t="s">
        <v>343</v>
      </c>
      <c r="I1770" s="559" t="s">
        <v>877</v>
      </c>
      <c r="J1770" s="567" t="s">
        <v>1731</v>
      </c>
      <c r="K1770" s="961" t="s">
        <v>1373</v>
      </c>
      <c r="L1770" s="555" t="str">
        <f t="shared" ca="1" si="299"/>
        <v/>
      </c>
      <c r="M1770" s="494" t="s">
        <v>1609</v>
      </c>
      <c r="N1770" s="555" t="str">
        <f t="shared" ca="1" si="301"/>
        <v/>
      </c>
      <c r="O1770" s="494" t="s">
        <v>1732</v>
      </c>
      <c r="P1770" s="555" t="str">
        <f t="shared" ca="1" si="302"/>
        <v/>
      </c>
      <c r="Q1770" s="494" t="s">
        <v>1733</v>
      </c>
      <c r="R1770" s="494" t="str">
        <f t="shared" si="304"/>
        <v>H1770</v>
      </c>
      <c r="S1770" s="494" t="s">
        <v>1734</v>
      </c>
      <c r="T1770" s="494">
        <v>7</v>
      </c>
      <c r="U1770" s="556" t="str">
        <f t="shared" ca="1" si="297"/>
        <v/>
      </c>
      <c r="V1770" s="494">
        <v>8</v>
      </c>
      <c r="W1770" s="556" t="str">
        <f t="shared" ca="1" si="298"/>
        <v/>
      </c>
      <c r="X1770" s="557"/>
      <c r="Y1770" s="958"/>
      <c r="Z1770" s="958"/>
      <c r="AA1770" s="958"/>
      <c r="AB1770" s="958" t="s">
        <v>1735</v>
      </c>
      <c r="AC1770" s="547" t="str">
        <f t="shared" ca="1" si="305"/>
        <v/>
      </c>
      <c r="AD1770" s="494" t="s">
        <v>1736</v>
      </c>
      <c r="AE1770" s="547" t="str">
        <f t="shared" ca="1" si="303"/>
        <v/>
      </c>
    </row>
    <row r="1771" spans="1:31" ht="15" customHeight="1">
      <c r="A1771" s="957">
        <v>36</v>
      </c>
      <c r="B1771" s="566" t="s">
        <v>796</v>
      </c>
      <c r="C1771" s="567" t="s">
        <v>1730</v>
      </c>
      <c r="D1771" s="958" t="s">
        <v>1596</v>
      </c>
      <c r="E1771" s="959" t="s">
        <v>345</v>
      </c>
      <c r="F1771" s="558" t="s">
        <v>1484</v>
      </c>
      <c r="G1771" s="558">
        <v>366</v>
      </c>
      <c r="H1771" s="558">
        <v>17.100000000000001</v>
      </c>
      <c r="I1771" s="559" t="s">
        <v>881</v>
      </c>
      <c r="J1771" s="567" t="s">
        <v>1731</v>
      </c>
      <c r="K1771" s="961" t="s">
        <v>1373</v>
      </c>
      <c r="L1771" s="555" t="str">
        <f t="shared" ca="1" si="299"/>
        <v/>
      </c>
      <c r="M1771" s="494" t="s">
        <v>1609</v>
      </c>
      <c r="N1771" s="555" t="str">
        <f t="shared" ca="1" si="301"/>
        <v/>
      </c>
      <c r="O1771" s="494" t="s">
        <v>1732</v>
      </c>
      <c r="P1771" s="555" t="str">
        <f t="shared" ca="1" si="302"/>
        <v/>
      </c>
      <c r="Q1771" s="494" t="s">
        <v>1733</v>
      </c>
      <c r="R1771" s="494" t="str">
        <f t="shared" si="304"/>
        <v>H1771</v>
      </c>
      <c r="S1771" s="494" t="s">
        <v>1734</v>
      </c>
      <c r="T1771" s="494">
        <v>7</v>
      </c>
      <c r="U1771" s="556" t="str">
        <f t="shared" ca="1" si="297"/>
        <v/>
      </c>
      <c r="V1771" s="494">
        <v>8</v>
      </c>
      <c r="W1771" s="556" t="str">
        <f t="shared" ca="1" si="298"/>
        <v/>
      </c>
      <c r="X1771" s="557"/>
      <c r="Y1771" s="958"/>
      <c r="Z1771" s="958"/>
      <c r="AA1771" s="958"/>
      <c r="AB1771" s="958" t="s">
        <v>1735</v>
      </c>
      <c r="AC1771" s="547" t="str">
        <f t="shared" ca="1" si="305"/>
        <v/>
      </c>
      <c r="AD1771" s="494" t="s">
        <v>1736</v>
      </c>
      <c r="AE1771" s="547" t="str">
        <f t="shared" ca="1" si="303"/>
        <v/>
      </c>
    </row>
    <row r="1772" spans="1:31" ht="15" customHeight="1">
      <c r="A1772" s="957">
        <v>36</v>
      </c>
      <c r="B1772" s="566" t="s">
        <v>796</v>
      </c>
      <c r="C1772" s="567" t="s">
        <v>1730</v>
      </c>
      <c r="D1772" s="958" t="s">
        <v>1596</v>
      </c>
      <c r="E1772" s="959" t="s">
        <v>345</v>
      </c>
      <c r="F1772" s="558" t="s">
        <v>1484</v>
      </c>
      <c r="G1772" s="558">
        <v>366</v>
      </c>
      <c r="H1772" s="558">
        <v>17.2</v>
      </c>
      <c r="I1772" s="559" t="s">
        <v>882</v>
      </c>
      <c r="J1772" s="567" t="s">
        <v>1731</v>
      </c>
      <c r="K1772" s="961" t="s">
        <v>1373</v>
      </c>
      <c r="L1772" s="555" t="str">
        <f t="shared" ca="1" si="299"/>
        <v/>
      </c>
      <c r="M1772" s="494" t="s">
        <v>1609</v>
      </c>
      <c r="N1772" s="555" t="str">
        <f t="shared" ca="1" si="301"/>
        <v/>
      </c>
      <c r="O1772" s="494" t="s">
        <v>1732</v>
      </c>
      <c r="P1772" s="555" t="str">
        <f t="shared" ca="1" si="302"/>
        <v/>
      </c>
      <c r="Q1772" s="494" t="s">
        <v>1733</v>
      </c>
      <c r="R1772" s="494" t="str">
        <f t="shared" si="304"/>
        <v>H1772</v>
      </c>
      <c r="S1772" s="494" t="s">
        <v>1734</v>
      </c>
      <c r="T1772" s="494">
        <v>7</v>
      </c>
      <c r="U1772" s="556" t="str">
        <f t="shared" ca="1" si="297"/>
        <v/>
      </c>
      <c r="V1772" s="494">
        <v>8</v>
      </c>
      <c r="W1772" s="556" t="str">
        <f t="shared" ca="1" si="298"/>
        <v/>
      </c>
      <c r="X1772" s="557"/>
      <c r="Y1772" s="958"/>
      <c r="Z1772" s="958"/>
      <c r="AA1772" s="958"/>
      <c r="AB1772" s="958" t="s">
        <v>1735</v>
      </c>
      <c r="AC1772" s="547" t="str">
        <f t="shared" ca="1" si="305"/>
        <v/>
      </c>
      <c r="AD1772" s="494" t="s">
        <v>1736</v>
      </c>
      <c r="AE1772" s="547" t="str">
        <f t="shared" ca="1" si="303"/>
        <v/>
      </c>
    </row>
    <row r="1773" spans="1:31" ht="15" customHeight="1">
      <c r="A1773" s="957">
        <v>36</v>
      </c>
      <c r="B1773" s="566" t="s">
        <v>796</v>
      </c>
      <c r="C1773" s="567" t="s">
        <v>1730</v>
      </c>
      <c r="D1773" s="958" t="s">
        <v>1596</v>
      </c>
      <c r="E1773" s="959" t="s">
        <v>345</v>
      </c>
      <c r="F1773" s="558" t="s">
        <v>1484</v>
      </c>
      <c r="G1773" s="558">
        <v>366</v>
      </c>
      <c r="H1773" s="558">
        <v>17.3</v>
      </c>
      <c r="I1773" s="559" t="s">
        <v>883</v>
      </c>
      <c r="J1773" s="567" t="s">
        <v>1731</v>
      </c>
      <c r="K1773" s="961" t="s">
        <v>1373</v>
      </c>
      <c r="L1773" s="555" t="str">
        <f t="shared" ca="1" si="299"/>
        <v/>
      </c>
      <c r="M1773" s="494" t="s">
        <v>1609</v>
      </c>
      <c r="N1773" s="555" t="str">
        <f t="shared" ca="1" si="301"/>
        <v/>
      </c>
      <c r="O1773" s="494" t="s">
        <v>1732</v>
      </c>
      <c r="P1773" s="555" t="str">
        <f t="shared" ca="1" si="302"/>
        <v/>
      </c>
      <c r="Q1773" s="494" t="s">
        <v>1733</v>
      </c>
      <c r="R1773" s="494" t="str">
        <f t="shared" si="304"/>
        <v>H1773</v>
      </c>
      <c r="S1773" s="494" t="s">
        <v>1734</v>
      </c>
      <c r="T1773" s="494">
        <v>7</v>
      </c>
      <c r="U1773" s="556" t="str">
        <f t="shared" ca="1" si="297"/>
        <v/>
      </c>
      <c r="V1773" s="494">
        <v>8</v>
      </c>
      <c r="W1773" s="556" t="str">
        <f t="shared" ca="1" si="298"/>
        <v/>
      </c>
      <c r="X1773" s="557"/>
      <c r="Y1773" s="958"/>
      <c r="Z1773" s="958"/>
      <c r="AA1773" s="958"/>
      <c r="AB1773" s="958" t="s">
        <v>1735</v>
      </c>
      <c r="AC1773" s="547" t="str">
        <f t="shared" ca="1" si="305"/>
        <v/>
      </c>
      <c r="AD1773" s="494" t="s">
        <v>1736</v>
      </c>
      <c r="AE1773" s="547" t="str">
        <f t="shared" ca="1" si="303"/>
        <v/>
      </c>
    </row>
    <row r="1774" spans="1:31" ht="15" customHeight="1">
      <c r="A1774" s="957">
        <v>36</v>
      </c>
      <c r="B1774" s="566" t="s">
        <v>796</v>
      </c>
      <c r="C1774" s="567" t="s">
        <v>1730</v>
      </c>
      <c r="D1774" s="958" t="s">
        <v>1596</v>
      </c>
      <c r="E1774" s="959" t="s">
        <v>345</v>
      </c>
      <c r="F1774" s="558" t="s">
        <v>1484</v>
      </c>
      <c r="G1774" s="558">
        <v>366</v>
      </c>
      <c r="H1774" s="558">
        <v>17.399999999999999</v>
      </c>
      <c r="I1774" s="559" t="s">
        <v>884</v>
      </c>
      <c r="J1774" s="567" t="s">
        <v>1731</v>
      </c>
      <c r="K1774" s="961" t="s">
        <v>1373</v>
      </c>
      <c r="L1774" s="555" t="str">
        <f t="shared" ca="1" si="299"/>
        <v/>
      </c>
      <c r="M1774" s="494" t="s">
        <v>1609</v>
      </c>
      <c r="N1774" s="555" t="str">
        <f t="shared" ca="1" si="301"/>
        <v/>
      </c>
      <c r="O1774" s="494" t="s">
        <v>1732</v>
      </c>
      <c r="P1774" s="555" t="str">
        <f t="shared" ca="1" si="302"/>
        <v/>
      </c>
      <c r="Q1774" s="494" t="s">
        <v>1733</v>
      </c>
      <c r="R1774" s="494" t="str">
        <f t="shared" si="304"/>
        <v>H1774</v>
      </c>
      <c r="S1774" s="494" t="s">
        <v>1734</v>
      </c>
      <c r="T1774" s="494">
        <v>7</v>
      </c>
      <c r="U1774" s="556" t="str">
        <f t="shared" ca="1" si="297"/>
        <v/>
      </c>
      <c r="V1774" s="494">
        <v>8</v>
      </c>
      <c r="W1774" s="556" t="str">
        <f t="shared" ca="1" si="298"/>
        <v/>
      </c>
      <c r="X1774" s="557"/>
      <c r="Y1774" s="958"/>
      <c r="Z1774" s="958"/>
      <c r="AA1774" s="958"/>
      <c r="AB1774" s="958" t="s">
        <v>1735</v>
      </c>
      <c r="AC1774" s="547" t="str">
        <f t="shared" ca="1" si="305"/>
        <v/>
      </c>
      <c r="AD1774" s="494" t="s">
        <v>1736</v>
      </c>
      <c r="AE1774" s="547" t="str">
        <f t="shared" ca="1" si="303"/>
        <v/>
      </c>
    </row>
    <row r="1775" spans="1:31" ht="15" customHeight="1">
      <c r="A1775" s="957">
        <v>36</v>
      </c>
      <c r="B1775" s="566" t="s">
        <v>796</v>
      </c>
      <c r="C1775" s="567" t="s">
        <v>1730</v>
      </c>
      <c r="D1775" s="958" t="s">
        <v>1596</v>
      </c>
      <c r="E1775" s="959" t="s">
        <v>345</v>
      </c>
      <c r="F1775" s="558" t="s">
        <v>1484</v>
      </c>
      <c r="G1775" s="558">
        <v>367</v>
      </c>
      <c r="H1775" s="558">
        <v>18.100000000000001</v>
      </c>
      <c r="I1775" s="559" t="s">
        <v>887</v>
      </c>
      <c r="J1775" s="567" t="s">
        <v>1731</v>
      </c>
      <c r="K1775" s="961" t="s">
        <v>1373</v>
      </c>
      <c r="L1775" s="555" t="str">
        <f t="shared" ca="1" si="299"/>
        <v/>
      </c>
      <c r="M1775" s="494" t="s">
        <v>1609</v>
      </c>
      <c r="N1775" s="555" t="str">
        <f t="shared" ca="1" si="301"/>
        <v/>
      </c>
      <c r="O1775" s="494" t="s">
        <v>1732</v>
      </c>
      <c r="P1775" s="555" t="str">
        <f t="shared" ca="1" si="302"/>
        <v/>
      </c>
      <c r="Q1775" s="494" t="s">
        <v>1733</v>
      </c>
      <c r="R1775" s="494" t="str">
        <f t="shared" si="304"/>
        <v>H1775</v>
      </c>
      <c r="S1775" s="494" t="s">
        <v>1734</v>
      </c>
      <c r="T1775" s="494">
        <v>7</v>
      </c>
      <c r="U1775" s="556" t="str">
        <f t="shared" ca="1" si="297"/>
        <v/>
      </c>
      <c r="V1775" s="494">
        <v>8</v>
      </c>
      <c r="W1775" s="556" t="str">
        <f t="shared" ca="1" si="298"/>
        <v/>
      </c>
      <c r="X1775" s="557"/>
      <c r="Y1775" s="958"/>
      <c r="Z1775" s="958"/>
      <c r="AA1775" s="958"/>
      <c r="AB1775" s="958" t="s">
        <v>1735</v>
      </c>
      <c r="AC1775" s="547" t="str">
        <f t="shared" ca="1" si="305"/>
        <v/>
      </c>
      <c r="AD1775" s="494" t="s">
        <v>1736</v>
      </c>
      <c r="AE1775" s="547" t="str">
        <f t="shared" ca="1" si="303"/>
        <v/>
      </c>
    </row>
    <row r="1776" spans="1:31" ht="15" customHeight="1">
      <c r="A1776" s="957">
        <v>36</v>
      </c>
      <c r="B1776" s="566" t="s">
        <v>796</v>
      </c>
      <c r="C1776" s="567" t="s">
        <v>1730</v>
      </c>
      <c r="D1776" s="958" t="s">
        <v>1596</v>
      </c>
      <c r="E1776" s="959" t="s">
        <v>345</v>
      </c>
      <c r="F1776" s="558" t="s">
        <v>1484</v>
      </c>
      <c r="G1776" s="558">
        <v>367</v>
      </c>
      <c r="H1776" s="558">
        <v>18.2</v>
      </c>
      <c r="I1776" s="559" t="s">
        <v>888</v>
      </c>
      <c r="J1776" s="567" t="s">
        <v>1731</v>
      </c>
      <c r="K1776" s="961" t="s">
        <v>1373</v>
      </c>
      <c r="L1776" s="555" t="str">
        <f t="shared" ca="1" si="299"/>
        <v/>
      </c>
      <c r="M1776" s="494" t="s">
        <v>1609</v>
      </c>
      <c r="N1776" s="555" t="str">
        <f t="shared" ca="1" si="301"/>
        <v/>
      </c>
      <c r="O1776" s="494" t="s">
        <v>1732</v>
      </c>
      <c r="P1776" s="555" t="str">
        <f t="shared" ca="1" si="302"/>
        <v/>
      </c>
      <c r="Q1776" s="494" t="s">
        <v>1733</v>
      </c>
      <c r="R1776" s="494" t="str">
        <f t="shared" si="304"/>
        <v>H1776</v>
      </c>
      <c r="S1776" s="494" t="s">
        <v>1734</v>
      </c>
      <c r="T1776" s="494">
        <v>7</v>
      </c>
      <c r="U1776" s="556" t="str">
        <f t="shared" ca="1" si="297"/>
        <v/>
      </c>
      <c r="V1776" s="494">
        <v>8</v>
      </c>
      <c r="W1776" s="556" t="str">
        <f t="shared" ca="1" si="298"/>
        <v/>
      </c>
      <c r="X1776" s="557"/>
      <c r="Y1776" s="958"/>
      <c r="Z1776" s="958"/>
      <c r="AA1776" s="958"/>
      <c r="AB1776" s="958" t="s">
        <v>1735</v>
      </c>
      <c r="AC1776" s="547" t="str">
        <f t="shared" ca="1" si="305"/>
        <v/>
      </c>
      <c r="AD1776" s="494" t="s">
        <v>1736</v>
      </c>
      <c r="AE1776" s="547" t="str">
        <f t="shared" ca="1" si="303"/>
        <v/>
      </c>
    </row>
    <row r="1777" spans="1:31" ht="15" customHeight="1">
      <c r="A1777" s="957">
        <v>36</v>
      </c>
      <c r="B1777" s="566" t="s">
        <v>796</v>
      </c>
      <c r="C1777" s="567" t="s">
        <v>1730</v>
      </c>
      <c r="D1777" s="958" t="s">
        <v>1596</v>
      </c>
      <c r="E1777" s="959" t="s">
        <v>353</v>
      </c>
      <c r="F1777" s="558" t="s">
        <v>1486</v>
      </c>
      <c r="G1777" s="558">
        <v>284</v>
      </c>
      <c r="H1777" s="558" t="s">
        <v>890</v>
      </c>
      <c r="I1777" s="559" t="s">
        <v>891</v>
      </c>
      <c r="J1777" s="567" t="s">
        <v>1731</v>
      </c>
      <c r="K1777" s="961" t="s">
        <v>1373</v>
      </c>
      <c r="L1777" s="555" t="str">
        <f t="shared" ca="1" si="299"/>
        <v/>
      </c>
      <c r="M1777" s="494" t="s">
        <v>1609</v>
      </c>
      <c r="N1777" s="555" t="str">
        <f t="shared" ca="1" si="301"/>
        <v/>
      </c>
      <c r="O1777" s="494" t="s">
        <v>1732</v>
      </c>
      <c r="P1777" s="555" t="str">
        <f t="shared" ca="1" si="302"/>
        <v/>
      </c>
      <c r="Q1777" s="494" t="s">
        <v>1733</v>
      </c>
      <c r="R1777" s="494" t="str">
        <f>CONCATENATE("H",ROW(J1777))</f>
        <v>H1777</v>
      </c>
      <c r="S1777" s="494" t="s">
        <v>1734</v>
      </c>
      <c r="T1777" s="494">
        <v>7</v>
      </c>
      <c r="U1777" s="556" t="str">
        <f t="shared" ca="1" si="297"/>
        <v/>
      </c>
      <c r="V1777" s="494">
        <v>8</v>
      </c>
      <c r="W1777" s="556" t="str">
        <f t="shared" ca="1" si="298"/>
        <v/>
      </c>
      <c r="X1777" s="557"/>
      <c r="Y1777" s="958"/>
      <c r="Z1777" s="958"/>
      <c r="AA1777" s="958"/>
      <c r="AB1777" s="958" t="s">
        <v>1735</v>
      </c>
      <c r="AC1777" s="547" t="str">
        <f ca="1">IF(AND(INDIRECT(CONCATENATE($J1781,$K1781,"5"))=$B1781,ISBLANK(INDIRECT(CONCATENATE($J1781,AB1777)))=FALSE),INDIRECT(CONCATENATE($J1781,AB1777)),"")</f>
        <v/>
      </c>
      <c r="AD1777" s="494" t="s">
        <v>1736</v>
      </c>
      <c r="AE1777" s="547" t="str">
        <f t="shared" ca="1" si="303"/>
        <v/>
      </c>
    </row>
    <row r="1778" spans="1:31" ht="15" customHeight="1">
      <c r="A1778" s="957">
        <v>36</v>
      </c>
      <c r="B1778" s="566" t="s">
        <v>796</v>
      </c>
      <c r="C1778" s="567" t="s">
        <v>1730</v>
      </c>
      <c r="D1778" s="958" t="s">
        <v>1596</v>
      </c>
      <c r="E1778" s="959" t="s">
        <v>353</v>
      </c>
      <c r="F1778" s="558" t="s">
        <v>1486</v>
      </c>
      <c r="G1778" s="558">
        <v>284</v>
      </c>
      <c r="H1778" s="558" t="s">
        <v>892</v>
      </c>
      <c r="I1778" s="559" t="s">
        <v>1738</v>
      </c>
      <c r="J1778" s="567" t="s">
        <v>1731</v>
      </c>
      <c r="K1778" s="961" t="s">
        <v>1373</v>
      </c>
      <c r="L1778" s="555" t="str">
        <f t="shared" ca="1" si="299"/>
        <v/>
      </c>
      <c r="M1778" s="494" t="s">
        <v>1609</v>
      </c>
      <c r="N1778" s="555" t="str">
        <f t="shared" ca="1" si="301"/>
        <v/>
      </c>
      <c r="O1778" s="494" t="s">
        <v>1732</v>
      </c>
      <c r="P1778" s="555" t="str">
        <f t="shared" ca="1" si="302"/>
        <v/>
      </c>
      <c r="Q1778" s="494" t="s">
        <v>1733</v>
      </c>
      <c r="R1778" s="494" t="str">
        <f>CONCATENATE("H",ROW(J1778))</f>
        <v>H1778</v>
      </c>
      <c r="S1778" s="494" t="s">
        <v>1734</v>
      </c>
      <c r="T1778" s="494">
        <v>7</v>
      </c>
      <c r="U1778" s="556" t="str">
        <f t="shared" ca="1" si="297"/>
        <v/>
      </c>
      <c r="V1778" s="494">
        <v>8</v>
      </c>
      <c r="W1778" s="556" t="str">
        <f t="shared" ca="1" si="298"/>
        <v/>
      </c>
      <c r="X1778" s="557"/>
      <c r="Y1778" s="958"/>
      <c r="Z1778" s="958"/>
      <c r="AA1778" s="958"/>
      <c r="AB1778" s="958" t="s">
        <v>1735</v>
      </c>
      <c r="AC1778" s="547" t="str">
        <f ca="1">IF(AND(INDIRECT(CONCATENATE($J1782,$K1782,"5"))=$B1782,ISBLANK(INDIRECT(CONCATENATE($J1782,AB1778)))=FALSE),INDIRECT(CONCATENATE($J1782,AB1778)),"")</f>
        <v/>
      </c>
      <c r="AD1778" s="494" t="s">
        <v>1736</v>
      </c>
      <c r="AE1778" s="547" t="str">
        <f t="shared" ca="1" si="303"/>
        <v/>
      </c>
    </row>
    <row r="1779" spans="1:31" ht="15" customHeight="1">
      <c r="A1779" s="957">
        <v>36</v>
      </c>
      <c r="B1779" s="566" t="s">
        <v>796</v>
      </c>
      <c r="C1779" s="567" t="s">
        <v>1730</v>
      </c>
      <c r="D1779" s="958" t="s">
        <v>1596</v>
      </c>
      <c r="E1779" s="959" t="s">
        <v>353</v>
      </c>
      <c r="F1779" s="558" t="s">
        <v>1486</v>
      </c>
      <c r="G1779" s="558">
        <v>284</v>
      </c>
      <c r="H1779" s="558" t="s">
        <v>894</v>
      </c>
      <c r="I1779" s="559" t="s">
        <v>1739</v>
      </c>
      <c r="J1779" s="567" t="s">
        <v>1731</v>
      </c>
      <c r="K1779" s="961" t="s">
        <v>1373</v>
      </c>
      <c r="L1779" s="555" t="str">
        <f t="shared" ca="1" si="299"/>
        <v/>
      </c>
      <c r="M1779" s="494" t="s">
        <v>1609</v>
      </c>
      <c r="N1779" s="555" t="str">
        <f t="shared" ca="1" si="301"/>
        <v/>
      </c>
      <c r="O1779" s="494" t="s">
        <v>1732</v>
      </c>
      <c r="P1779" s="555" t="str">
        <f t="shared" ca="1" si="302"/>
        <v/>
      </c>
      <c r="Q1779" s="494" t="s">
        <v>1733</v>
      </c>
      <c r="R1779" s="494" t="str">
        <f>CONCATENATE("H",ROW(J1779))</f>
        <v>H1779</v>
      </c>
      <c r="S1779" s="494" t="s">
        <v>1734</v>
      </c>
      <c r="T1779" s="494">
        <v>7</v>
      </c>
      <c r="U1779" s="556" t="str">
        <f t="shared" ca="1" si="297"/>
        <v/>
      </c>
      <c r="V1779" s="494">
        <v>8</v>
      </c>
      <c r="W1779" s="556" t="str">
        <f t="shared" ca="1" si="298"/>
        <v/>
      </c>
      <c r="X1779" s="557"/>
      <c r="Y1779" s="958"/>
      <c r="Z1779" s="958"/>
      <c r="AA1779" s="958"/>
      <c r="AB1779" s="958" t="s">
        <v>1735</v>
      </c>
      <c r="AC1779" s="547" t="str">
        <f ca="1">IF(AND(INDIRECT(CONCATENATE($J1777,$K1777,"5"))=$B1777,ISBLANK(INDIRECT(CONCATENATE($J1777,AB1779)))=FALSE),INDIRECT(CONCATENATE($J1777,AB1779)),"")</f>
        <v/>
      </c>
      <c r="AD1779" s="494" t="s">
        <v>1736</v>
      </c>
      <c r="AE1779" s="547" t="str">
        <f t="shared" ca="1" si="303"/>
        <v/>
      </c>
    </row>
    <row r="1780" spans="1:31" ht="15" customHeight="1">
      <c r="A1780" s="957">
        <v>36</v>
      </c>
      <c r="B1780" s="566" t="s">
        <v>796</v>
      </c>
      <c r="C1780" s="567" t="s">
        <v>1730</v>
      </c>
      <c r="D1780" s="958" t="s">
        <v>1596</v>
      </c>
      <c r="E1780" s="959" t="s">
        <v>353</v>
      </c>
      <c r="F1780" s="558" t="s">
        <v>1486</v>
      </c>
      <c r="G1780" s="558">
        <v>284</v>
      </c>
      <c r="H1780" s="558" t="s">
        <v>896</v>
      </c>
      <c r="I1780" s="559" t="s">
        <v>1740</v>
      </c>
      <c r="J1780" s="567" t="s">
        <v>1731</v>
      </c>
      <c r="K1780" s="961" t="s">
        <v>1373</v>
      </c>
      <c r="L1780" s="555" t="str">
        <f t="shared" ca="1" si="299"/>
        <v/>
      </c>
      <c r="M1780" s="494" t="s">
        <v>1609</v>
      </c>
      <c r="N1780" s="555" t="str">
        <f t="shared" ca="1" si="301"/>
        <v/>
      </c>
      <c r="O1780" s="494" t="s">
        <v>1732</v>
      </c>
      <c r="P1780" s="555" t="str">
        <f t="shared" ca="1" si="302"/>
        <v/>
      </c>
      <c r="Q1780" s="494" t="s">
        <v>1733</v>
      </c>
      <c r="R1780" s="494" t="str">
        <f>CONCATENATE("H",ROW(J1780))</f>
        <v>H1780</v>
      </c>
      <c r="S1780" s="494" t="s">
        <v>1734</v>
      </c>
      <c r="T1780" s="494">
        <v>7</v>
      </c>
      <c r="U1780" s="556" t="str">
        <f t="shared" ca="1" si="297"/>
        <v/>
      </c>
      <c r="V1780" s="494">
        <v>8</v>
      </c>
      <c r="W1780" s="556" t="str">
        <f t="shared" ca="1" si="298"/>
        <v/>
      </c>
      <c r="X1780" s="557"/>
      <c r="Y1780" s="958"/>
      <c r="Z1780" s="958"/>
      <c r="AA1780" s="958"/>
      <c r="AB1780" s="958" t="s">
        <v>1735</v>
      </c>
      <c r="AC1780" s="547" t="str">
        <f ca="1">IF(AND(INDIRECT(CONCATENATE($J1778,$K1778,"5"))=$B1778,ISBLANK(INDIRECT(CONCATENATE($J1778,AB1780)))=FALSE),INDIRECT(CONCATENATE($J1778,AB1780)),"")</f>
        <v/>
      </c>
      <c r="AD1780" s="494" t="s">
        <v>1736</v>
      </c>
      <c r="AE1780" s="547" t="str">
        <f t="shared" ca="1" si="303"/>
        <v/>
      </c>
    </row>
    <row r="1781" spans="1:31" ht="15" customHeight="1">
      <c r="A1781" s="957">
        <v>36</v>
      </c>
      <c r="B1781" s="566" t="s">
        <v>796</v>
      </c>
      <c r="C1781" s="567" t="s">
        <v>1730</v>
      </c>
      <c r="D1781" s="958" t="s">
        <v>1596</v>
      </c>
      <c r="E1781" s="959" t="s">
        <v>353</v>
      </c>
      <c r="F1781" s="558" t="s">
        <v>1486</v>
      </c>
      <c r="G1781" s="558">
        <v>368</v>
      </c>
      <c r="H1781" s="558">
        <v>20.100000000000001</v>
      </c>
      <c r="I1781" s="559" t="s">
        <v>900</v>
      </c>
      <c r="J1781" s="567" t="s">
        <v>1731</v>
      </c>
      <c r="K1781" s="961" t="s">
        <v>1373</v>
      </c>
      <c r="L1781" s="555" t="str">
        <f t="shared" ca="1" si="299"/>
        <v/>
      </c>
      <c r="M1781" s="494" t="s">
        <v>1609</v>
      </c>
      <c r="N1781" s="555" t="str">
        <f t="shared" ca="1" si="301"/>
        <v/>
      </c>
      <c r="O1781" s="494" t="s">
        <v>1732</v>
      </c>
      <c r="P1781" s="555" t="str">
        <f t="shared" ca="1" si="302"/>
        <v/>
      </c>
      <c r="Q1781" s="494" t="s">
        <v>1733</v>
      </c>
      <c r="R1781" s="494" t="str">
        <f t="shared" si="304"/>
        <v>H1781</v>
      </c>
      <c r="S1781" s="494" t="s">
        <v>1734</v>
      </c>
      <c r="T1781" s="494">
        <v>7</v>
      </c>
      <c r="U1781" s="556" t="str">
        <f t="shared" ca="1" si="297"/>
        <v/>
      </c>
      <c r="V1781" s="494">
        <v>8</v>
      </c>
      <c r="W1781" s="556" t="str">
        <f t="shared" ca="1" si="298"/>
        <v/>
      </c>
      <c r="X1781" s="557"/>
      <c r="Y1781" s="958"/>
      <c r="Z1781" s="958"/>
      <c r="AA1781" s="958"/>
      <c r="AB1781" s="958" t="s">
        <v>1735</v>
      </c>
      <c r="AC1781" s="547" t="str">
        <f ca="1">IF(AND(INDIRECT(CONCATENATE($J1779,$K1779,"5"))=$B1779,ISBLANK(INDIRECT(CONCATENATE($J1779,AB1781)))=FALSE),INDIRECT(CONCATENATE($J1779,AB1781)),"")</f>
        <v/>
      </c>
      <c r="AD1781" s="494" t="s">
        <v>1736</v>
      </c>
      <c r="AE1781" s="547" t="str">
        <f t="shared" ca="1" si="303"/>
        <v/>
      </c>
    </row>
    <row r="1782" spans="1:31" ht="15" customHeight="1">
      <c r="A1782" s="957">
        <v>36</v>
      </c>
      <c r="B1782" s="566" t="s">
        <v>796</v>
      </c>
      <c r="C1782" s="567" t="s">
        <v>1730</v>
      </c>
      <c r="D1782" s="958" t="s">
        <v>1596</v>
      </c>
      <c r="E1782" s="959" t="s">
        <v>353</v>
      </c>
      <c r="F1782" s="558" t="s">
        <v>1486</v>
      </c>
      <c r="G1782" s="558">
        <v>368</v>
      </c>
      <c r="H1782" s="558">
        <v>20.2</v>
      </c>
      <c r="I1782" s="559" t="s">
        <v>901</v>
      </c>
      <c r="J1782" s="567" t="s">
        <v>1731</v>
      </c>
      <c r="K1782" s="961" t="s">
        <v>1373</v>
      </c>
      <c r="L1782" s="555" t="str">
        <f t="shared" ca="1" si="299"/>
        <v/>
      </c>
      <c r="M1782" s="494" t="s">
        <v>1609</v>
      </c>
      <c r="N1782" s="555" t="str">
        <f t="shared" ca="1" si="301"/>
        <v/>
      </c>
      <c r="O1782" s="494" t="s">
        <v>1732</v>
      </c>
      <c r="P1782" s="555" t="str">
        <f t="shared" ca="1" si="302"/>
        <v/>
      </c>
      <c r="Q1782" s="494" t="s">
        <v>1733</v>
      </c>
      <c r="R1782" s="494" t="str">
        <f t="shared" si="304"/>
        <v>H1782</v>
      </c>
      <c r="S1782" s="494" t="s">
        <v>1734</v>
      </c>
      <c r="T1782" s="494">
        <v>7</v>
      </c>
      <c r="U1782" s="556" t="str">
        <f t="shared" ca="1" si="297"/>
        <v/>
      </c>
      <c r="V1782" s="494">
        <v>8</v>
      </c>
      <c r="W1782" s="556" t="str">
        <f t="shared" ca="1" si="298"/>
        <v/>
      </c>
      <c r="X1782" s="557"/>
      <c r="Y1782" s="958"/>
      <c r="Z1782" s="958"/>
      <c r="AA1782" s="958"/>
      <c r="AB1782" s="958" t="s">
        <v>1735</v>
      </c>
      <c r="AC1782" s="547" t="str">
        <f ca="1">IF(AND(INDIRECT(CONCATENATE($J1780,$K1780,"5"))=$B1780,ISBLANK(INDIRECT(CONCATENATE($J1780,AB1782)))=FALSE),INDIRECT(CONCATENATE($J1780,AB1782)),"")</f>
        <v/>
      </c>
      <c r="AD1782" s="494" t="s">
        <v>1736</v>
      </c>
      <c r="AE1782" s="547" t="str">
        <f t="shared" ca="1" si="303"/>
        <v/>
      </c>
    </row>
    <row r="1783" spans="1:31" ht="15" customHeight="1">
      <c r="A1783" s="957">
        <v>36</v>
      </c>
      <c r="B1783" s="566" t="s">
        <v>796</v>
      </c>
      <c r="C1783" s="567" t="s">
        <v>1730</v>
      </c>
      <c r="D1783" s="958" t="s">
        <v>1596</v>
      </c>
      <c r="E1783" s="959" t="s">
        <v>367</v>
      </c>
      <c r="F1783" s="558" t="s">
        <v>1488</v>
      </c>
      <c r="G1783" s="558">
        <v>369</v>
      </c>
      <c r="H1783" s="558">
        <v>21.1</v>
      </c>
      <c r="I1783" s="559" t="s">
        <v>904</v>
      </c>
      <c r="J1783" s="567" t="s">
        <v>1731</v>
      </c>
      <c r="K1783" s="961" t="s">
        <v>1373</v>
      </c>
      <c r="L1783" s="555" t="str">
        <f t="shared" ca="1" si="299"/>
        <v/>
      </c>
      <c r="M1783" s="494" t="s">
        <v>1609</v>
      </c>
      <c r="N1783" s="555" t="str">
        <f t="shared" ca="1" si="301"/>
        <v/>
      </c>
      <c r="O1783" s="494" t="s">
        <v>1732</v>
      </c>
      <c r="P1783" s="555" t="str">
        <f t="shared" ca="1" si="302"/>
        <v/>
      </c>
      <c r="Q1783" s="494" t="s">
        <v>1733</v>
      </c>
      <c r="R1783" s="494" t="str">
        <f t="shared" si="304"/>
        <v>H1783</v>
      </c>
      <c r="S1783" s="494" t="s">
        <v>1734</v>
      </c>
      <c r="T1783" s="494">
        <v>7</v>
      </c>
      <c r="U1783" s="556" t="str">
        <f t="shared" ca="1" si="297"/>
        <v/>
      </c>
      <c r="V1783" s="494">
        <v>8</v>
      </c>
      <c r="W1783" s="556" t="str">
        <f t="shared" ca="1" si="298"/>
        <v/>
      </c>
      <c r="X1783" s="557"/>
      <c r="Y1783" s="958"/>
      <c r="Z1783" s="958"/>
      <c r="AA1783" s="958"/>
      <c r="AB1783" s="958" t="s">
        <v>1735</v>
      </c>
      <c r="AC1783" s="547" t="str">
        <f t="shared" ref="AC1783:AC1830" ca="1" si="306">IF(AND(INDIRECT(CONCATENATE($J1783,$K1783,"5"))=$B1783,ISBLANK(INDIRECT(CONCATENATE($J1783,AB1783)))=FALSE),INDIRECT(CONCATENATE($J1783,AB1783)),"")</f>
        <v/>
      </c>
      <c r="AD1783" s="494" t="s">
        <v>1736</v>
      </c>
      <c r="AE1783" s="547" t="str">
        <f t="shared" ca="1" si="303"/>
        <v/>
      </c>
    </row>
    <row r="1784" spans="1:31" ht="15" customHeight="1">
      <c r="A1784" s="957">
        <v>36</v>
      </c>
      <c r="B1784" s="566" t="s">
        <v>796</v>
      </c>
      <c r="C1784" s="567" t="s">
        <v>1730</v>
      </c>
      <c r="D1784" s="958" t="s">
        <v>1596</v>
      </c>
      <c r="E1784" s="959" t="s">
        <v>367</v>
      </c>
      <c r="F1784" s="558" t="s">
        <v>1488</v>
      </c>
      <c r="G1784" s="558">
        <v>369</v>
      </c>
      <c r="H1784" s="558">
        <v>21.2</v>
      </c>
      <c r="I1784" s="559" t="s">
        <v>905</v>
      </c>
      <c r="J1784" s="567" t="s">
        <v>1731</v>
      </c>
      <c r="K1784" s="961" t="s">
        <v>1373</v>
      </c>
      <c r="L1784" s="555" t="str">
        <f t="shared" ca="1" si="299"/>
        <v/>
      </c>
      <c r="M1784" s="494" t="s">
        <v>1609</v>
      </c>
      <c r="N1784" s="555" t="str">
        <f t="shared" ca="1" si="301"/>
        <v/>
      </c>
      <c r="O1784" s="494" t="s">
        <v>1732</v>
      </c>
      <c r="P1784" s="555" t="str">
        <f t="shared" ca="1" si="302"/>
        <v/>
      </c>
      <c r="Q1784" s="494" t="s">
        <v>1733</v>
      </c>
      <c r="R1784" s="494" t="str">
        <f t="shared" si="304"/>
        <v>H1784</v>
      </c>
      <c r="S1784" s="494" t="s">
        <v>1734</v>
      </c>
      <c r="T1784" s="494">
        <v>7</v>
      </c>
      <c r="U1784" s="556" t="str">
        <f t="shared" ca="1" si="297"/>
        <v/>
      </c>
      <c r="V1784" s="494">
        <v>8</v>
      </c>
      <c r="W1784" s="556" t="str">
        <f t="shared" ca="1" si="298"/>
        <v/>
      </c>
      <c r="X1784" s="557"/>
      <c r="Y1784" s="958"/>
      <c r="Z1784" s="958"/>
      <c r="AA1784" s="958"/>
      <c r="AB1784" s="958" t="s">
        <v>1735</v>
      </c>
      <c r="AC1784" s="547" t="str">
        <f t="shared" ca="1" si="306"/>
        <v/>
      </c>
      <c r="AD1784" s="494" t="s">
        <v>1736</v>
      </c>
      <c r="AE1784" s="547" t="str">
        <f t="shared" ca="1" si="303"/>
        <v/>
      </c>
    </row>
    <row r="1785" spans="1:31" ht="15" customHeight="1">
      <c r="A1785" s="957">
        <v>36</v>
      </c>
      <c r="B1785" s="566" t="s">
        <v>796</v>
      </c>
      <c r="C1785" s="567" t="s">
        <v>1730</v>
      </c>
      <c r="D1785" s="958" t="s">
        <v>1596</v>
      </c>
      <c r="E1785" s="959" t="s">
        <v>367</v>
      </c>
      <c r="F1785" s="558" t="s">
        <v>1488</v>
      </c>
      <c r="G1785" s="558">
        <v>369</v>
      </c>
      <c r="H1785" s="558">
        <v>21.3</v>
      </c>
      <c r="I1785" s="559" t="s">
        <v>906</v>
      </c>
      <c r="J1785" s="567" t="s">
        <v>1731</v>
      </c>
      <c r="K1785" s="961" t="s">
        <v>1373</v>
      </c>
      <c r="L1785" s="555" t="str">
        <f t="shared" ca="1" si="299"/>
        <v/>
      </c>
      <c r="M1785" s="494" t="s">
        <v>1609</v>
      </c>
      <c r="N1785" s="555" t="str">
        <f t="shared" ca="1" si="301"/>
        <v/>
      </c>
      <c r="O1785" s="494" t="s">
        <v>1732</v>
      </c>
      <c r="P1785" s="555" t="str">
        <f t="shared" ca="1" si="302"/>
        <v/>
      </c>
      <c r="Q1785" s="494" t="s">
        <v>1733</v>
      </c>
      <c r="R1785" s="494" t="str">
        <f t="shared" si="304"/>
        <v>H1785</v>
      </c>
      <c r="S1785" s="494" t="s">
        <v>1734</v>
      </c>
      <c r="T1785" s="494">
        <v>7</v>
      </c>
      <c r="U1785" s="556" t="str">
        <f t="shared" ca="1" si="297"/>
        <v/>
      </c>
      <c r="V1785" s="494">
        <v>8</v>
      </c>
      <c r="W1785" s="556" t="str">
        <f t="shared" ca="1" si="298"/>
        <v/>
      </c>
      <c r="X1785" s="557"/>
      <c r="Y1785" s="958"/>
      <c r="Z1785" s="958"/>
      <c r="AA1785" s="958"/>
      <c r="AB1785" s="958" t="s">
        <v>1735</v>
      </c>
      <c r="AC1785" s="547" t="str">
        <f t="shared" ca="1" si="306"/>
        <v/>
      </c>
      <c r="AD1785" s="494" t="s">
        <v>1736</v>
      </c>
      <c r="AE1785" s="547" t="str">
        <f t="shared" ca="1" si="303"/>
        <v/>
      </c>
    </row>
    <row r="1786" spans="1:31" ht="15" customHeight="1">
      <c r="A1786" s="957">
        <v>36</v>
      </c>
      <c r="B1786" s="566" t="s">
        <v>796</v>
      </c>
      <c r="C1786" s="567" t="s">
        <v>1730</v>
      </c>
      <c r="D1786" s="958" t="s">
        <v>1596</v>
      </c>
      <c r="E1786" s="959" t="s">
        <v>367</v>
      </c>
      <c r="F1786" s="558" t="s">
        <v>1488</v>
      </c>
      <c r="G1786" s="558">
        <v>370</v>
      </c>
      <c r="H1786" s="558">
        <v>22.1</v>
      </c>
      <c r="I1786" s="559" t="s">
        <v>909</v>
      </c>
      <c r="J1786" s="567" t="s">
        <v>1731</v>
      </c>
      <c r="K1786" s="961" t="s">
        <v>1373</v>
      </c>
      <c r="L1786" s="555" t="str">
        <f t="shared" ca="1" si="299"/>
        <v/>
      </c>
      <c r="M1786" s="494" t="s">
        <v>1609</v>
      </c>
      <c r="N1786" s="555" t="str">
        <f t="shared" ca="1" si="301"/>
        <v/>
      </c>
      <c r="O1786" s="494" t="s">
        <v>1732</v>
      </c>
      <c r="P1786" s="555" t="str">
        <f t="shared" ca="1" si="302"/>
        <v/>
      </c>
      <c r="Q1786" s="494" t="s">
        <v>1733</v>
      </c>
      <c r="R1786" s="494" t="str">
        <f t="shared" si="304"/>
        <v>H1786</v>
      </c>
      <c r="S1786" s="494" t="s">
        <v>1734</v>
      </c>
      <c r="T1786" s="494">
        <v>7</v>
      </c>
      <c r="U1786" s="556" t="str">
        <f t="shared" ca="1" si="297"/>
        <v/>
      </c>
      <c r="V1786" s="494">
        <v>8</v>
      </c>
      <c r="W1786" s="556" t="str">
        <f t="shared" ca="1" si="298"/>
        <v/>
      </c>
      <c r="X1786" s="557"/>
      <c r="Y1786" s="958"/>
      <c r="Z1786" s="958"/>
      <c r="AA1786" s="958"/>
      <c r="AB1786" s="958" t="s">
        <v>1735</v>
      </c>
      <c r="AC1786" s="547" t="str">
        <f t="shared" ca="1" si="306"/>
        <v/>
      </c>
      <c r="AD1786" s="494" t="s">
        <v>1736</v>
      </c>
      <c r="AE1786" s="547" t="str">
        <f t="shared" ca="1" si="303"/>
        <v/>
      </c>
    </row>
    <row r="1787" spans="1:31" ht="15" customHeight="1">
      <c r="A1787" s="957">
        <v>36</v>
      </c>
      <c r="B1787" s="566" t="s">
        <v>796</v>
      </c>
      <c r="C1787" s="567" t="s">
        <v>1730</v>
      </c>
      <c r="D1787" s="958" t="s">
        <v>1596</v>
      </c>
      <c r="E1787" s="959" t="s">
        <v>367</v>
      </c>
      <c r="F1787" s="558" t="s">
        <v>1488</v>
      </c>
      <c r="G1787" s="558">
        <v>370</v>
      </c>
      <c r="H1787" s="558">
        <v>22.2</v>
      </c>
      <c r="I1787" s="559" t="s">
        <v>910</v>
      </c>
      <c r="J1787" s="567" t="s">
        <v>1731</v>
      </c>
      <c r="K1787" s="961" t="s">
        <v>1373</v>
      </c>
      <c r="L1787" s="555" t="str">
        <f t="shared" ca="1" si="299"/>
        <v/>
      </c>
      <c r="M1787" s="494" t="s">
        <v>1609</v>
      </c>
      <c r="N1787" s="555" t="str">
        <f t="shared" ca="1" si="301"/>
        <v/>
      </c>
      <c r="O1787" s="494" t="s">
        <v>1732</v>
      </c>
      <c r="P1787" s="555" t="str">
        <f t="shared" ca="1" si="302"/>
        <v/>
      </c>
      <c r="Q1787" s="494" t="s">
        <v>1733</v>
      </c>
      <c r="R1787" s="494" t="str">
        <f t="shared" si="304"/>
        <v>H1787</v>
      </c>
      <c r="S1787" s="494" t="s">
        <v>1734</v>
      </c>
      <c r="T1787" s="494">
        <v>7</v>
      </c>
      <c r="U1787" s="556" t="str">
        <f t="shared" ca="1" si="297"/>
        <v/>
      </c>
      <c r="V1787" s="494">
        <v>8</v>
      </c>
      <c r="W1787" s="556" t="str">
        <f t="shared" ca="1" si="298"/>
        <v/>
      </c>
      <c r="X1787" s="557"/>
      <c r="Y1787" s="958"/>
      <c r="Z1787" s="958"/>
      <c r="AA1787" s="958"/>
      <c r="AB1787" s="958" t="s">
        <v>1735</v>
      </c>
      <c r="AC1787" s="547" t="str">
        <f t="shared" ca="1" si="306"/>
        <v/>
      </c>
      <c r="AD1787" s="494" t="s">
        <v>1736</v>
      </c>
      <c r="AE1787" s="547" t="str">
        <f t="shared" ca="1" si="303"/>
        <v/>
      </c>
    </row>
    <row r="1788" spans="1:31" ht="15" customHeight="1">
      <c r="A1788" s="957">
        <v>36</v>
      </c>
      <c r="B1788" s="566" t="s">
        <v>796</v>
      </c>
      <c r="C1788" s="567" t="s">
        <v>1730</v>
      </c>
      <c r="D1788" s="958" t="s">
        <v>1596</v>
      </c>
      <c r="E1788" s="959" t="s">
        <v>367</v>
      </c>
      <c r="F1788" s="558" t="s">
        <v>1488</v>
      </c>
      <c r="G1788" s="558">
        <v>371</v>
      </c>
      <c r="H1788" s="558">
        <v>23.1</v>
      </c>
      <c r="I1788" s="559" t="s">
        <v>913</v>
      </c>
      <c r="J1788" s="567" t="s">
        <v>1731</v>
      </c>
      <c r="K1788" s="961" t="s">
        <v>1373</v>
      </c>
      <c r="L1788" s="555" t="str">
        <f t="shared" ca="1" si="299"/>
        <v/>
      </c>
      <c r="M1788" s="494" t="s">
        <v>1609</v>
      </c>
      <c r="N1788" s="555" t="str">
        <f t="shared" ca="1" si="301"/>
        <v/>
      </c>
      <c r="O1788" s="494" t="s">
        <v>1732</v>
      </c>
      <c r="P1788" s="555" t="str">
        <f t="shared" ca="1" si="302"/>
        <v/>
      </c>
      <c r="Q1788" s="494" t="s">
        <v>1733</v>
      </c>
      <c r="R1788" s="494" t="str">
        <f t="shared" si="304"/>
        <v>H1788</v>
      </c>
      <c r="S1788" s="494" t="s">
        <v>1734</v>
      </c>
      <c r="T1788" s="494">
        <v>7</v>
      </c>
      <c r="U1788" s="556" t="str">
        <f t="shared" ca="1" si="297"/>
        <v/>
      </c>
      <c r="V1788" s="494">
        <v>8</v>
      </c>
      <c r="W1788" s="556" t="str">
        <f t="shared" ca="1" si="298"/>
        <v/>
      </c>
      <c r="X1788" s="557"/>
      <c r="Y1788" s="958"/>
      <c r="Z1788" s="958"/>
      <c r="AA1788" s="958"/>
      <c r="AB1788" s="958" t="s">
        <v>1735</v>
      </c>
      <c r="AC1788" s="547" t="str">
        <f t="shared" ca="1" si="306"/>
        <v/>
      </c>
      <c r="AD1788" s="494" t="s">
        <v>1736</v>
      </c>
      <c r="AE1788" s="547" t="str">
        <f t="shared" ca="1" si="303"/>
        <v/>
      </c>
    </row>
    <row r="1789" spans="1:31" ht="15" customHeight="1">
      <c r="A1789" s="957">
        <v>36</v>
      </c>
      <c r="B1789" s="566" t="s">
        <v>796</v>
      </c>
      <c r="C1789" s="567" t="s">
        <v>1730</v>
      </c>
      <c r="D1789" s="958" t="s">
        <v>1596</v>
      </c>
      <c r="E1789" s="959" t="s">
        <v>367</v>
      </c>
      <c r="F1789" s="558" t="s">
        <v>1488</v>
      </c>
      <c r="G1789" s="558">
        <v>371</v>
      </c>
      <c r="H1789" s="558">
        <v>23.2</v>
      </c>
      <c r="I1789" s="559" t="s">
        <v>1741</v>
      </c>
      <c r="J1789" s="567" t="s">
        <v>1731</v>
      </c>
      <c r="K1789" s="961" t="s">
        <v>1373</v>
      </c>
      <c r="L1789" s="555" t="str">
        <f t="shared" ca="1" si="299"/>
        <v/>
      </c>
      <c r="M1789" s="494" t="s">
        <v>1609</v>
      </c>
      <c r="N1789" s="555" t="str">
        <f t="shared" ca="1" si="301"/>
        <v/>
      </c>
      <c r="O1789" s="494" t="s">
        <v>1732</v>
      </c>
      <c r="P1789" s="555" t="str">
        <f t="shared" ca="1" si="302"/>
        <v/>
      </c>
      <c r="Q1789" s="494" t="s">
        <v>1733</v>
      </c>
      <c r="R1789" s="494" t="str">
        <f t="shared" si="304"/>
        <v>H1789</v>
      </c>
      <c r="S1789" s="494" t="s">
        <v>1734</v>
      </c>
      <c r="T1789" s="494">
        <v>7</v>
      </c>
      <c r="U1789" s="556" t="str">
        <f t="shared" ca="1" si="297"/>
        <v/>
      </c>
      <c r="V1789" s="494">
        <v>8</v>
      </c>
      <c r="W1789" s="556" t="str">
        <f t="shared" ca="1" si="298"/>
        <v/>
      </c>
      <c r="X1789" s="557"/>
      <c r="Y1789" s="958"/>
      <c r="Z1789" s="958"/>
      <c r="AA1789" s="958"/>
      <c r="AB1789" s="958" t="s">
        <v>1735</v>
      </c>
      <c r="AC1789" s="547" t="str">
        <f t="shared" ca="1" si="306"/>
        <v/>
      </c>
      <c r="AD1789" s="494" t="s">
        <v>1736</v>
      </c>
      <c r="AE1789" s="547" t="str">
        <f t="shared" ca="1" si="303"/>
        <v/>
      </c>
    </row>
    <row r="1790" spans="1:31" ht="15" customHeight="1">
      <c r="A1790" s="957">
        <v>36</v>
      </c>
      <c r="B1790" s="566" t="s">
        <v>796</v>
      </c>
      <c r="C1790" s="567" t="s">
        <v>1730</v>
      </c>
      <c r="D1790" s="958" t="s">
        <v>1596</v>
      </c>
      <c r="E1790" s="959" t="s">
        <v>396</v>
      </c>
      <c r="F1790" s="558" t="s">
        <v>1498</v>
      </c>
      <c r="G1790" s="558">
        <v>372</v>
      </c>
      <c r="H1790" s="558">
        <v>24.1</v>
      </c>
      <c r="I1790" s="559" t="s">
        <v>916</v>
      </c>
      <c r="J1790" s="567" t="s">
        <v>1731</v>
      </c>
      <c r="K1790" s="961" t="s">
        <v>1373</v>
      </c>
      <c r="L1790" s="555" t="str">
        <f t="shared" ca="1" si="299"/>
        <v/>
      </c>
      <c r="M1790" s="494" t="s">
        <v>1609</v>
      </c>
      <c r="N1790" s="555" t="str">
        <f t="shared" ca="1" si="301"/>
        <v/>
      </c>
      <c r="O1790" s="494" t="s">
        <v>1732</v>
      </c>
      <c r="P1790" s="555" t="str">
        <f t="shared" ca="1" si="302"/>
        <v/>
      </c>
      <c r="Q1790" s="494" t="s">
        <v>1733</v>
      </c>
      <c r="R1790" s="494" t="str">
        <f t="shared" si="304"/>
        <v>H1790</v>
      </c>
      <c r="S1790" s="494" t="s">
        <v>1734</v>
      </c>
      <c r="T1790" s="494">
        <v>7</v>
      </c>
      <c r="U1790" s="556" t="str">
        <f t="shared" ca="1" si="297"/>
        <v/>
      </c>
      <c r="V1790" s="494">
        <v>8</v>
      </c>
      <c r="W1790" s="556" t="str">
        <f t="shared" ca="1" si="298"/>
        <v/>
      </c>
      <c r="X1790" s="557"/>
      <c r="Y1790" s="958"/>
      <c r="Z1790" s="958"/>
      <c r="AA1790" s="958"/>
      <c r="AB1790" s="958" t="s">
        <v>1735</v>
      </c>
      <c r="AC1790" s="547" t="str">
        <f t="shared" ca="1" si="306"/>
        <v/>
      </c>
      <c r="AD1790" s="494" t="s">
        <v>1736</v>
      </c>
      <c r="AE1790" s="547" t="str">
        <f t="shared" ca="1" si="303"/>
        <v/>
      </c>
    </row>
    <row r="1791" spans="1:31" ht="15" customHeight="1">
      <c r="A1791" s="957">
        <v>36</v>
      </c>
      <c r="B1791" s="566" t="s">
        <v>796</v>
      </c>
      <c r="C1791" s="567" t="s">
        <v>1730</v>
      </c>
      <c r="D1791" s="958" t="s">
        <v>1596</v>
      </c>
      <c r="E1791" s="959" t="s">
        <v>396</v>
      </c>
      <c r="F1791" s="558" t="s">
        <v>1498</v>
      </c>
      <c r="G1791" s="558">
        <v>372</v>
      </c>
      <c r="H1791" s="558">
        <v>24.2</v>
      </c>
      <c r="I1791" s="559" t="s">
        <v>917</v>
      </c>
      <c r="J1791" s="567" t="s">
        <v>1731</v>
      </c>
      <c r="K1791" s="961" t="s">
        <v>1373</v>
      </c>
      <c r="L1791" s="555" t="str">
        <f t="shared" ca="1" si="299"/>
        <v/>
      </c>
      <c r="M1791" s="494" t="s">
        <v>1609</v>
      </c>
      <c r="N1791" s="555" t="str">
        <f t="shared" ca="1" si="301"/>
        <v/>
      </c>
      <c r="O1791" s="494" t="s">
        <v>1732</v>
      </c>
      <c r="P1791" s="555" t="str">
        <f t="shared" ca="1" si="302"/>
        <v/>
      </c>
      <c r="Q1791" s="494" t="s">
        <v>1733</v>
      </c>
      <c r="R1791" s="494" t="str">
        <f t="shared" si="304"/>
        <v>H1791</v>
      </c>
      <c r="S1791" s="494" t="s">
        <v>1734</v>
      </c>
      <c r="T1791" s="494">
        <v>7</v>
      </c>
      <c r="U1791" s="556" t="str">
        <f t="shared" ref="U1791:U1854" ca="1" si="307">IF(AND($B1791=INDIRECT(CONCATENATE($J1791,$K1791,5)),ISBLANK(INDEX(INDIRECT(CONCATENATE($J1791,$Q1791)),MATCH(INDIRECT($R1791),INDIRECT(CONCATENATE($J1791,$S1791)),0),T1791))=FALSE),INDEX(INDIRECT(CONCATENATE($J1791,$Q1791)),MATCH(INDIRECT($R1791),INDIRECT(CONCATENATE($J1791,$S1791)),0),T1791),"")</f>
        <v/>
      </c>
      <c r="V1791" s="494">
        <v>8</v>
      </c>
      <c r="W1791" s="556" t="str">
        <f t="shared" ref="W1791:W1854" ca="1" si="308">IF(AND($B1791=INDIRECT(CONCATENATE($J1791,$K1791,5)),ISBLANK(INDEX(INDIRECT(CONCATENATE($J1791,$Q1791)),MATCH(INDIRECT($R1791),INDIRECT(CONCATENATE($J1791,$S1791)),0),V1791))=FALSE),INDEX(INDIRECT(CONCATENATE($J1791,$Q1791)),MATCH(INDIRECT($R1791),INDIRECT(CONCATENATE($J1791,$S1791)),0),V1791),"")</f>
        <v/>
      </c>
      <c r="X1791" s="557"/>
      <c r="Y1791" s="958"/>
      <c r="Z1791" s="958"/>
      <c r="AA1791" s="958"/>
      <c r="AB1791" s="958" t="s">
        <v>1735</v>
      </c>
      <c r="AC1791" s="547" t="str">
        <f t="shared" ca="1" si="306"/>
        <v/>
      </c>
      <c r="AD1791" s="494" t="s">
        <v>1736</v>
      </c>
      <c r="AE1791" s="547" t="str">
        <f t="shared" ca="1" si="303"/>
        <v/>
      </c>
    </row>
    <row r="1792" spans="1:31" ht="15" customHeight="1">
      <c r="A1792" s="957">
        <v>36</v>
      </c>
      <c r="B1792" s="566" t="s">
        <v>796</v>
      </c>
      <c r="C1792" s="567" t="s">
        <v>1730</v>
      </c>
      <c r="D1792" s="958" t="s">
        <v>1596</v>
      </c>
      <c r="E1792" s="959" t="s">
        <v>396</v>
      </c>
      <c r="F1792" s="558" t="s">
        <v>1498</v>
      </c>
      <c r="G1792" s="558">
        <v>373</v>
      </c>
      <c r="H1792" s="558">
        <v>25.1</v>
      </c>
      <c r="I1792" s="559" t="s">
        <v>920</v>
      </c>
      <c r="J1792" s="567" t="s">
        <v>1731</v>
      </c>
      <c r="K1792" s="961" t="s">
        <v>1373</v>
      </c>
      <c r="L1792" s="555" t="str">
        <f t="shared" ca="1" si="299"/>
        <v/>
      </c>
      <c r="M1792" s="494" t="s">
        <v>1609</v>
      </c>
      <c r="N1792" s="555" t="str">
        <f t="shared" ca="1" si="301"/>
        <v/>
      </c>
      <c r="O1792" s="494" t="s">
        <v>1732</v>
      </c>
      <c r="P1792" s="555" t="str">
        <f t="shared" ca="1" si="302"/>
        <v/>
      </c>
      <c r="Q1792" s="494" t="s">
        <v>1733</v>
      </c>
      <c r="R1792" s="494" t="str">
        <f t="shared" si="304"/>
        <v>H1792</v>
      </c>
      <c r="S1792" s="494" t="s">
        <v>1734</v>
      </c>
      <c r="T1792" s="494">
        <v>7</v>
      </c>
      <c r="U1792" s="556" t="str">
        <f t="shared" ca="1" si="307"/>
        <v/>
      </c>
      <c r="V1792" s="494">
        <v>8</v>
      </c>
      <c r="W1792" s="556" t="str">
        <f t="shared" ca="1" si="308"/>
        <v/>
      </c>
      <c r="X1792" s="557"/>
      <c r="Y1792" s="958"/>
      <c r="Z1792" s="958"/>
      <c r="AA1792" s="958"/>
      <c r="AB1792" s="958" t="s">
        <v>1735</v>
      </c>
      <c r="AC1792" s="547" t="str">
        <f t="shared" ca="1" si="306"/>
        <v/>
      </c>
      <c r="AD1792" s="494" t="s">
        <v>1736</v>
      </c>
      <c r="AE1792" s="547" t="str">
        <f t="shared" ca="1" si="303"/>
        <v/>
      </c>
    </row>
    <row r="1793" spans="1:31" ht="15" customHeight="1">
      <c r="A1793" s="957">
        <v>36</v>
      </c>
      <c r="B1793" s="566" t="s">
        <v>796</v>
      </c>
      <c r="C1793" s="567" t="s">
        <v>1730</v>
      </c>
      <c r="D1793" s="958" t="s">
        <v>1596</v>
      </c>
      <c r="E1793" s="959" t="s">
        <v>396</v>
      </c>
      <c r="F1793" s="558" t="s">
        <v>1498</v>
      </c>
      <c r="G1793" s="558">
        <v>373</v>
      </c>
      <c r="H1793" s="558">
        <v>25.2</v>
      </c>
      <c r="I1793" s="559" t="s">
        <v>921</v>
      </c>
      <c r="J1793" s="567" t="s">
        <v>1731</v>
      </c>
      <c r="K1793" s="961" t="s">
        <v>1373</v>
      </c>
      <c r="L1793" s="555" t="str">
        <f t="shared" ca="1" si="299"/>
        <v/>
      </c>
      <c r="M1793" s="494" t="s">
        <v>1609</v>
      </c>
      <c r="N1793" s="555" t="str">
        <f t="shared" ca="1" si="301"/>
        <v/>
      </c>
      <c r="O1793" s="494" t="s">
        <v>1732</v>
      </c>
      <c r="P1793" s="555" t="str">
        <f t="shared" ca="1" si="302"/>
        <v/>
      </c>
      <c r="Q1793" s="494" t="s">
        <v>1733</v>
      </c>
      <c r="R1793" s="494" t="str">
        <f t="shared" si="304"/>
        <v>H1793</v>
      </c>
      <c r="S1793" s="494" t="s">
        <v>1734</v>
      </c>
      <c r="T1793" s="494">
        <v>7</v>
      </c>
      <c r="U1793" s="556" t="str">
        <f t="shared" ca="1" si="307"/>
        <v/>
      </c>
      <c r="V1793" s="494">
        <v>8</v>
      </c>
      <c r="W1793" s="556" t="str">
        <f t="shared" ca="1" si="308"/>
        <v/>
      </c>
      <c r="X1793" s="557"/>
      <c r="Y1793" s="958"/>
      <c r="Z1793" s="958"/>
      <c r="AA1793" s="958"/>
      <c r="AB1793" s="958" t="s">
        <v>1735</v>
      </c>
      <c r="AC1793" s="547" t="str">
        <f t="shared" ca="1" si="306"/>
        <v/>
      </c>
      <c r="AD1793" s="494" t="s">
        <v>1736</v>
      </c>
      <c r="AE1793" s="547" t="str">
        <f t="shared" ca="1" si="303"/>
        <v/>
      </c>
    </row>
    <row r="1794" spans="1:31" ht="15" customHeight="1">
      <c r="A1794" s="957">
        <v>36</v>
      </c>
      <c r="B1794" s="566" t="s">
        <v>796</v>
      </c>
      <c r="C1794" s="567" t="s">
        <v>1730</v>
      </c>
      <c r="D1794" s="958" t="s">
        <v>1596</v>
      </c>
      <c r="E1794" s="959" t="s">
        <v>396</v>
      </c>
      <c r="F1794" s="558" t="s">
        <v>1498</v>
      </c>
      <c r="G1794" s="558">
        <v>373</v>
      </c>
      <c r="H1794" s="558">
        <v>25.3</v>
      </c>
      <c r="I1794" s="559" t="s">
        <v>922</v>
      </c>
      <c r="J1794" s="567" t="s">
        <v>1731</v>
      </c>
      <c r="K1794" s="961" t="s">
        <v>1373</v>
      </c>
      <c r="L1794" s="555" t="str">
        <f t="shared" ref="L1794:L1857" ca="1" si="309">IF(AND(INDIRECT(CONCATENATE($J1794,$K1794,5))=$B1794,ISNUMBER(SEARCH("Please",INDIRECT(CONCATENATE($J1794,$K1794,2)),1))=FALSE),SUMPRODUCT(MID(0&amp;INDIRECT(CONCATENATE($J1794,$K1794,2)), LARGE(INDEX(ISNUMBER(--MID(INDIRECT(CONCATENATE($J1794,$K1794,2)), ROW(INDIRECT("1:"&amp;LEN(INDIRECT(CONCATENATE($J1794,$K1794,2))))),1))*ROW(INDIRECT("1:"&amp;LEN(INDIRECT(CONCATENATE($J1794,$K1794,2))))),0), ROW(INDIRECT("1:"&amp;LEN(INDIRECT(CONCATENATE($J1794,$K1794,2))))))+1,1)*10^ROW(INDIRECT("1:"&amp;LEN(INDIRECT(CONCATENATE($J1794,$K1794,2)))))/10),"")</f>
        <v/>
      </c>
      <c r="M1794" s="494" t="s">
        <v>1609</v>
      </c>
      <c r="N1794" s="555" t="str">
        <f t="shared" ca="1" si="301"/>
        <v/>
      </c>
      <c r="O1794" s="494" t="s">
        <v>1732</v>
      </c>
      <c r="P1794" s="555" t="str">
        <f t="shared" ca="1" si="302"/>
        <v/>
      </c>
      <c r="Q1794" s="494" t="s">
        <v>1733</v>
      </c>
      <c r="R1794" s="494" t="str">
        <f t="shared" si="304"/>
        <v>H1794</v>
      </c>
      <c r="S1794" s="494" t="s">
        <v>1734</v>
      </c>
      <c r="T1794" s="494">
        <v>7</v>
      </c>
      <c r="U1794" s="556" t="str">
        <f t="shared" ca="1" si="307"/>
        <v/>
      </c>
      <c r="V1794" s="494">
        <v>8</v>
      </c>
      <c r="W1794" s="556" t="str">
        <f t="shared" ca="1" si="308"/>
        <v/>
      </c>
      <c r="X1794" s="557"/>
      <c r="Y1794" s="958"/>
      <c r="Z1794" s="958"/>
      <c r="AA1794" s="958"/>
      <c r="AB1794" s="958" t="s">
        <v>1735</v>
      </c>
      <c r="AC1794" s="547" t="str">
        <f t="shared" ca="1" si="306"/>
        <v/>
      </c>
      <c r="AD1794" s="494" t="s">
        <v>1736</v>
      </c>
      <c r="AE1794" s="547" t="str">
        <f t="shared" ca="1" si="303"/>
        <v/>
      </c>
    </row>
    <row r="1795" spans="1:31" ht="15" customHeight="1">
      <c r="A1795" s="957">
        <v>36</v>
      </c>
      <c r="B1795" s="566" t="s">
        <v>796</v>
      </c>
      <c r="C1795" s="567" t="s">
        <v>1730</v>
      </c>
      <c r="D1795" s="958" t="s">
        <v>1596</v>
      </c>
      <c r="E1795" s="959" t="s">
        <v>404</v>
      </c>
      <c r="F1795" s="558" t="s">
        <v>1499</v>
      </c>
      <c r="G1795" s="558">
        <v>275</v>
      </c>
      <c r="H1795" s="558">
        <v>26.1</v>
      </c>
      <c r="I1795" s="559" t="s">
        <v>924</v>
      </c>
      <c r="J1795" s="567" t="s">
        <v>1731</v>
      </c>
      <c r="K1795" s="961" t="s">
        <v>1373</v>
      </c>
      <c r="L1795" s="555" t="str">
        <f t="shared" ca="1" si="309"/>
        <v/>
      </c>
      <c r="M1795" s="494" t="s">
        <v>1609</v>
      </c>
      <c r="N1795" s="555" t="str">
        <f t="shared" ca="1" si="301"/>
        <v/>
      </c>
      <c r="O1795" s="494" t="s">
        <v>1732</v>
      </c>
      <c r="P1795" s="555" t="str">
        <f t="shared" ca="1" si="302"/>
        <v/>
      </c>
      <c r="Q1795" s="494" t="s">
        <v>1733</v>
      </c>
      <c r="R1795" s="494" t="str">
        <f t="shared" si="304"/>
        <v>H1795</v>
      </c>
      <c r="S1795" s="494" t="s">
        <v>1734</v>
      </c>
      <c r="T1795" s="494">
        <v>7</v>
      </c>
      <c r="U1795" s="556" t="str">
        <f t="shared" ca="1" si="307"/>
        <v/>
      </c>
      <c r="V1795" s="494">
        <v>8</v>
      </c>
      <c r="W1795" s="556" t="str">
        <f t="shared" ca="1" si="308"/>
        <v/>
      </c>
      <c r="X1795" s="557"/>
      <c r="Y1795" s="958"/>
      <c r="Z1795" s="958"/>
      <c r="AA1795" s="958"/>
      <c r="AB1795" s="958" t="s">
        <v>1735</v>
      </c>
      <c r="AC1795" s="547" t="str">
        <f t="shared" ca="1" si="306"/>
        <v/>
      </c>
      <c r="AD1795" s="494" t="s">
        <v>1736</v>
      </c>
      <c r="AE1795" s="547" t="str">
        <f t="shared" ca="1" si="303"/>
        <v/>
      </c>
    </row>
    <row r="1796" spans="1:31" ht="15" customHeight="1">
      <c r="A1796" s="957">
        <v>36</v>
      </c>
      <c r="B1796" s="566" t="s">
        <v>796</v>
      </c>
      <c r="C1796" s="567" t="s">
        <v>1730</v>
      </c>
      <c r="D1796" s="958" t="s">
        <v>1596</v>
      </c>
      <c r="E1796" s="959" t="s">
        <v>404</v>
      </c>
      <c r="F1796" s="558" t="s">
        <v>1499</v>
      </c>
      <c r="G1796" s="558">
        <v>275</v>
      </c>
      <c r="H1796" s="558">
        <v>26.2</v>
      </c>
      <c r="I1796" s="559" t="s">
        <v>925</v>
      </c>
      <c r="J1796" s="567" t="s">
        <v>1731</v>
      </c>
      <c r="K1796" s="961" t="s">
        <v>1373</v>
      </c>
      <c r="L1796" s="555" t="str">
        <f t="shared" ca="1" si="309"/>
        <v/>
      </c>
      <c r="M1796" s="494" t="s">
        <v>1609</v>
      </c>
      <c r="N1796" s="555" t="str">
        <f t="shared" ca="1" si="301"/>
        <v/>
      </c>
      <c r="O1796" s="494" t="s">
        <v>1732</v>
      </c>
      <c r="P1796" s="555" t="str">
        <f t="shared" ca="1" si="302"/>
        <v/>
      </c>
      <c r="Q1796" s="494" t="s">
        <v>1733</v>
      </c>
      <c r="R1796" s="494" t="str">
        <f t="shared" si="304"/>
        <v>H1796</v>
      </c>
      <c r="S1796" s="494" t="s">
        <v>1734</v>
      </c>
      <c r="T1796" s="494">
        <v>7</v>
      </c>
      <c r="U1796" s="556" t="str">
        <f t="shared" ca="1" si="307"/>
        <v/>
      </c>
      <c r="V1796" s="494">
        <v>8</v>
      </c>
      <c r="W1796" s="556" t="str">
        <f t="shared" ca="1" si="308"/>
        <v/>
      </c>
      <c r="X1796" s="557"/>
      <c r="Y1796" s="958"/>
      <c r="Z1796" s="958"/>
      <c r="AA1796" s="958"/>
      <c r="AB1796" s="958" t="s">
        <v>1735</v>
      </c>
      <c r="AC1796" s="547" t="str">
        <f t="shared" ca="1" si="306"/>
        <v/>
      </c>
      <c r="AD1796" s="494" t="s">
        <v>1736</v>
      </c>
      <c r="AE1796" s="547" t="str">
        <f t="shared" ca="1" si="303"/>
        <v/>
      </c>
    </row>
    <row r="1797" spans="1:31" ht="15" customHeight="1">
      <c r="A1797" s="957">
        <v>36</v>
      </c>
      <c r="B1797" s="566" t="s">
        <v>796</v>
      </c>
      <c r="C1797" s="567" t="s">
        <v>1730</v>
      </c>
      <c r="D1797" s="958" t="s">
        <v>1596</v>
      </c>
      <c r="E1797" s="959" t="s">
        <v>404</v>
      </c>
      <c r="F1797" s="558" t="s">
        <v>1499</v>
      </c>
      <c r="G1797" s="558">
        <v>356</v>
      </c>
      <c r="H1797" s="558">
        <v>27.1</v>
      </c>
      <c r="I1797" s="559" t="s">
        <v>927</v>
      </c>
      <c r="J1797" s="567" t="s">
        <v>1731</v>
      </c>
      <c r="K1797" s="961" t="s">
        <v>1373</v>
      </c>
      <c r="L1797" s="555" t="str">
        <f t="shared" ca="1" si="309"/>
        <v/>
      </c>
      <c r="M1797" s="494" t="s">
        <v>1609</v>
      </c>
      <c r="N1797" s="555" t="str">
        <f t="shared" ref="N1797:N1860" ca="1" si="310">IF(AND(INDIRECT(CONCATENATE($J1797,$K1797,5))=$B1797,ISNUMBER(SEARCH("Select",INDIRECT(CONCATENATE($J1797,$M1797,7)),1))=FALSE),INDIRECT(CONCATENATE($J1797,$M1797,7)),"")</f>
        <v/>
      </c>
      <c r="O1797" s="494" t="s">
        <v>1732</v>
      </c>
      <c r="P1797" s="555" t="str">
        <f t="shared" ref="P1797:P1860" ca="1" si="311">IF(AND(INDIRECT(CONCATENATE($J1797,$K1797,5))=$B1797,ISNUMBER(SEARCH("Select",INDIRECT(CONCATENATE($J1797,$O1797,7)),1))=FALSE),INDIRECT(CONCATENATE($J1797,$O1797,7)),"")</f>
        <v/>
      </c>
      <c r="Q1797" s="494" t="s">
        <v>1733</v>
      </c>
      <c r="R1797" s="494" t="str">
        <f t="shared" si="304"/>
        <v>H1797</v>
      </c>
      <c r="S1797" s="494" t="s">
        <v>1734</v>
      </c>
      <c r="T1797" s="494">
        <v>7</v>
      </c>
      <c r="U1797" s="556" t="str">
        <f t="shared" ca="1" si="307"/>
        <v/>
      </c>
      <c r="V1797" s="494">
        <v>8</v>
      </c>
      <c r="W1797" s="556" t="str">
        <f t="shared" ca="1" si="308"/>
        <v/>
      </c>
      <c r="X1797" s="557"/>
      <c r="Y1797" s="958"/>
      <c r="Z1797" s="958"/>
      <c r="AA1797" s="958"/>
      <c r="AB1797" s="958" t="s">
        <v>1735</v>
      </c>
      <c r="AC1797" s="547" t="str">
        <f t="shared" ca="1" si="306"/>
        <v/>
      </c>
      <c r="AD1797" s="494" t="s">
        <v>1736</v>
      </c>
      <c r="AE1797" s="547" t="str">
        <f t="shared" ref="AE1797:AE1860" ca="1" si="312">IF(AND(INDIRECT(CONCATENATE($J1797,$K1797,"5"))=$B1797,ISBLANK(INDIRECT(CONCATENATE($J1797,AD1797)))=FALSE),INDIRECT(CONCATENATE($J1797,AD1797)),"")</f>
        <v/>
      </c>
    </row>
    <row r="1798" spans="1:31" ht="15" customHeight="1">
      <c r="A1798" s="957">
        <v>36</v>
      </c>
      <c r="B1798" s="566" t="s">
        <v>796</v>
      </c>
      <c r="C1798" s="567" t="s">
        <v>1730</v>
      </c>
      <c r="D1798" s="958" t="s">
        <v>1596</v>
      </c>
      <c r="E1798" s="959" t="s">
        <v>404</v>
      </c>
      <c r="F1798" s="558" t="s">
        <v>1499</v>
      </c>
      <c r="G1798" s="558">
        <v>356</v>
      </c>
      <c r="H1798" s="558">
        <v>27.2</v>
      </c>
      <c r="I1798" s="559" t="s">
        <v>928</v>
      </c>
      <c r="J1798" s="567" t="s">
        <v>1731</v>
      </c>
      <c r="K1798" s="961" t="s">
        <v>1373</v>
      </c>
      <c r="L1798" s="555" t="str">
        <f t="shared" ca="1" si="309"/>
        <v/>
      </c>
      <c r="M1798" s="494" t="s">
        <v>1609</v>
      </c>
      <c r="N1798" s="555" t="str">
        <f t="shared" ca="1" si="310"/>
        <v/>
      </c>
      <c r="O1798" s="494" t="s">
        <v>1732</v>
      </c>
      <c r="P1798" s="555" t="str">
        <f t="shared" ca="1" si="311"/>
        <v/>
      </c>
      <c r="Q1798" s="494" t="s">
        <v>1733</v>
      </c>
      <c r="R1798" s="494" t="str">
        <f t="shared" ref="R1798:R1866" si="313">CONCATENATE("H",ROW(J1798))</f>
        <v>H1798</v>
      </c>
      <c r="S1798" s="494" t="s">
        <v>1734</v>
      </c>
      <c r="T1798" s="494">
        <v>7</v>
      </c>
      <c r="U1798" s="556" t="str">
        <f t="shared" ca="1" si="307"/>
        <v/>
      </c>
      <c r="V1798" s="494">
        <v>8</v>
      </c>
      <c r="W1798" s="556" t="str">
        <f t="shared" ca="1" si="308"/>
        <v/>
      </c>
      <c r="X1798" s="557"/>
      <c r="Y1798" s="958"/>
      <c r="Z1798" s="958"/>
      <c r="AA1798" s="958"/>
      <c r="AB1798" s="958" t="s">
        <v>1735</v>
      </c>
      <c r="AC1798" s="547" t="str">
        <f t="shared" ca="1" si="306"/>
        <v/>
      </c>
      <c r="AD1798" s="494" t="s">
        <v>1736</v>
      </c>
      <c r="AE1798" s="547" t="str">
        <f t="shared" ca="1" si="312"/>
        <v/>
      </c>
    </row>
    <row r="1799" spans="1:31" ht="15" customHeight="1">
      <c r="A1799" s="957">
        <v>36</v>
      </c>
      <c r="B1799" s="566" t="s">
        <v>796</v>
      </c>
      <c r="C1799" s="567" t="s">
        <v>1730</v>
      </c>
      <c r="D1799" s="958" t="s">
        <v>1596</v>
      </c>
      <c r="E1799" s="959" t="s">
        <v>404</v>
      </c>
      <c r="F1799" s="558" t="s">
        <v>1499</v>
      </c>
      <c r="G1799" s="558">
        <v>374</v>
      </c>
      <c r="H1799" s="558">
        <v>28.1</v>
      </c>
      <c r="I1799" s="559" t="s">
        <v>416</v>
      </c>
      <c r="J1799" s="567" t="s">
        <v>1731</v>
      </c>
      <c r="K1799" s="961" t="s">
        <v>1373</v>
      </c>
      <c r="L1799" s="555" t="str">
        <f t="shared" ca="1" si="309"/>
        <v/>
      </c>
      <c r="M1799" s="494" t="s">
        <v>1609</v>
      </c>
      <c r="N1799" s="555" t="str">
        <f t="shared" ca="1" si="310"/>
        <v/>
      </c>
      <c r="O1799" s="494" t="s">
        <v>1732</v>
      </c>
      <c r="P1799" s="555" t="str">
        <f t="shared" ca="1" si="311"/>
        <v/>
      </c>
      <c r="Q1799" s="494" t="s">
        <v>1733</v>
      </c>
      <c r="R1799" s="494" t="str">
        <f t="shared" si="313"/>
        <v>H1799</v>
      </c>
      <c r="S1799" s="494" t="s">
        <v>1734</v>
      </c>
      <c r="T1799" s="494">
        <v>7</v>
      </c>
      <c r="U1799" s="556" t="str">
        <f t="shared" ca="1" si="307"/>
        <v/>
      </c>
      <c r="V1799" s="494">
        <v>8</v>
      </c>
      <c r="W1799" s="556" t="str">
        <f t="shared" ca="1" si="308"/>
        <v/>
      </c>
      <c r="X1799" s="557"/>
      <c r="Y1799" s="958"/>
      <c r="Z1799" s="958"/>
      <c r="AA1799" s="958"/>
      <c r="AB1799" s="958" t="s">
        <v>1735</v>
      </c>
      <c r="AC1799" s="547" t="str">
        <f t="shared" ca="1" si="306"/>
        <v/>
      </c>
      <c r="AD1799" s="494" t="s">
        <v>1736</v>
      </c>
      <c r="AE1799" s="547" t="str">
        <f t="shared" ca="1" si="312"/>
        <v/>
      </c>
    </row>
    <row r="1800" spans="1:31" ht="15" customHeight="1">
      <c r="A1800" s="957">
        <v>36</v>
      </c>
      <c r="B1800" s="566" t="s">
        <v>796</v>
      </c>
      <c r="C1800" s="567" t="s">
        <v>1730</v>
      </c>
      <c r="D1800" s="958" t="s">
        <v>1596</v>
      </c>
      <c r="E1800" s="959" t="s">
        <v>404</v>
      </c>
      <c r="F1800" s="558" t="s">
        <v>1499</v>
      </c>
      <c r="G1800" s="558"/>
      <c r="H1800" s="558">
        <v>29.1</v>
      </c>
      <c r="I1800" s="559" t="s">
        <v>413</v>
      </c>
      <c r="J1800" s="567" t="s">
        <v>1731</v>
      </c>
      <c r="K1800" s="961" t="s">
        <v>1373</v>
      </c>
      <c r="L1800" s="555" t="str">
        <f t="shared" ca="1" si="309"/>
        <v/>
      </c>
      <c r="M1800" s="494" t="s">
        <v>1609</v>
      </c>
      <c r="N1800" s="555" t="str">
        <f t="shared" ca="1" si="310"/>
        <v/>
      </c>
      <c r="O1800" s="494" t="s">
        <v>1732</v>
      </c>
      <c r="P1800" s="555" t="str">
        <f t="shared" ca="1" si="311"/>
        <v/>
      </c>
      <c r="Q1800" s="494" t="s">
        <v>1733</v>
      </c>
      <c r="R1800" s="494" t="str">
        <f t="shared" si="313"/>
        <v>H1800</v>
      </c>
      <c r="S1800" s="494" t="s">
        <v>1734</v>
      </c>
      <c r="T1800" s="494">
        <v>7</v>
      </c>
      <c r="U1800" s="556" t="str">
        <f t="shared" ca="1" si="307"/>
        <v/>
      </c>
      <c r="V1800" s="494">
        <v>8</v>
      </c>
      <c r="W1800" s="556" t="str">
        <f t="shared" ca="1" si="308"/>
        <v/>
      </c>
      <c r="X1800" s="557"/>
      <c r="Y1800" s="958"/>
      <c r="Z1800" s="958"/>
      <c r="AA1800" s="958"/>
      <c r="AB1800" s="958" t="s">
        <v>1735</v>
      </c>
      <c r="AC1800" s="547" t="str">
        <f t="shared" ca="1" si="306"/>
        <v/>
      </c>
      <c r="AD1800" s="494" t="s">
        <v>1736</v>
      </c>
      <c r="AE1800" s="547" t="str">
        <f t="shared" ca="1" si="312"/>
        <v/>
      </c>
    </row>
    <row r="1801" spans="1:31" ht="15" customHeight="1">
      <c r="A1801" s="957">
        <v>36</v>
      </c>
      <c r="B1801" s="566" t="s">
        <v>796</v>
      </c>
      <c r="C1801" s="567" t="s">
        <v>1730</v>
      </c>
      <c r="D1801" s="958" t="s">
        <v>1596</v>
      </c>
      <c r="E1801" s="959" t="s">
        <v>419</v>
      </c>
      <c r="F1801" s="558" t="s">
        <v>1501</v>
      </c>
      <c r="G1801" s="558">
        <v>324</v>
      </c>
      <c r="H1801" s="558" t="s">
        <v>522</v>
      </c>
      <c r="I1801" s="559" t="s">
        <v>420</v>
      </c>
      <c r="J1801" s="567" t="s">
        <v>1731</v>
      </c>
      <c r="K1801" s="961" t="s">
        <v>1373</v>
      </c>
      <c r="L1801" s="555" t="str">
        <f t="shared" ca="1" si="309"/>
        <v/>
      </c>
      <c r="M1801" s="494" t="s">
        <v>1609</v>
      </c>
      <c r="N1801" s="555" t="str">
        <f t="shared" ca="1" si="310"/>
        <v/>
      </c>
      <c r="O1801" s="494" t="s">
        <v>1732</v>
      </c>
      <c r="P1801" s="555" t="str">
        <f t="shared" ca="1" si="311"/>
        <v/>
      </c>
      <c r="Q1801" s="494" t="s">
        <v>1733</v>
      </c>
      <c r="R1801" s="494" t="str">
        <f>CONCATENATE("H",ROW(J1801))</f>
        <v>H1801</v>
      </c>
      <c r="S1801" s="494" t="s">
        <v>1734</v>
      </c>
      <c r="T1801" s="494">
        <v>7</v>
      </c>
      <c r="U1801" s="556" t="str">
        <f t="shared" ca="1" si="307"/>
        <v/>
      </c>
      <c r="V1801" s="494">
        <v>8</v>
      </c>
      <c r="W1801" s="556" t="str">
        <f t="shared" ca="1" si="308"/>
        <v/>
      </c>
      <c r="X1801" s="557"/>
      <c r="Y1801" s="958"/>
      <c r="Z1801" s="958"/>
      <c r="AA1801" s="958"/>
      <c r="AB1801" s="958" t="s">
        <v>1735</v>
      </c>
      <c r="AC1801" s="547" t="str">
        <f t="shared" ca="1" si="306"/>
        <v/>
      </c>
      <c r="AD1801" s="494" t="s">
        <v>1736</v>
      </c>
      <c r="AE1801" s="547" t="str">
        <f t="shared" ca="1" si="312"/>
        <v/>
      </c>
    </row>
    <row r="1802" spans="1:31" ht="15" customHeight="1">
      <c r="A1802" s="957">
        <v>36</v>
      </c>
      <c r="B1802" s="566" t="s">
        <v>796</v>
      </c>
      <c r="C1802" s="567" t="s">
        <v>1730</v>
      </c>
      <c r="D1802" s="958" t="s">
        <v>1596</v>
      </c>
      <c r="E1802" s="959" t="s">
        <v>419</v>
      </c>
      <c r="F1802" s="558" t="s">
        <v>1501</v>
      </c>
      <c r="G1802" s="558">
        <v>324</v>
      </c>
      <c r="H1802" s="558" t="s">
        <v>524</v>
      </c>
      <c r="I1802" s="559" t="s">
        <v>422</v>
      </c>
      <c r="J1802" s="567" t="s">
        <v>1731</v>
      </c>
      <c r="K1802" s="961" t="s">
        <v>1373</v>
      </c>
      <c r="L1802" s="555" t="str">
        <f t="shared" ca="1" si="309"/>
        <v/>
      </c>
      <c r="M1802" s="494" t="s">
        <v>1609</v>
      </c>
      <c r="N1802" s="555" t="str">
        <f t="shared" ca="1" si="310"/>
        <v/>
      </c>
      <c r="O1802" s="494" t="s">
        <v>1732</v>
      </c>
      <c r="P1802" s="555" t="str">
        <f t="shared" ca="1" si="311"/>
        <v/>
      </c>
      <c r="Q1802" s="494" t="s">
        <v>1733</v>
      </c>
      <c r="R1802" s="494" t="str">
        <f>CONCATENATE("H",ROW(J1802))</f>
        <v>H1802</v>
      </c>
      <c r="S1802" s="494" t="s">
        <v>1734</v>
      </c>
      <c r="T1802" s="494">
        <v>7</v>
      </c>
      <c r="U1802" s="556" t="str">
        <f t="shared" ca="1" si="307"/>
        <v/>
      </c>
      <c r="V1802" s="494">
        <v>8</v>
      </c>
      <c r="W1802" s="556" t="str">
        <f t="shared" ca="1" si="308"/>
        <v/>
      </c>
      <c r="X1802" s="557"/>
      <c r="Y1802" s="958"/>
      <c r="Z1802" s="958"/>
      <c r="AA1802" s="958"/>
      <c r="AB1802" s="958" t="s">
        <v>1735</v>
      </c>
      <c r="AC1802" s="547" t="str">
        <f t="shared" ca="1" si="306"/>
        <v/>
      </c>
      <c r="AD1802" s="494" t="s">
        <v>1736</v>
      </c>
      <c r="AE1802" s="547" t="str">
        <f t="shared" ca="1" si="312"/>
        <v/>
      </c>
    </row>
    <row r="1803" spans="1:31" ht="15" customHeight="1">
      <c r="A1803" s="957">
        <v>36</v>
      </c>
      <c r="B1803" s="566" t="s">
        <v>796</v>
      </c>
      <c r="C1803" s="567" t="s">
        <v>1730</v>
      </c>
      <c r="D1803" s="958" t="s">
        <v>1596</v>
      </c>
      <c r="E1803" s="959" t="s">
        <v>419</v>
      </c>
      <c r="F1803" s="558" t="s">
        <v>1501</v>
      </c>
      <c r="G1803" s="558">
        <v>324</v>
      </c>
      <c r="H1803" s="558" t="s">
        <v>526</v>
      </c>
      <c r="I1803" s="559" t="s">
        <v>424</v>
      </c>
      <c r="J1803" s="567" t="s">
        <v>1731</v>
      </c>
      <c r="K1803" s="961" t="s">
        <v>1373</v>
      </c>
      <c r="L1803" s="555" t="str">
        <f t="shared" ca="1" si="309"/>
        <v/>
      </c>
      <c r="M1803" s="494" t="s">
        <v>1609</v>
      </c>
      <c r="N1803" s="555" t="str">
        <f t="shared" ca="1" si="310"/>
        <v/>
      </c>
      <c r="O1803" s="494" t="s">
        <v>1732</v>
      </c>
      <c r="P1803" s="555" t="str">
        <f t="shared" ca="1" si="311"/>
        <v/>
      </c>
      <c r="Q1803" s="494" t="s">
        <v>1733</v>
      </c>
      <c r="R1803" s="494" t="str">
        <f>CONCATENATE("H",ROW(J1803))</f>
        <v>H1803</v>
      </c>
      <c r="S1803" s="494" t="s">
        <v>1734</v>
      </c>
      <c r="T1803" s="494">
        <v>7</v>
      </c>
      <c r="U1803" s="556" t="str">
        <f t="shared" ca="1" si="307"/>
        <v/>
      </c>
      <c r="V1803" s="494">
        <v>8</v>
      </c>
      <c r="W1803" s="556" t="str">
        <f t="shared" ca="1" si="308"/>
        <v/>
      </c>
      <c r="X1803" s="557"/>
      <c r="Y1803" s="958"/>
      <c r="Z1803" s="958"/>
      <c r="AA1803" s="958"/>
      <c r="AB1803" s="958" t="s">
        <v>1735</v>
      </c>
      <c r="AC1803" s="547" t="str">
        <f t="shared" ca="1" si="306"/>
        <v/>
      </c>
      <c r="AD1803" s="494" t="s">
        <v>1736</v>
      </c>
      <c r="AE1803" s="547" t="str">
        <f t="shared" ca="1" si="312"/>
        <v/>
      </c>
    </row>
    <row r="1804" spans="1:31" ht="15" customHeight="1">
      <c r="A1804" s="957">
        <v>36</v>
      </c>
      <c r="B1804" s="566" t="s">
        <v>796</v>
      </c>
      <c r="C1804" s="567" t="s">
        <v>1730</v>
      </c>
      <c r="D1804" s="958" t="s">
        <v>1596</v>
      </c>
      <c r="E1804" s="959" t="s">
        <v>419</v>
      </c>
      <c r="F1804" s="558" t="s">
        <v>1501</v>
      </c>
      <c r="G1804" s="558">
        <v>324</v>
      </c>
      <c r="H1804" s="558" t="s">
        <v>528</v>
      </c>
      <c r="I1804" s="559" t="s">
        <v>932</v>
      </c>
      <c r="J1804" s="567" t="s">
        <v>1731</v>
      </c>
      <c r="K1804" s="961" t="s">
        <v>1373</v>
      </c>
      <c r="L1804" s="555" t="str">
        <f t="shared" ca="1" si="309"/>
        <v/>
      </c>
      <c r="M1804" s="494" t="s">
        <v>1609</v>
      </c>
      <c r="N1804" s="555" t="str">
        <f t="shared" ca="1" si="310"/>
        <v/>
      </c>
      <c r="O1804" s="494" t="s">
        <v>1732</v>
      </c>
      <c r="P1804" s="555" t="str">
        <f t="shared" ca="1" si="311"/>
        <v/>
      </c>
      <c r="Q1804" s="494" t="s">
        <v>1733</v>
      </c>
      <c r="R1804" s="494" t="str">
        <f>CONCATENATE("H",ROW(J1804))</f>
        <v>H1804</v>
      </c>
      <c r="S1804" s="494" t="s">
        <v>1734</v>
      </c>
      <c r="T1804" s="494">
        <v>7</v>
      </c>
      <c r="U1804" s="556" t="str">
        <f t="shared" ca="1" si="307"/>
        <v/>
      </c>
      <c r="V1804" s="494">
        <v>8</v>
      </c>
      <c r="W1804" s="556" t="str">
        <f t="shared" ca="1" si="308"/>
        <v/>
      </c>
      <c r="X1804" s="557"/>
      <c r="Y1804" s="958"/>
      <c r="Z1804" s="958"/>
      <c r="AA1804" s="958"/>
      <c r="AB1804" s="958" t="s">
        <v>1735</v>
      </c>
      <c r="AC1804" s="547" t="str">
        <f t="shared" ca="1" si="306"/>
        <v/>
      </c>
      <c r="AD1804" s="494" t="s">
        <v>1736</v>
      </c>
      <c r="AE1804" s="547" t="str">
        <f t="shared" ca="1" si="312"/>
        <v/>
      </c>
    </row>
    <row r="1805" spans="1:31" ht="15" customHeight="1">
      <c r="A1805" s="957">
        <v>36</v>
      </c>
      <c r="B1805" s="566" t="s">
        <v>796</v>
      </c>
      <c r="C1805" s="567" t="s">
        <v>1730</v>
      </c>
      <c r="D1805" s="958" t="s">
        <v>1596</v>
      </c>
      <c r="E1805" s="959" t="s">
        <v>419</v>
      </c>
      <c r="F1805" s="558" t="s">
        <v>1501</v>
      </c>
      <c r="G1805" s="558">
        <v>324</v>
      </c>
      <c r="H1805" s="558" t="s">
        <v>530</v>
      </c>
      <c r="I1805" s="559" t="s">
        <v>428</v>
      </c>
      <c r="J1805" s="567" t="s">
        <v>1731</v>
      </c>
      <c r="K1805" s="961" t="s">
        <v>1373</v>
      </c>
      <c r="L1805" s="555" t="str">
        <f t="shared" ca="1" si="309"/>
        <v/>
      </c>
      <c r="M1805" s="494" t="s">
        <v>1609</v>
      </c>
      <c r="N1805" s="555" t="str">
        <f t="shared" ca="1" si="310"/>
        <v/>
      </c>
      <c r="O1805" s="494" t="s">
        <v>1732</v>
      </c>
      <c r="P1805" s="555" t="str">
        <f t="shared" ca="1" si="311"/>
        <v/>
      </c>
      <c r="Q1805" s="494" t="s">
        <v>1733</v>
      </c>
      <c r="R1805" s="494" t="str">
        <f>CONCATENATE("H",ROW(J1805))</f>
        <v>H1805</v>
      </c>
      <c r="S1805" s="494" t="s">
        <v>1734</v>
      </c>
      <c r="T1805" s="494">
        <v>7</v>
      </c>
      <c r="U1805" s="556" t="str">
        <f t="shared" ca="1" si="307"/>
        <v/>
      </c>
      <c r="V1805" s="494">
        <v>8</v>
      </c>
      <c r="W1805" s="556" t="str">
        <f t="shared" ca="1" si="308"/>
        <v/>
      </c>
      <c r="X1805" s="557"/>
      <c r="Y1805" s="958"/>
      <c r="Z1805" s="958"/>
      <c r="AA1805" s="958"/>
      <c r="AB1805" s="958" t="s">
        <v>1735</v>
      </c>
      <c r="AC1805" s="547" t="str">
        <f t="shared" ca="1" si="306"/>
        <v/>
      </c>
      <c r="AD1805" s="494" t="s">
        <v>1736</v>
      </c>
      <c r="AE1805" s="547" t="str">
        <f t="shared" ca="1" si="312"/>
        <v/>
      </c>
    </row>
    <row r="1806" spans="1:31" ht="15" customHeight="1">
      <c r="A1806" s="957">
        <v>58</v>
      </c>
      <c r="B1806" s="566" t="s">
        <v>799</v>
      </c>
      <c r="C1806" s="567" t="s">
        <v>1730</v>
      </c>
      <c r="D1806" s="958">
        <v>1</v>
      </c>
      <c r="E1806" s="959" t="s">
        <v>254</v>
      </c>
      <c r="F1806" s="558" t="s">
        <v>1444</v>
      </c>
      <c r="G1806" s="558">
        <v>642</v>
      </c>
      <c r="H1806" s="558">
        <v>1.1000000000000001</v>
      </c>
      <c r="I1806" s="559" t="s">
        <v>812</v>
      </c>
      <c r="J1806" s="567" t="s">
        <v>1731</v>
      </c>
      <c r="K1806" s="961" t="s">
        <v>1373</v>
      </c>
      <c r="L1806" s="555" t="str">
        <f t="shared" ca="1" si="309"/>
        <v/>
      </c>
      <c r="M1806" s="494" t="s">
        <v>1609</v>
      </c>
      <c r="N1806" s="555" t="str">
        <f t="shared" ca="1" si="310"/>
        <v/>
      </c>
      <c r="O1806" s="494" t="s">
        <v>1732</v>
      </c>
      <c r="P1806" s="555" t="str">
        <f t="shared" ca="1" si="311"/>
        <v/>
      </c>
      <c r="Q1806" s="494" t="s">
        <v>1733</v>
      </c>
      <c r="R1806" s="494" t="str">
        <f t="shared" si="313"/>
        <v>H1806</v>
      </c>
      <c r="S1806" s="494" t="s">
        <v>1734</v>
      </c>
      <c r="T1806" s="494">
        <v>7</v>
      </c>
      <c r="U1806" s="556" t="str">
        <f t="shared" ca="1" si="307"/>
        <v/>
      </c>
      <c r="V1806" s="494">
        <v>8</v>
      </c>
      <c r="W1806" s="556" t="str">
        <f t="shared" ca="1" si="308"/>
        <v/>
      </c>
      <c r="X1806" s="557"/>
      <c r="Y1806" s="958"/>
      <c r="Z1806" s="958"/>
      <c r="AA1806" s="958"/>
      <c r="AB1806" s="958" t="s">
        <v>1735</v>
      </c>
      <c r="AC1806" s="547" t="str">
        <f t="shared" ca="1" si="306"/>
        <v/>
      </c>
      <c r="AD1806" s="494" t="s">
        <v>1736</v>
      </c>
      <c r="AE1806" s="547" t="str">
        <f t="shared" ca="1" si="312"/>
        <v/>
      </c>
    </row>
    <row r="1807" spans="1:31" ht="15" customHeight="1">
      <c r="A1807" s="957">
        <v>58</v>
      </c>
      <c r="B1807" s="566" t="s">
        <v>799</v>
      </c>
      <c r="C1807" s="567" t="s">
        <v>1730</v>
      </c>
      <c r="D1807" s="958">
        <v>1</v>
      </c>
      <c r="E1807" s="959" t="s">
        <v>254</v>
      </c>
      <c r="F1807" s="558" t="s">
        <v>1444</v>
      </c>
      <c r="G1807" s="558">
        <v>643</v>
      </c>
      <c r="H1807" s="558">
        <v>2.1</v>
      </c>
      <c r="I1807" s="559" t="s">
        <v>814</v>
      </c>
      <c r="J1807" s="567" t="s">
        <v>1731</v>
      </c>
      <c r="K1807" s="961" t="s">
        <v>1373</v>
      </c>
      <c r="L1807" s="555" t="str">
        <f t="shared" ca="1" si="309"/>
        <v/>
      </c>
      <c r="M1807" s="494" t="s">
        <v>1609</v>
      </c>
      <c r="N1807" s="555" t="str">
        <f t="shared" ca="1" si="310"/>
        <v/>
      </c>
      <c r="O1807" s="494" t="s">
        <v>1732</v>
      </c>
      <c r="P1807" s="555" t="str">
        <f t="shared" ca="1" si="311"/>
        <v/>
      </c>
      <c r="Q1807" s="494" t="s">
        <v>1733</v>
      </c>
      <c r="R1807" s="494" t="str">
        <f t="shared" si="313"/>
        <v>H1807</v>
      </c>
      <c r="S1807" s="494" t="s">
        <v>1734</v>
      </c>
      <c r="T1807" s="494">
        <v>7</v>
      </c>
      <c r="U1807" s="556" t="str">
        <f t="shared" ca="1" si="307"/>
        <v/>
      </c>
      <c r="V1807" s="494">
        <v>8</v>
      </c>
      <c r="W1807" s="556" t="str">
        <f t="shared" ca="1" si="308"/>
        <v/>
      </c>
      <c r="X1807" s="557"/>
      <c r="Y1807" s="958"/>
      <c r="Z1807" s="958"/>
      <c r="AA1807" s="958"/>
      <c r="AB1807" s="958" t="s">
        <v>1735</v>
      </c>
      <c r="AC1807" s="547" t="str">
        <f t="shared" ca="1" si="306"/>
        <v/>
      </c>
      <c r="AD1807" s="494" t="s">
        <v>1736</v>
      </c>
      <c r="AE1807" s="547" t="str">
        <f t="shared" ca="1" si="312"/>
        <v/>
      </c>
    </row>
    <row r="1808" spans="1:31" ht="15" customHeight="1">
      <c r="A1808" s="957">
        <v>58</v>
      </c>
      <c r="B1808" s="566" t="s">
        <v>799</v>
      </c>
      <c r="C1808" s="567" t="s">
        <v>1730</v>
      </c>
      <c r="D1808" s="958">
        <v>1</v>
      </c>
      <c r="E1808" s="959" t="s">
        <v>254</v>
      </c>
      <c r="F1808" s="558" t="s">
        <v>1444</v>
      </c>
      <c r="G1808" s="558">
        <v>644</v>
      </c>
      <c r="H1808" s="558">
        <v>2.2000000000000002</v>
      </c>
      <c r="I1808" s="559" t="s">
        <v>815</v>
      </c>
      <c r="J1808" s="567" t="s">
        <v>1731</v>
      </c>
      <c r="K1808" s="961" t="s">
        <v>1373</v>
      </c>
      <c r="L1808" s="555" t="str">
        <f t="shared" ca="1" si="309"/>
        <v/>
      </c>
      <c r="M1808" s="494" t="s">
        <v>1609</v>
      </c>
      <c r="N1808" s="555" t="str">
        <f t="shared" ca="1" si="310"/>
        <v/>
      </c>
      <c r="O1808" s="494" t="s">
        <v>1732</v>
      </c>
      <c r="P1808" s="555" t="str">
        <f t="shared" ca="1" si="311"/>
        <v/>
      </c>
      <c r="Q1808" s="494" t="s">
        <v>1733</v>
      </c>
      <c r="R1808" s="494" t="str">
        <f t="shared" si="313"/>
        <v>H1808</v>
      </c>
      <c r="S1808" s="494" t="s">
        <v>1734</v>
      </c>
      <c r="T1808" s="494">
        <v>7</v>
      </c>
      <c r="U1808" s="556" t="str">
        <f t="shared" ca="1" si="307"/>
        <v/>
      </c>
      <c r="V1808" s="494">
        <v>8</v>
      </c>
      <c r="W1808" s="556" t="str">
        <f t="shared" ca="1" si="308"/>
        <v/>
      </c>
      <c r="X1808" s="557"/>
      <c r="Y1808" s="958"/>
      <c r="Z1808" s="958"/>
      <c r="AA1808" s="958"/>
      <c r="AB1808" s="958" t="s">
        <v>1735</v>
      </c>
      <c r="AC1808" s="547" t="str">
        <f t="shared" ca="1" si="306"/>
        <v/>
      </c>
      <c r="AD1808" s="494" t="s">
        <v>1736</v>
      </c>
      <c r="AE1808" s="547" t="str">
        <f t="shared" ca="1" si="312"/>
        <v/>
      </c>
    </row>
    <row r="1809" spans="1:31" ht="15" customHeight="1">
      <c r="A1809" s="957">
        <v>58</v>
      </c>
      <c r="B1809" s="566" t="s">
        <v>799</v>
      </c>
      <c r="C1809" s="567" t="s">
        <v>1730</v>
      </c>
      <c r="D1809" s="958">
        <v>1</v>
      </c>
      <c r="E1809" s="959" t="s">
        <v>254</v>
      </c>
      <c r="F1809" s="558" t="s">
        <v>1444</v>
      </c>
      <c r="G1809" s="558">
        <v>645</v>
      </c>
      <c r="H1809" s="558">
        <v>3.1</v>
      </c>
      <c r="I1809" s="559" t="s">
        <v>294</v>
      </c>
      <c r="J1809" s="567" t="s">
        <v>1731</v>
      </c>
      <c r="K1809" s="961" t="s">
        <v>1373</v>
      </c>
      <c r="L1809" s="555" t="str">
        <f t="shared" ca="1" si="309"/>
        <v/>
      </c>
      <c r="M1809" s="494" t="s">
        <v>1609</v>
      </c>
      <c r="N1809" s="555" t="str">
        <f t="shared" ca="1" si="310"/>
        <v/>
      </c>
      <c r="O1809" s="494" t="s">
        <v>1732</v>
      </c>
      <c r="P1809" s="555" t="str">
        <f t="shared" ca="1" si="311"/>
        <v/>
      </c>
      <c r="Q1809" s="494" t="s">
        <v>1733</v>
      </c>
      <c r="R1809" s="494" t="str">
        <f t="shared" si="313"/>
        <v>H1809</v>
      </c>
      <c r="S1809" s="494" t="s">
        <v>1734</v>
      </c>
      <c r="T1809" s="494">
        <v>7</v>
      </c>
      <c r="U1809" s="556" t="str">
        <f t="shared" ca="1" si="307"/>
        <v/>
      </c>
      <c r="V1809" s="494">
        <v>8</v>
      </c>
      <c r="W1809" s="556" t="str">
        <f t="shared" ca="1" si="308"/>
        <v/>
      </c>
      <c r="X1809" s="557"/>
      <c r="Y1809" s="958"/>
      <c r="Z1809" s="958"/>
      <c r="AA1809" s="958"/>
      <c r="AB1809" s="958" t="s">
        <v>1735</v>
      </c>
      <c r="AC1809" s="547" t="str">
        <f t="shared" ca="1" si="306"/>
        <v/>
      </c>
      <c r="AD1809" s="494" t="s">
        <v>1736</v>
      </c>
      <c r="AE1809" s="547" t="str">
        <f t="shared" ca="1" si="312"/>
        <v/>
      </c>
    </row>
    <row r="1810" spans="1:31" ht="15" customHeight="1">
      <c r="A1810" s="957">
        <v>58</v>
      </c>
      <c r="B1810" s="566" t="s">
        <v>799</v>
      </c>
      <c r="C1810" s="567" t="s">
        <v>1730</v>
      </c>
      <c r="D1810" s="958">
        <v>1</v>
      </c>
      <c r="E1810" s="959" t="s">
        <v>254</v>
      </c>
      <c r="F1810" s="558" t="s">
        <v>1444</v>
      </c>
      <c r="G1810" s="558">
        <v>646</v>
      </c>
      <c r="H1810" s="558">
        <v>3.2</v>
      </c>
      <c r="I1810" s="559" t="s">
        <v>295</v>
      </c>
      <c r="J1810" s="567" t="s">
        <v>1731</v>
      </c>
      <c r="K1810" s="961" t="s">
        <v>1373</v>
      </c>
      <c r="L1810" s="555" t="str">
        <f t="shared" ca="1" si="309"/>
        <v/>
      </c>
      <c r="M1810" s="494" t="s">
        <v>1609</v>
      </c>
      <c r="N1810" s="555" t="str">
        <f t="shared" ca="1" si="310"/>
        <v/>
      </c>
      <c r="O1810" s="494" t="s">
        <v>1732</v>
      </c>
      <c r="P1810" s="555" t="str">
        <f t="shared" ca="1" si="311"/>
        <v/>
      </c>
      <c r="Q1810" s="494" t="s">
        <v>1733</v>
      </c>
      <c r="R1810" s="494" t="str">
        <f t="shared" si="313"/>
        <v>H1810</v>
      </c>
      <c r="S1810" s="494" t="s">
        <v>1734</v>
      </c>
      <c r="T1810" s="494">
        <v>7</v>
      </c>
      <c r="U1810" s="556" t="str">
        <f t="shared" ca="1" si="307"/>
        <v/>
      </c>
      <c r="V1810" s="494">
        <v>8</v>
      </c>
      <c r="W1810" s="556" t="str">
        <f t="shared" ca="1" si="308"/>
        <v/>
      </c>
      <c r="X1810" s="557"/>
      <c r="Y1810" s="958"/>
      <c r="Z1810" s="958"/>
      <c r="AA1810" s="958"/>
      <c r="AB1810" s="958" t="s">
        <v>1735</v>
      </c>
      <c r="AC1810" s="547" t="str">
        <f t="shared" ca="1" si="306"/>
        <v/>
      </c>
      <c r="AD1810" s="494" t="s">
        <v>1736</v>
      </c>
      <c r="AE1810" s="547" t="str">
        <f t="shared" ca="1" si="312"/>
        <v/>
      </c>
    </row>
    <row r="1811" spans="1:31" ht="15" customHeight="1">
      <c r="A1811" s="957">
        <v>58</v>
      </c>
      <c r="B1811" s="566" t="s">
        <v>799</v>
      </c>
      <c r="C1811" s="567" t="s">
        <v>1730</v>
      </c>
      <c r="D1811" s="958">
        <v>1</v>
      </c>
      <c r="E1811" s="959" t="s">
        <v>254</v>
      </c>
      <c r="F1811" s="558" t="s">
        <v>1444</v>
      </c>
      <c r="G1811" s="558">
        <v>647</v>
      </c>
      <c r="H1811" s="558">
        <v>4.0999999999999996</v>
      </c>
      <c r="I1811" s="559" t="s">
        <v>820</v>
      </c>
      <c r="J1811" s="567" t="s">
        <v>1731</v>
      </c>
      <c r="K1811" s="961" t="s">
        <v>1373</v>
      </c>
      <c r="L1811" s="555" t="str">
        <f t="shared" ca="1" si="309"/>
        <v/>
      </c>
      <c r="M1811" s="494" t="s">
        <v>1609</v>
      </c>
      <c r="N1811" s="555" t="str">
        <f t="shared" ca="1" si="310"/>
        <v/>
      </c>
      <c r="O1811" s="494" t="s">
        <v>1732</v>
      </c>
      <c r="P1811" s="555" t="str">
        <f t="shared" ca="1" si="311"/>
        <v/>
      </c>
      <c r="Q1811" s="494" t="s">
        <v>1733</v>
      </c>
      <c r="R1811" s="494" t="str">
        <f t="shared" si="313"/>
        <v>H1811</v>
      </c>
      <c r="S1811" s="494" t="s">
        <v>1734</v>
      </c>
      <c r="T1811" s="494">
        <v>7</v>
      </c>
      <c r="U1811" s="556" t="str">
        <f t="shared" ca="1" si="307"/>
        <v/>
      </c>
      <c r="V1811" s="494">
        <v>8</v>
      </c>
      <c r="W1811" s="556" t="str">
        <f t="shared" ca="1" si="308"/>
        <v/>
      </c>
      <c r="X1811" s="557"/>
      <c r="Y1811" s="958"/>
      <c r="Z1811" s="958"/>
      <c r="AA1811" s="958"/>
      <c r="AB1811" s="958" t="s">
        <v>1735</v>
      </c>
      <c r="AC1811" s="547" t="str">
        <f t="shared" ca="1" si="306"/>
        <v/>
      </c>
      <c r="AD1811" s="494" t="s">
        <v>1736</v>
      </c>
      <c r="AE1811" s="547" t="str">
        <f t="shared" ca="1" si="312"/>
        <v/>
      </c>
    </row>
    <row r="1812" spans="1:31" ht="15" customHeight="1">
      <c r="A1812" s="957">
        <v>58</v>
      </c>
      <c r="B1812" s="566" t="s">
        <v>799</v>
      </c>
      <c r="C1812" s="567" t="s">
        <v>1730</v>
      </c>
      <c r="D1812" s="958">
        <v>1</v>
      </c>
      <c r="E1812" s="959" t="s">
        <v>254</v>
      </c>
      <c r="F1812" s="558" t="s">
        <v>1444</v>
      </c>
      <c r="G1812" s="558">
        <v>648</v>
      </c>
      <c r="H1812" s="558">
        <v>4.2</v>
      </c>
      <c r="I1812" s="559" t="s">
        <v>821</v>
      </c>
      <c r="J1812" s="567" t="s">
        <v>1731</v>
      </c>
      <c r="K1812" s="961" t="s">
        <v>1373</v>
      </c>
      <c r="L1812" s="555" t="str">
        <f t="shared" ca="1" si="309"/>
        <v/>
      </c>
      <c r="M1812" s="494" t="s">
        <v>1609</v>
      </c>
      <c r="N1812" s="555" t="str">
        <f t="shared" ca="1" si="310"/>
        <v/>
      </c>
      <c r="O1812" s="494" t="s">
        <v>1732</v>
      </c>
      <c r="P1812" s="555" t="str">
        <f t="shared" ca="1" si="311"/>
        <v/>
      </c>
      <c r="Q1812" s="494" t="s">
        <v>1733</v>
      </c>
      <c r="R1812" s="494" t="str">
        <f t="shared" si="313"/>
        <v>H1812</v>
      </c>
      <c r="S1812" s="494" t="s">
        <v>1734</v>
      </c>
      <c r="T1812" s="494">
        <v>7</v>
      </c>
      <c r="U1812" s="556" t="str">
        <f t="shared" ca="1" si="307"/>
        <v/>
      </c>
      <c r="V1812" s="494">
        <v>8</v>
      </c>
      <c r="W1812" s="556" t="str">
        <f t="shared" ca="1" si="308"/>
        <v/>
      </c>
      <c r="X1812" s="557"/>
      <c r="Y1812" s="958"/>
      <c r="Z1812" s="958"/>
      <c r="AA1812" s="958"/>
      <c r="AB1812" s="958" t="s">
        <v>1735</v>
      </c>
      <c r="AC1812" s="547" t="str">
        <f t="shared" ca="1" si="306"/>
        <v/>
      </c>
      <c r="AD1812" s="494" t="s">
        <v>1736</v>
      </c>
      <c r="AE1812" s="547" t="str">
        <f t="shared" ca="1" si="312"/>
        <v/>
      </c>
    </row>
    <row r="1813" spans="1:31" ht="15" customHeight="1">
      <c r="A1813" s="957">
        <v>58</v>
      </c>
      <c r="B1813" s="566" t="s">
        <v>799</v>
      </c>
      <c r="C1813" s="567" t="s">
        <v>1730</v>
      </c>
      <c r="D1813" s="958">
        <v>1</v>
      </c>
      <c r="E1813" s="959" t="s">
        <v>254</v>
      </c>
      <c r="F1813" s="558" t="s">
        <v>1444</v>
      </c>
      <c r="G1813" s="558">
        <v>649</v>
      </c>
      <c r="H1813" s="558">
        <v>5.0999999999999996</v>
      </c>
      <c r="I1813" s="559" t="s">
        <v>298</v>
      </c>
      <c r="J1813" s="567" t="s">
        <v>1731</v>
      </c>
      <c r="K1813" s="961" t="s">
        <v>1373</v>
      </c>
      <c r="L1813" s="555" t="str">
        <f t="shared" ca="1" si="309"/>
        <v/>
      </c>
      <c r="M1813" s="494" t="s">
        <v>1609</v>
      </c>
      <c r="N1813" s="555" t="str">
        <f t="shared" ca="1" si="310"/>
        <v/>
      </c>
      <c r="O1813" s="494" t="s">
        <v>1732</v>
      </c>
      <c r="P1813" s="555" t="str">
        <f t="shared" ca="1" si="311"/>
        <v/>
      </c>
      <c r="Q1813" s="494" t="s">
        <v>1733</v>
      </c>
      <c r="R1813" s="494" t="str">
        <f t="shared" si="313"/>
        <v>H1813</v>
      </c>
      <c r="S1813" s="494" t="s">
        <v>1734</v>
      </c>
      <c r="T1813" s="494">
        <v>7</v>
      </c>
      <c r="U1813" s="556" t="str">
        <f t="shared" ca="1" si="307"/>
        <v/>
      </c>
      <c r="V1813" s="494">
        <v>8</v>
      </c>
      <c r="W1813" s="556" t="str">
        <f t="shared" ca="1" si="308"/>
        <v/>
      </c>
      <c r="X1813" s="557"/>
      <c r="Y1813" s="958"/>
      <c r="Z1813" s="958"/>
      <c r="AA1813" s="958"/>
      <c r="AB1813" s="958" t="s">
        <v>1735</v>
      </c>
      <c r="AC1813" s="547" t="str">
        <f t="shared" ca="1" si="306"/>
        <v/>
      </c>
      <c r="AD1813" s="494" t="s">
        <v>1736</v>
      </c>
      <c r="AE1813" s="547" t="str">
        <f t="shared" ca="1" si="312"/>
        <v/>
      </c>
    </row>
    <row r="1814" spans="1:31" ht="15" customHeight="1">
      <c r="A1814" s="957">
        <v>58</v>
      </c>
      <c r="B1814" s="566" t="s">
        <v>799</v>
      </c>
      <c r="C1814" s="567" t="s">
        <v>1730</v>
      </c>
      <c r="D1814" s="958">
        <v>1</v>
      </c>
      <c r="E1814" s="959" t="s">
        <v>254</v>
      </c>
      <c r="F1814" s="558" t="s">
        <v>1444</v>
      </c>
      <c r="G1814" s="558">
        <v>650</v>
      </c>
      <c r="H1814" s="558">
        <v>5.2</v>
      </c>
      <c r="I1814" s="559" t="s">
        <v>824</v>
      </c>
      <c r="J1814" s="567" t="s">
        <v>1731</v>
      </c>
      <c r="K1814" s="961" t="s">
        <v>1373</v>
      </c>
      <c r="L1814" s="555" t="str">
        <f t="shared" ca="1" si="309"/>
        <v/>
      </c>
      <c r="M1814" s="494" t="s">
        <v>1609</v>
      </c>
      <c r="N1814" s="555" t="str">
        <f t="shared" ca="1" si="310"/>
        <v/>
      </c>
      <c r="O1814" s="494" t="s">
        <v>1732</v>
      </c>
      <c r="P1814" s="555" t="str">
        <f t="shared" ca="1" si="311"/>
        <v/>
      </c>
      <c r="Q1814" s="494" t="s">
        <v>1733</v>
      </c>
      <c r="R1814" s="494" t="str">
        <f t="shared" si="313"/>
        <v>H1814</v>
      </c>
      <c r="S1814" s="494" t="s">
        <v>1734</v>
      </c>
      <c r="T1814" s="494">
        <v>7</v>
      </c>
      <c r="U1814" s="556" t="str">
        <f t="shared" ca="1" si="307"/>
        <v/>
      </c>
      <c r="V1814" s="494">
        <v>8</v>
      </c>
      <c r="W1814" s="556" t="str">
        <f t="shared" ca="1" si="308"/>
        <v/>
      </c>
      <c r="X1814" s="557"/>
      <c r="Y1814" s="958"/>
      <c r="Z1814" s="958"/>
      <c r="AA1814" s="958"/>
      <c r="AB1814" s="958" t="s">
        <v>1735</v>
      </c>
      <c r="AC1814" s="547" t="str">
        <f t="shared" ca="1" si="306"/>
        <v/>
      </c>
      <c r="AD1814" s="494" t="s">
        <v>1736</v>
      </c>
      <c r="AE1814" s="547" t="str">
        <f t="shared" ca="1" si="312"/>
        <v/>
      </c>
    </row>
    <row r="1815" spans="1:31" ht="15" customHeight="1">
      <c r="A1815" s="957">
        <v>58</v>
      </c>
      <c r="B1815" s="566" t="s">
        <v>799</v>
      </c>
      <c r="C1815" s="567" t="s">
        <v>1730</v>
      </c>
      <c r="D1815" s="958">
        <v>1</v>
      </c>
      <c r="E1815" s="959" t="s">
        <v>254</v>
      </c>
      <c r="F1815" s="558" t="s">
        <v>1444</v>
      </c>
      <c r="G1815" s="558">
        <v>651</v>
      </c>
      <c r="H1815" s="558">
        <v>5.3</v>
      </c>
      <c r="I1815" s="559" t="s">
        <v>825</v>
      </c>
      <c r="J1815" s="567" t="s">
        <v>1731</v>
      </c>
      <c r="K1815" s="961" t="s">
        <v>1373</v>
      </c>
      <c r="L1815" s="555" t="str">
        <f t="shared" ca="1" si="309"/>
        <v/>
      </c>
      <c r="M1815" s="494" t="s">
        <v>1609</v>
      </c>
      <c r="N1815" s="555" t="str">
        <f t="shared" ca="1" si="310"/>
        <v/>
      </c>
      <c r="O1815" s="494" t="s">
        <v>1732</v>
      </c>
      <c r="P1815" s="555" t="str">
        <f t="shared" ca="1" si="311"/>
        <v/>
      </c>
      <c r="Q1815" s="494" t="s">
        <v>1733</v>
      </c>
      <c r="R1815" s="494" t="str">
        <f t="shared" si="313"/>
        <v>H1815</v>
      </c>
      <c r="S1815" s="494" t="s">
        <v>1734</v>
      </c>
      <c r="T1815" s="494">
        <v>7</v>
      </c>
      <c r="U1815" s="556" t="str">
        <f t="shared" ca="1" si="307"/>
        <v/>
      </c>
      <c r="V1815" s="494">
        <v>8</v>
      </c>
      <c r="W1815" s="556" t="str">
        <f t="shared" ca="1" si="308"/>
        <v/>
      </c>
      <c r="X1815" s="557"/>
      <c r="Y1815" s="958"/>
      <c r="Z1815" s="958"/>
      <c r="AA1815" s="958"/>
      <c r="AB1815" s="958" t="s">
        <v>1735</v>
      </c>
      <c r="AC1815" s="547" t="str">
        <f t="shared" ca="1" si="306"/>
        <v/>
      </c>
      <c r="AD1815" s="494" t="s">
        <v>1736</v>
      </c>
      <c r="AE1815" s="547" t="str">
        <f t="shared" ca="1" si="312"/>
        <v/>
      </c>
    </row>
    <row r="1816" spans="1:31" ht="15" customHeight="1">
      <c r="A1816" s="957">
        <v>58</v>
      </c>
      <c r="B1816" s="566" t="s">
        <v>799</v>
      </c>
      <c r="C1816" s="567" t="s">
        <v>1730</v>
      </c>
      <c r="D1816" s="958">
        <v>1</v>
      </c>
      <c r="E1816" s="959" t="s">
        <v>254</v>
      </c>
      <c r="F1816" s="558" t="s">
        <v>1444</v>
      </c>
      <c r="G1816" s="558">
        <v>652</v>
      </c>
      <c r="H1816" s="558">
        <v>6.1</v>
      </c>
      <c r="I1816" s="559" t="s">
        <v>828</v>
      </c>
      <c r="J1816" s="567" t="s">
        <v>1731</v>
      </c>
      <c r="K1816" s="961" t="s">
        <v>1373</v>
      </c>
      <c r="L1816" s="555" t="str">
        <f t="shared" ca="1" si="309"/>
        <v/>
      </c>
      <c r="M1816" s="494" t="s">
        <v>1609</v>
      </c>
      <c r="N1816" s="555" t="str">
        <f t="shared" ca="1" si="310"/>
        <v/>
      </c>
      <c r="O1816" s="494" t="s">
        <v>1732</v>
      </c>
      <c r="P1816" s="555" t="str">
        <f t="shared" ca="1" si="311"/>
        <v/>
      </c>
      <c r="Q1816" s="494" t="s">
        <v>1733</v>
      </c>
      <c r="R1816" s="494" t="str">
        <f t="shared" si="313"/>
        <v>H1816</v>
      </c>
      <c r="S1816" s="494" t="s">
        <v>1734</v>
      </c>
      <c r="T1816" s="494">
        <v>7</v>
      </c>
      <c r="U1816" s="556" t="str">
        <f t="shared" ca="1" si="307"/>
        <v/>
      </c>
      <c r="V1816" s="494">
        <v>8</v>
      </c>
      <c r="W1816" s="556" t="str">
        <f t="shared" ca="1" si="308"/>
        <v/>
      </c>
      <c r="X1816" s="557"/>
      <c r="Y1816" s="958"/>
      <c r="Z1816" s="958"/>
      <c r="AA1816" s="958"/>
      <c r="AB1816" s="958" t="s">
        <v>1735</v>
      </c>
      <c r="AC1816" s="547" t="str">
        <f t="shared" ca="1" si="306"/>
        <v/>
      </c>
      <c r="AD1816" s="494" t="s">
        <v>1736</v>
      </c>
      <c r="AE1816" s="547" t="str">
        <f t="shared" ca="1" si="312"/>
        <v/>
      </c>
    </row>
    <row r="1817" spans="1:31" ht="15" customHeight="1">
      <c r="A1817" s="957">
        <v>58</v>
      </c>
      <c r="B1817" s="566" t="s">
        <v>799</v>
      </c>
      <c r="C1817" s="567" t="s">
        <v>1730</v>
      </c>
      <c r="D1817" s="958">
        <v>1</v>
      </c>
      <c r="E1817" s="959" t="s">
        <v>254</v>
      </c>
      <c r="F1817" s="558" t="s">
        <v>1444</v>
      </c>
      <c r="G1817" s="558">
        <v>653</v>
      </c>
      <c r="H1817" s="558">
        <v>6.2</v>
      </c>
      <c r="I1817" s="559" t="s">
        <v>829</v>
      </c>
      <c r="J1817" s="567" t="s">
        <v>1731</v>
      </c>
      <c r="K1817" s="961" t="s">
        <v>1373</v>
      </c>
      <c r="L1817" s="555" t="str">
        <f t="shared" ca="1" si="309"/>
        <v/>
      </c>
      <c r="M1817" s="494" t="s">
        <v>1609</v>
      </c>
      <c r="N1817" s="555" t="str">
        <f t="shared" ca="1" si="310"/>
        <v/>
      </c>
      <c r="O1817" s="494" t="s">
        <v>1732</v>
      </c>
      <c r="P1817" s="555" t="str">
        <f t="shared" ca="1" si="311"/>
        <v/>
      </c>
      <c r="Q1817" s="494" t="s">
        <v>1733</v>
      </c>
      <c r="R1817" s="494" t="str">
        <f t="shared" si="313"/>
        <v>H1817</v>
      </c>
      <c r="S1817" s="494" t="s">
        <v>1734</v>
      </c>
      <c r="T1817" s="494">
        <v>7</v>
      </c>
      <c r="U1817" s="556" t="str">
        <f t="shared" ca="1" si="307"/>
        <v/>
      </c>
      <c r="V1817" s="494">
        <v>8</v>
      </c>
      <c r="W1817" s="556" t="str">
        <f t="shared" ca="1" si="308"/>
        <v/>
      </c>
      <c r="X1817" s="557"/>
      <c r="Y1817" s="958"/>
      <c r="Z1817" s="958"/>
      <c r="AA1817" s="958"/>
      <c r="AB1817" s="958" t="s">
        <v>1735</v>
      </c>
      <c r="AC1817" s="547" t="str">
        <f t="shared" ca="1" si="306"/>
        <v/>
      </c>
      <c r="AD1817" s="494" t="s">
        <v>1736</v>
      </c>
      <c r="AE1817" s="547" t="str">
        <f t="shared" ca="1" si="312"/>
        <v/>
      </c>
    </row>
    <row r="1818" spans="1:31" ht="15" customHeight="1">
      <c r="A1818" s="957">
        <v>58</v>
      </c>
      <c r="B1818" s="566" t="s">
        <v>799</v>
      </c>
      <c r="C1818" s="567" t="s">
        <v>1730</v>
      </c>
      <c r="D1818" s="958">
        <v>1</v>
      </c>
      <c r="E1818" s="959" t="s">
        <v>254</v>
      </c>
      <c r="F1818" s="558" t="s">
        <v>1444</v>
      </c>
      <c r="G1818" s="558">
        <v>654</v>
      </c>
      <c r="H1818" s="558">
        <v>6.3</v>
      </c>
      <c r="I1818" s="559" t="s">
        <v>830</v>
      </c>
      <c r="J1818" s="567" t="s">
        <v>1731</v>
      </c>
      <c r="K1818" s="961" t="s">
        <v>1373</v>
      </c>
      <c r="L1818" s="555" t="str">
        <f t="shared" ca="1" si="309"/>
        <v/>
      </c>
      <c r="M1818" s="494" t="s">
        <v>1609</v>
      </c>
      <c r="N1818" s="555" t="str">
        <f t="shared" ca="1" si="310"/>
        <v/>
      </c>
      <c r="O1818" s="494" t="s">
        <v>1732</v>
      </c>
      <c r="P1818" s="555" t="str">
        <f t="shared" ca="1" si="311"/>
        <v/>
      </c>
      <c r="Q1818" s="494" t="s">
        <v>1733</v>
      </c>
      <c r="R1818" s="494" t="str">
        <f t="shared" si="313"/>
        <v>H1818</v>
      </c>
      <c r="S1818" s="494" t="s">
        <v>1734</v>
      </c>
      <c r="T1818" s="494">
        <v>7</v>
      </c>
      <c r="U1818" s="556" t="str">
        <f t="shared" ca="1" si="307"/>
        <v/>
      </c>
      <c r="V1818" s="494">
        <v>8</v>
      </c>
      <c r="W1818" s="556" t="str">
        <f t="shared" ca="1" si="308"/>
        <v/>
      </c>
      <c r="X1818" s="557"/>
      <c r="Y1818" s="958"/>
      <c r="Z1818" s="958"/>
      <c r="AA1818" s="958"/>
      <c r="AB1818" s="958" t="s">
        <v>1735</v>
      </c>
      <c r="AC1818" s="547" t="str">
        <f t="shared" ca="1" si="306"/>
        <v/>
      </c>
      <c r="AD1818" s="494" t="s">
        <v>1736</v>
      </c>
      <c r="AE1818" s="547" t="str">
        <f t="shared" ca="1" si="312"/>
        <v/>
      </c>
    </row>
    <row r="1819" spans="1:31" ht="15" customHeight="1">
      <c r="A1819" s="957">
        <v>58</v>
      </c>
      <c r="B1819" s="566" t="s">
        <v>799</v>
      </c>
      <c r="C1819" s="567" t="s">
        <v>1730</v>
      </c>
      <c r="D1819" s="958">
        <v>1</v>
      </c>
      <c r="E1819" s="959" t="s">
        <v>254</v>
      </c>
      <c r="F1819" s="558" t="s">
        <v>1444</v>
      </c>
      <c r="G1819" s="558">
        <v>655</v>
      </c>
      <c r="H1819" s="558">
        <v>7.1</v>
      </c>
      <c r="I1819" s="559" t="s">
        <v>290</v>
      </c>
      <c r="J1819" s="567" t="s">
        <v>1731</v>
      </c>
      <c r="K1819" s="961" t="s">
        <v>1373</v>
      </c>
      <c r="L1819" s="555" t="str">
        <f t="shared" ca="1" si="309"/>
        <v/>
      </c>
      <c r="M1819" s="494" t="s">
        <v>1609</v>
      </c>
      <c r="N1819" s="555" t="str">
        <f t="shared" ca="1" si="310"/>
        <v/>
      </c>
      <c r="O1819" s="494" t="s">
        <v>1732</v>
      </c>
      <c r="P1819" s="555" t="str">
        <f t="shared" ca="1" si="311"/>
        <v/>
      </c>
      <c r="Q1819" s="494" t="s">
        <v>1733</v>
      </c>
      <c r="R1819" s="494" t="str">
        <f t="shared" si="313"/>
        <v>H1819</v>
      </c>
      <c r="S1819" s="494" t="s">
        <v>1734</v>
      </c>
      <c r="T1819" s="494">
        <v>7</v>
      </c>
      <c r="U1819" s="556" t="str">
        <f t="shared" ca="1" si="307"/>
        <v/>
      </c>
      <c r="V1819" s="494">
        <v>8</v>
      </c>
      <c r="W1819" s="556" t="str">
        <f t="shared" ca="1" si="308"/>
        <v/>
      </c>
      <c r="X1819" s="557"/>
      <c r="Y1819" s="958"/>
      <c r="Z1819" s="958"/>
      <c r="AA1819" s="958"/>
      <c r="AB1819" s="958" t="s">
        <v>1735</v>
      </c>
      <c r="AC1819" s="547" t="str">
        <f t="shared" ca="1" si="306"/>
        <v/>
      </c>
      <c r="AD1819" s="494" t="s">
        <v>1736</v>
      </c>
      <c r="AE1819" s="547" t="str">
        <f t="shared" ca="1" si="312"/>
        <v/>
      </c>
    </row>
    <row r="1820" spans="1:31" ht="15" customHeight="1">
      <c r="A1820" s="957">
        <v>58</v>
      </c>
      <c r="B1820" s="566" t="s">
        <v>799</v>
      </c>
      <c r="C1820" s="567" t="s">
        <v>1730</v>
      </c>
      <c r="D1820" s="958">
        <v>1</v>
      </c>
      <c r="E1820" s="959" t="s">
        <v>254</v>
      </c>
      <c r="F1820" s="558" t="s">
        <v>1444</v>
      </c>
      <c r="G1820" s="558">
        <v>656</v>
      </c>
      <c r="H1820" s="558">
        <v>7.2</v>
      </c>
      <c r="I1820" s="559" t="s">
        <v>832</v>
      </c>
      <c r="J1820" s="567" t="s">
        <v>1731</v>
      </c>
      <c r="K1820" s="961" t="s">
        <v>1373</v>
      </c>
      <c r="L1820" s="555" t="str">
        <f t="shared" ca="1" si="309"/>
        <v/>
      </c>
      <c r="M1820" s="494" t="s">
        <v>1609</v>
      </c>
      <c r="N1820" s="555" t="str">
        <f t="shared" ca="1" si="310"/>
        <v/>
      </c>
      <c r="O1820" s="494" t="s">
        <v>1732</v>
      </c>
      <c r="P1820" s="555" t="str">
        <f t="shared" ca="1" si="311"/>
        <v/>
      </c>
      <c r="Q1820" s="494" t="s">
        <v>1733</v>
      </c>
      <c r="R1820" s="494" t="str">
        <f t="shared" si="313"/>
        <v>H1820</v>
      </c>
      <c r="S1820" s="494" t="s">
        <v>1734</v>
      </c>
      <c r="T1820" s="494">
        <v>7</v>
      </c>
      <c r="U1820" s="556" t="str">
        <f t="shared" ca="1" si="307"/>
        <v/>
      </c>
      <c r="V1820" s="494">
        <v>8</v>
      </c>
      <c r="W1820" s="556" t="str">
        <f t="shared" ca="1" si="308"/>
        <v/>
      </c>
      <c r="X1820" s="557"/>
      <c r="Y1820" s="958"/>
      <c r="Z1820" s="958"/>
      <c r="AA1820" s="958"/>
      <c r="AB1820" s="958" t="s">
        <v>1735</v>
      </c>
      <c r="AC1820" s="547" t="str">
        <f t="shared" ca="1" si="306"/>
        <v/>
      </c>
      <c r="AD1820" s="494" t="s">
        <v>1736</v>
      </c>
      <c r="AE1820" s="547" t="str">
        <f t="shared" ca="1" si="312"/>
        <v/>
      </c>
    </row>
    <row r="1821" spans="1:31" ht="15" customHeight="1">
      <c r="A1821" s="957">
        <v>58</v>
      </c>
      <c r="B1821" s="566" t="s">
        <v>799</v>
      </c>
      <c r="C1821" s="567" t="s">
        <v>1730</v>
      </c>
      <c r="D1821" s="958">
        <v>1</v>
      </c>
      <c r="E1821" s="959" t="s">
        <v>254</v>
      </c>
      <c r="F1821" s="558" t="s">
        <v>1444</v>
      </c>
      <c r="G1821" s="558">
        <v>657</v>
      </c>
      <c r="H1821" s="558">
        <v>7.3</v>
      </c>
      <c r="I1821" s="559" t="s">
        <v>833</v>
      </c>
      <c r="J1821" s="567" t="s">
        <v>1731</v>
      </c>
      <c r="K1821" s="961" t="s">
        <v>1373</v>
      </c>
      <c r="L1821" s="555" t="str">
        <f t="shared" ca="1" si="309"/>
        <v/>
      </c>
      <c r="M1821" s="494" t="s">
        <v>1609</v>
      </c>
      <c r="N1821" s="555" t="str">
        <f t="shared" ca="1" si="310"/>
        <v/>
      </c>
      <c r="O1821" s="494" t="s">
        <v>1732</v>
      </c>
      <c r="P1821" s="555" t="str">
        <f t="shared" ca="1" si="311"/>
        <v/>
      </c>
      <c r="Q1821" s="494" t="s">
        <v>1733</v>
      </c>
      <c r="R1821" s="494" t="str">
        <f t="shared" si="313"/>
        <v>H1821</v>
      </c>
      <c r="S1821" s="494" t="s">
        <v>1734</v>
      </c>
      <c r="T1821" s="494">
        <v>7</v>
      </c>
      <c r="U1821" s="556" t="str">
        <f t="shared" ca="1" si="307"/>
        <v/>
      </c>
      <c r="V1821" s="494">
        <v>8</v>
      </c>
      <c r="W1821" s="556" t="str">
        <f t="shared" ca="1" si="308"/>
        <v/>
      </c>
      <c r="X1821" s="557"/>
      <c r="Y1821" s="958"/>
      <c r="Z1821" s="958"/>
      <c r="AA1821" s="958"/>
      <c r="AB1821" s="958" t="s">
        <v>1735</v>
      </c>
      <c r="AC1821" s="547" t="str">
        <f t="shared" ca="1" si="306"/>
        <v/>
      </c>
      <c r="AD1821" s="494" t="s">
        <v>1736</v>
      </c>
      <c r="AE1821" s="547" t="str">
        <f t="shared" ca="1" si="312"/>
        <v/>
      </c>
    </row>
    <row r="1822" spans="1:31" ht="15" customHeight="1">
      <c r="A1822" s="957">
        <v>58</v>
      </c>
      <c r="B1822" s="566" t="s">
        <v>799</v>
      </c>
      <c r="C1822" s="567" t="s">
        <v>1730</v>
      </c>
      <c r="D1822" s="958">
        <v>1</v>
      </c>
      <c r="E1822" s="959" t="s">
        <v>306</v>
      </c>
      <c r="F1822" s="558" t="s">
        <v>1454</v>
      </c>
      <c r="G1822" s="558">
        <v>658</v>
      </c>
      <c r="H1822" s="558">
        <v>8.1</v>
      </c>
      <c r="I1822" s="559" t="s">
        <v>835</v>
      </c>
      <c r="J1822" s="567" t="s">
        <v>1731</v>
      </c>
      <c r="K1822" s="961" t="s">
        <v>1373</v>
      </c>
      <c r="L1822" s="555" t="str">
        <f t="shared" ca="1" si="309"/>
        <v/>
      </c>
      <c r="M1822" s="494" t="s">
        <v>1609</v>
      </c>
      <c r="N1822" s="555" t="str">
        <f t="shared" ca="1" si="310"/>
        <v/>
      </c>
      <c r="O1822" s="494" t="s">
        <v>1732</v>
      </c>
      <c r="P1822" s="555" t="str">
        <f t="shared" ca="1" si="311"/>
        <v/>
      </c>
      <c r="Q1822" s="494" t="s">
        <v>1733</v>
      </c>
      <c r="R1822" s="494" t="str">
        <f t="shared" si="313"/>
        <v>H1822</v>
      </c>
      <c r="S1822" s="494" t="s">
        <v>1734</v>
      </c>
      <c r="T1822" s="494">
        <v>7</v>
      </c>
      <c r="U1822" s="556" t="str">
        <f t="shared" ca="1" si="307"/>
        <v/>
      </c>
      <c r="V1822" s="494">
        <v>8</v>
      </c>
      <c r="W1822" s="556" t="str">
        <f t="shared" ca="1" si="308"/>
        <v/>
      </c>
      <c r="X1822" s="557"/>
      <c r="Y1822" s="958"/>
      <c r="Z1822" s="958"/>
      <c r="AA1822" s="958"/>
      <c r="AB1822" s="958" t="s">
        <v>1735</v>
      </c>
      <c r="AC1822" s="547" t="str">
        <f t="shared" ca="1" si="306"/>
        <v/>
      </c>
      <c r="AD1822" s="494" t="s">
        <v>1736</v>
      </c>
      <c r="AE1822" s="547" t="str">
        <f t="shared" ca="1" si="312"/>
        <v/>
      </c>
    </row>
    <row r="1823" spans="1:31" ht="15" customHeight="1">
      <c r="A1823" s="957">
        <v>58</v>
      </c>
      <c r="B1823" s="566" t="s">
        <v>799</v>
      </c>
      <c r="C1823" s="567" t="s">
        <v>1730</v>
      </c>
      <c r="D1823" s="958">
        <v>1</v>
      </c>
      <c r="E1823" s="959" t="s">
        <v>306</v>
      </c>
      <c r="F1823" s="558" t="s">
        <v>1454</v>
      </c>
      <c r="G1823" s="558">
        <v>659</v>
      </c>
      <c r="H1823" s="558">
        <v>8.1999999999999993</v>
      </c>
      <c r="I1823" s="559" t="s">
        <v>836</v>
      </c>
      <c r="J1823" s="567" t="s">
        <v>1731</v>
      </c>
      <c r="K1823" s="961" t="s">
        <v>1373</v>
      </c>
      <c r="L1823" s="555" t="str">
        <f t="shared" ca="1" si="309"/>
        <v/>
      </c>
      <c r="M1823" s="494" t="s">
        <v>1609</v>
      </c>
      <c r="N1823" s="555" t="str">
        <f t="shared" ca="1" si="310"/>
        <v/>
      </c>
      <c r="O1823" s="494" t="s">
        <v>1732</v>
      </c>
      <c r="P1823" s="555" t="str">
        <f t="shared" ca="1" si="311"/>
        <v/>
      </c>
      <c r="Q1823" s="494" t="s">
        <v>1733</v>
      </c>
      <c r="R1823" s="494" t="str">
        <f t="shared" si="313"/>
        <v>H1823</v>
      </c>
      <c r="S1823" s="494" t="s">
        <v>1734</v>
      </c>
      <c r="T1823" s="494">
        <v>7</v>
      </c>
      <c r="U1823" s="556" t="str">
        <f t="shared" ca="1" si="307"/>
        <v/>
      </c>
      <c r="V1823" s="494">
        <v>8</v>
      </c>
      <c r="W1823" s="556" t="str">
        <f t="shared" ca="1" si="308"/>
        <v/>
      </c>
      <c r="X1823" s="557"/>
      <c r="Y1823" s="958"/>
      <c r="Z1823" s="958"/>
      <c r="AA1823" s="958"/>
      <c r="AB1823" s="958" t="s">
        <v>1735</v>
      </c>
      <c r="AC1823" s="547" t="str">
        <f t="shared" ca="1" si="306"/>
        <v/>
      </c>
      <c r="AD1823" s="494" t="s">
        <v>1736</v>
      </c>
      <c r="AE1823" s="547" t="str">
        <f t="shared" ca="1" si="312"/>
        <v/>
      </c>
    </row>
    <row r="1824" spans="1:31" ht="15" customHeight="1">
      <c r="A1824" s="957">
        <v>58</v>
      </c>
      <c r="B1824" s="566" t="s">
        <v>799</v>
      </c>
      <c r="C1824" s="567" t="s">
        <v>1730</v>
      </c>
      <c r="D1824" s="958">
        <v>1</v>
      </c>
      <c r="E1824" s="959" t="s">
        <v>306</v>
      </c>
      <c r="F1824" s="558" t="s">
        <v>1454</v>
      </c>
      <c r="G1824" s="558">
        <v>660</v>
      </c>
      <c r="H1824" s="558">
        <v>8.3000000000000007</v>
      </c>
      <c r="I1824" s="559" t="s">
        <v>838</v>
      </c>
      <c r="J1824" s="567" t="s">
        <v>1731</v>
      </c>
      <c r="K1824" s="961" t="s">
        <v>1373</v>
      </c>
      <c r="L1824" s="555" t="str">
        <f t="shared" ca="1" si="309"/>
        <v/>
      </c>
      <c r="M1824" s="494" t="s">
        <v>1609</v>
      </c>
      <c r="N1824" s="555" t="str">
        <f t="shared" ca="1" si="310"/>
        <v/>
      </c>
      <c r="O1824" s="494" t="s">
        <v>1732</v>
      </c>
      <c r="P1824" s="555" t="str">
        <f t="shared" ca="1" si="311"/>
        <v/>
      </c>
      <c r="Q1824" s="494" t="s">
        <v>1733</v>
      </c>
      <c r="R1824" s="494" t="str">
        <f t="shared" si="313"/>
        <v>H1824</v>
      </c>
      <c r="S1824" s="494" t="s">
        <v>1734</v>
      </c>
      <c r="T1824" s="494">
        <v>7</v>
      </c>
      <c r="U1824" s="556" t="str">
        <f t="shared" ca="1" si="307"/>
        <v/>
      </c>
      <c r="V1824" s="494">
        <v>8</v>
      </c>
      <c r="W1824" s="556" t="str">
        <f t="shared" ca="1" si="308"/>
        <v/>
      </c>
      <c r="X1824" s="557"/>
      <c r="Y1824" s="958"/>
      <c r="Z1824" s="958"/>
      <c r="AA1824" s="958"/>
      <c r="AB1824" s="958" t="s">
        <v>1735</v>
      </c>
      <c r="AC1824" s="547" t="str">
        <f t="shared" ca="1" si="306"/>
        <v/>
      </c>
      <c r="AD1824" s="494" t="s">
        <v>1736</v>
      </c>
      <c r="AE1824" s="547" t="str">
        <f t="shared" ca="1" si="312"/>
        <v/>
      </c>
    </row>
    <row r="1825" spans="1:31" ht="15" customHeight="1">
      <c r="A1825" s="957">
        <v>58</v>
      </c>
      <c r="B1825" s="566" t="s">
        <v>799</v>
      </c>
      <c r="C1825" s="567" t="s">
        <v>1730</v>
      </c>
      <c r="D1825" s="958">
        <v>1</v>
      </c>
      <c r="E1825" s="959" t="s">
        <v>306</v>
      </c>
      <c r="F1825" s="558" t="s">
        <v>1454</v>
      </c>
      <c r="G1825" s="558">
        <v>661</v>
      </c>
      <c r="H1825" s="558">
        <v>9.1</v>
      </c>
      <c r="I1825" s="559" t="s">
        <v>840</v>
      </c>
      <c r="J1825" s="567" t="s">
        <v>1731</v>
      </c>
      <c r="K1825" s="961" t="s">
        <v>1373</v>
      </c>
      <c r="L1825" s="555" t="str">
        <f t="shared" ca="1" si="309"/>
        <v/>
      </c>
      <c r="M1825" s="494" t="s">
        <v>1609</v>
      </c>
      <c r="N1825" s="555" t="str">
        <f t="shared" ca="1" si="310"/>
        <v/>
      </c>
      <c r="O1825" s="494" t="s">
        <v>1732</v>
      </c>
      <c r="P1825" s="555" t="str">
        <f t="shared" ca="1" si="311"/>
        <v/>
      </c>
      <c r="Q1825" s="494" t="s">
        <v>1733</v>
      </c>
      <c r="R1825" s="494" t="str">
        <f t="shared" si="313"/>
        <v>H1825</v>
      </c>
      <c r="S1825" s="494" t="s">
        <v>1734</v>
      </c>
      <c r="T1825" s="494">
        <v>7</v>
      </c>
      <c r="U1825" s="556" t="str">
        <f t="shared" ca="1" si="307"/>
        <v/>
      </c>
      <c r="V1825" s="494">
        <v>8</v>
      </c>
      <c r="W1825" s="556" t="str">
        <f t="shared" ca="1" si="308"/>
        <v/>
      </c>
      <c r="X1825" s="557"/>
      <c r="Y1825" s="958"/>
      <c r="Z1825" s="958"/>
      <c r="AA1825" s="958"/>
      <c r="AB1825" s="958" t="s">
        <v>1735</v>
      </c>
      <c r="AC1825" s="547" t="str">
        <f t="shared" ca="1" si="306"/>
        <v/>
      </c>
      <c r="AD1825" s="494" t="s">
        <v>1736</v>
      </c>
      <c r="AE1825" s="547" t="str">
        <f t="shared" ca="1" si="312"/>
        <v/>
      </c>
    </row>
    <row r="1826" spans="1:31" ht="15" customHeight="1">
      <c r="A1826" s="957">
        <v>58</v>
      </c>
      <c r="B1826" s="566" t="s">
        <v>799</v>
      </c>
      <c r="C1826" s="567" t="s">
        <v>1730</v>
      </c>
      <c r="D1826" s="958">
        <v>1</v>
      </c>
      <c r="E1826" s="959" t="s">
        <v>306</v>
      </c>
      <c r="F1826" s="558" t="s">
        <v>1454</v>
      </c>
      <c r="G1826" s="558">
        <v>662</v>
      </c>
      <c r="H1826" s="558">
        <v>9.1999999999999993</v>
      </c>
      <c r="I1826" s="559" t="s">
        <v>841</v>
      </c>
      <c r="J1826" s="567" t="s">
        <v>1731</v>
      </c>
      <c r="K1826" s="961" t="s">
        <v>1373</v>
      </c>
      <c r="L1826" s="555" t="str">
        <f t="shared" ca="1" si="309"/>
        <v/>
      </c>
      <c r="M1826" s="494" t="s">
        <v>1609</v>
      </c>
      <c r="N1826" s="555" t="str">
        <f t="shared" ca="1" si="310"/>
        <v/>
      </c>
      <c r="O1826" s="494" t="s">
        <v>1732</v>
      </c>
      <c r="P1826" s="555" t="str">
        <f t="shared" ca="1" si="311"/>
        <v/>
      </c>
      <c r="Q1826" s="494" t="s">
        <v>1733</v>
      </c>
      <c r="R1826" s="494" t="str">
        <f t="shared" si="313"/>
        <v>H1826</v>
      </c>
      <c r="S1826" s="494" t="s">
        <v>1734</v>
      </c>
      <c r="T1826" s="494">
        <v>7</v>
      </c>
      <c r="U1826" s="556" t="str">
        <f t="shared" ca="1" si="307"/>
        <v/>
      </c>
      <c r="V1826" s="494">
        <v>8</v>
      </c>
      <c r="W1826" s="556" t="str">
        <f t="shared" ca="1" si="308"/>
        <v/>
      </c>
      <c r="X1826" s="557"/>
      <c r="Y1826" s="958"/>
      <c r="Z1826" s="958"/>
      <c r="AA1826" s="958"/>
      <c r="AB1826" s="958" t="s">
        <v>1735</v>
      </c>
      <c r="AC1826" s="547" t="str">
        <f t="shared" ca="1" si="306"/>
        <v/>
      </c>
      <c r="AD1826" s="494" t="s">
        <v>1736</v>
      </c>
      <c r="AE1826" s="547" t="str">
        <f t="shared" ca="1" si="312"/>
        <v/>
      </c>
    </row>
    <row r="1827" spans="1:31" ht="15" customHeight="1">
      <c r="A1827" s="957">
        <v>58</v>
      </c>
      <c r="B1827" s="566" t="s">
        <v>799</v>
      </c>
      <c r="C1827" s="567" t="s">
        <v>1730</v>
      </c>
      <c r="D1827" s="958">
        <v>1</v>
      </c>
      <c r="E1827" s="959" t="s">
        <v>306</v>
      </c>
      <c r="F1827" s="558" t="s">
        <v>1454</v>
      </c>
      <c r="G1827" s="558">
        <v>663</v>
      </c>
      <c r="H1827" s="558">
        <v>10.1</v>
      </c>
      <c r="I1827" s="559" t="s">
        <v>843</v>
      </c>
      <c r="J1827" s="567" t="s">
        <v>1731</v>
      </c>
      <c r="K1827" s="961" t="s">
        <v>1373</v>
      </c>
      <c r="L1827" s="555" t="str">
        <f t="shared" ca="1" si="309"/>
        <v/>
      </c>
      <c r="M1827" s="494" t="s">
        <v>1609</v>
      </c>
      <c r="N1827" s="555" t="str">
        <f t="shared" ca="1" si="310"/>
        <v/>
      </c>
      <c r="O1827" s="494" t="s">
        <v>1732</v>
      </c>
      <c r="P1827" s="555" t="str">
        <f t="shared" ca="1" si="311"/>
        <v/>
      </c>
      <c r="Q1827" s="494" t="s">
        <v>1733</v>
      </c>
      <c r="R1827" s="494" t="str">
        <f t="shared" si="313"/>
        <v>H1827</v>
      </c>
      <c r="S1827" s="494" t="s">
        <v>1734</v>
      </c>
      <c r="T1827" s="494">
        <v>7</v>
      </c>
      <c r="U1827" s="556" t="str">
        <f t="shared" ca="1" si="307"/>
        <v/>
      </c>
      <c r="V1827" s="494">
        <v>8</v>
      </c>
      <c r="W1827" s="556" t="str">
        <f t="shared" ca="1" si="308"/>
        <v/>
      </c>
      <c r="X1827" s="557"/>
      <c r="Y1827" s="958"/>
      <c r="Z1827" s="958"/>
      <c r="AA1827" s="958"/>
      <c r="AB1827" s="958" t="s">
        <v>1735</v>
      </c>
      <c r="AC1827" s="547" t="str">
        <f t="shared" ca="1" si="306"/>
        <v/>
      </c>
      <c r="AD1827" s="494" t="s">
        <v>1736</v>
      </c>
      <c r="AE1827" s="547" t="str">
        <f t="shared" ca="1" si="312"/>
        <v/>
      </c>
    </row>
    <row r="1828" spans="1:31" ht="15" customHeight="1">
      <c r="A1828" s="957">
        <v>58</v>
      </c>
      <c r="B1828" s="566" t="s">
        <v>799</v>
      </c>
      <c r="C1828" s="567" t="s">
        <v>1730</v>
      </c>
      <c r="D1828" s="958">
        <v>1</v>
      </c>
      <c r="E1828" s="959" t="s">
        <v>306</v>
      </c>
      <c r="F1828" s="558" t="s">
        <v>1454</v>
      </c>
      <c r="G1828" s="558">
        <v>664</v>
      </c>
      <c r="H1828" s="558">
        <v>10.199999999999999</v>
      </c>
      <c r="I1828" s="559" t="s">
        <v>844</v>
      </c>
      <c r="J1828" s="567" t="s">
        <v>1731</v>
      </c>
      <c r="K1828" s="961" t="s">
        <v>1373</v>
      </c>
      <c r="L1828" s="555" t="str">
        <f t="shared" ca="1" si="309"/>
        <v/>
      </c>
      <c r="M1828" s="494" t="s">
        <v>1609</v>
      </c>
      <c r="N1828" s="555" t="str">
        <f t="shared" ca="1" si="310"/>
        <v/>
      </c>
      <c r="O1828" s="494" t="s">
        <v>1732</v>
      </c>
      <c r="P1828" s="555" t="str">
        <f t="shared" ca="1" si="311"/>
        <v/>
      </c>
      <c r="Q1828" s="494" t="s">
        <v>1733</v>
      </c>
      <c r="R1828" s="494" t="str">
        <f t="shared" si="313"/>
        <v>H1828</v>
      </c>
      <c r="S1828" s="494" t="s">
        <v>1734</v>
      </c>
      <c r="T1828" s="494">
        <v>7</v>
      </c>
      <c r="U1828" s="556" t="str">
        <f t="shared" ca="1" si="307"/>
        <v/>
      </c>
      <c r="V1828" s="494">
        <v>8</v>
      </c>
      <c r="W1828" s="556" t="str">
        <f t="shared" ca="1" si="308"/>
        <v/>
      </c>
      <c r="X1828" s="557"/>
      <c r="Y1828" s="958"/>
      <c r="Z1828" s="958"/>
      <c r="AA1828" s="958"/>
      <c r="AB1828" s="958" t="s">
        <v>1735</v>
      </c>
      <c r="AC1828" s="547" t="str">
        <f t="shared" ca="1" si="306"/>
        <v/>
      </c>
      <c r="AD1828" s="494" t="s">
        <v>1736</v>
      </c>
      <c r="AE1828" s="547" t="str">
        <f t="shared" ca="1" si="312"/>
        <v/>
      </c>
    </row>
    <row r="1829" spans="1:31" ht="15" customHeight="1">
      <c r="A1829" s="957">
        <v>58</v>
      </c>
      <c r="B1829" s="566" t="s">
        <v>799</v>
      </c>
      <c r="C1829" s="567" t="s">
        <v>1730</v>
      </c>
      <c r="D1829" s="958">
        <v>1</v>
      </c>
      <c r="E1829" s="959" t="s">
        <v>306</v>
      </c>
      <c r="F1829" s="558" t="s">
        <v>1454</v>
      </c>
      <c r="G1829" s="558">
        <v>665</v>
      </c>
      <c r="H1829" s="558">
        <v>11.1</v>
      </c>
      <c r="I1829" s="559" t="s">
        <v>847</v>
      </c>
      <c r="J1829" s="567" t="s">
        <v>1731</v>
      </c>
      <c r="K1829" s="961" t="s">
        <v>1373</v>
      </c>
      <c r="L1829" s="555" t="str">
        <f t="shared" ca="1" si="309"/>
        <v/>
      </c>
      <c r="M1829" s="494" t="s">
        <v>1609</v>
      </c>
      <c r="N1829" s="555" t="str">
        <f t="shared" ca="1" si="310"/>
        <v/>
      </c>
      <c r="O1829" s="494" t="s">
        <v>1732</v>
      </c>
      <c r="P1829" s="555" t="str">
        <f t="shared" ca="1" si="311"/>
        <v/>
      </c>
      <c r="Q1829" s="494" t="s">
        <v>1733</v>
      </c>
      <c r="R1829" s="494" t="str">
        <f t="shared" si="313"/>
        <v>H1829</v>
      </c>
      <c r="S1829" s="494" t="s">
        <v>1734</v>
      </c>
      <c r="T1829" s="494">
        <v>7</v>
      </c>
      <c r="U1829" s="556" t="str">
        <f t="shared" ca="1" si="307"/>
        <v/>
      </c>
      <c r="V1829" s="494">
        <v>8</v>
      </c>
      <c r="W1829" s="556" t="str">
        <f t="shared" ca="1" si="308"/>
        <v/>
      </c>
      <c r="X1829" s="557"/>
      <c r="Y1829" s="958"/>
      <c r="Z1829" s="958"/>
      <c r="AA1829" s="958"/>
      <c r="AB1829" s="958" t="s">
        <v>1735</v>
      </c>
      <c r="AC1829" s="547" t="str">
        <f t="shared" ca="1" si="306"/>
        <v/>
      </c>
      <c r="AD1829" s="494" t="s">
        <v>1736</v>
      </c>
      <c r="AE1829" s="547" t="str">
        <f t="shared" ca="1" si="312"/>
        <v/>
      </c>
    </row>
    <row r="1830" spans="1:31" ht="15" customHeight="1">
      <c r="A1830" s="957">
        <v>58</v>
      </c>
      <c r="B1830" s="566" t="s">
        <v>799</v>
      </c>
      <c r="C1830" s="567" t="s">
        <v>1730</v>
      </c>
      <c r="D1830" s="958">
        <v>1</v>
      </c>
      <c r="E1830" s="959" t="s">
        <v>306</v>
      </c>
      <c r="F1830" s="558" t="s">
        <v>1454</v>
      </c>
      <c r="G1830" s="558">
        <v>666</v>
      </c>
      <c r="H1830" s="558">
        <v>11.2</v>
      </c>
      <c r="I1830" s="559" t="s">
        <v>848</v>
      </c>
      <c r="J1830" s="567" t="s">
        <v>1731</v>
      </c>
      <c r="K1830" s="961" t="s">
        <v>1373</v>
      </c>
      <c r="L1830" s="555" t="str">
        <f t="shared" ca="1" si="309"/>
        <v/>
      </c>
      <c r="M1830" s="494" t="s">
        <v>1609</v>
      </c>
      <c r="N1830" s="555" t="str">
        <f t="shared" ca="1" si="310"/>
        <v/>
      </c>
      <c r="O1830" s="494" t="s">
        <v>1732</v>
      </c>
      <c r="P1830" s="555" t="str">
        <f t="shared" ca="1" si="311"/>
        <v/>
      </c>
      <c r="Q1830" s="494" t="s">
        <v>1733</v>
      </c>
      <c r="R1830" s="494" t="str">
        <f t="shared" si="313"/>
        <v>H1830</v>
      </c>
      <c r="S1830" s="494" t="s">
        <v>1734</v>
      </c>
      <c r="T1830" s="494">
        <v>7</v>
      </c>
      <c r="U1830" s="556" t="str">
        <f t="shared" ca="1" si="307"/>
        <v/>
      </c>
      <c r="V1830" s="494">
        <v>8</v>
      </c>
      <c r="W1830" s="556" t="str">
        <f t="shared" ca="1" si="308"/>
        <v/>
      </c>
      <c r="X1830" s="557"/>
      <c r="Y1830" s="958"/>
      <c r="Z1830" s="958"/>
      <c r="AA1830" s="958"/>
      <c r="AB1830" s="958" t="s">
        <v>1735</v>
      </c>
      <c r="AC1830" s="547" t="str">
        <f t="shared" ca="1" si="306"/>
        <v/>
      </c>
      <c r="AD1830" s="494" t="s">
        <v>1736</v>
      </c>
      <c r="AE1830" s="547" t="str">
        <f t="shared" ca="1" si="312"/>
        <v/>
      </c>
    </row>
    <row r="1831" spans="1:31" ht="15" customHeight="1">
      <c r="A1831" s="957">
        <v>58</v>
      </c>
      <c r="B1831" s="566" t="s">
        <v>799</v>
      </c>
      <c r="C1831" s="567" t="s">
        <v>1730</v>
      </c>
      <c r="D1831" s="958">
        <v>1</v>
      </c>
      <c r="E1831" s="959" t="s">
        <v>306</v>
      </c>
      <c r="F1831" s="558" t="s">
        <v>1454</v>
      </c>
      <c r="G1831" s="558">
        <v>712</v>
      </c>
      <c r="H1831" s="558" t="s">
        <v>850</v>
      </c>
      <c r="I1831" s="559" t="s">
        <v>851</v>
      </c>
      <c r="J1831" s="567" t="s">
        <v>1731</v>
      </c>
      <c r="K1831" s="961" t="s">
        <v>1373</v>
      </c>
      <c r="L1831" s="555" t="str">
        <f t="shared" ca="1" si="309"/>
        <v/>
      </c>
      <c r="M1831" s="494" t="s">
        <v>1609</v>
      </c>
      <c r="N1831" s="555" t="str">
        <f t="shared" ca="1" si="310"/>
        <v/>
      </c>
      <c r="O1831" s="494" t="s">
        <v>1732</v>
      </c>
      <c r="P1831" s="555" t="str">
        <f t="shared" ca="1" si="311"/>
        <v/>
      </c>
      <c r="Q1831" s="494" t="s">
        <v>1733</v>
      </c>
      <c r="R1831" s="494" t="str">
        <f>CONCATENATE("H",ROW(J1831))</f>
        <v>H1831</v>
      </c>
      <c r="S1831" s="494" t="s">
        <v>1734</v>
      </c>
      <c r="T1831" s="494">
        <v>7</v>
      </c>
      <c r="U1831" s="556" t="str">
        <f t="shared" ca="1" si="307"/>
        <v/>
      </c>
      <c r="V1831" s="494">
        <v>8</v>
      </c>
      <c r="W1831" s="556" t="str">
        <f t="shared" ca="1" si="308"/>
        <v/>
      </c>
      <c r="X1831" s="557"/>
      <c r="Y1831" s="958"/>
      <c r="Z1831" s="958"/>
      <c r="AA1831" s="958"/>
      <c r="AB1831" s="958" t="s">
        <v>1735</v>
      </c>
      <c r="AC1831" s="547" t="str">
        <f ca="1">IF(AND(INDIRECT(CONCATENATE($J1835,$K1835,"5"))=$B1835,ISBLANK(INDIRECT(CONCATENATE($J1835,AB1831)))=FALSE),INDIRECT(CONCATENATE($J1835,AB1831)),"")</f>
        <v/>
      </c>
      <c r="AD1831" s="494" t="s">
        <v>1736</v>
      </c>
      <c r="AE1831" s="547" t="str">
        <f t="shared" ca="1" si="312"/>
        <v/>
      </c>
    </row>
    <row r="1832" spans="1:31" ht="15" customHeight="1">
      <c r="A1832" s="957">
        <v>58</v>
      </c>
      <c r="B1832" s="566" t="s">
        <v>799</v>
      </c>
      <c r="C1832" s="567" t="s">
        <v>1730</v>
      </c>
      <c r="D1832" s="958">
        <v>1</v>
      </c>
      <c r="E1832" s="959" t="s">
        <v>306</v>
      </c>
      <c r="F1832" s="558" t="s">
        <v>1454</v>
      </c>
      <c r="G1832" s="558">
        <v>712</v>
      </c>
      <c r="H1832" s="558" t="s">
        <v>853</v>
      </c>
      <c r="I1832" s="559" t="s">
        <v>854</v>
      </c>
      <c r="J1832" s="567" t="s">
        <v>1731</v>
      </c>
      <c r="K1832" s="961" t="s">
        <v>1373</v>
      </c>
      <c r="L1832" s="555" t="str">
        <f t="shared" ca="1" si="309"/>
        <v/>
      </c>
      <c r="M1832" s="494" t="s">
        <v>1609</v>
      </c>
      <c r="N1832" s="555" t="str">
        <f t="shared" ca="1" si="310"/>
        <v/>
      </c>
      <c r="O1832" s="494" t="s">
        <v>1732</v>
      </c>
      <c r="P1832" s="555" t="str">
        <f t="shared" ca="1" si="311"/>
        <v/>
      </c>
      <c r="Q1832" s="494" t="s">
        <v>1733</v>
      </c>
      <c r="R1832" s="494" t="str">
        <f>CONCATENATE("H",ROW(J1832))</f>
        <v>H1832</v>
      </c>
      <c r="S1832" s="494" t="s">
        <v>1734</v>
      </c>
      <c r="T1832" s="494">
        <v>7</v>
      </c>
      <c r="U1832" s="556" t="str">
        <f t="shared" ca="1" si="307"/>
        <v/>
      </c>
      <c r="V1832" s="494">
        <v>8</v>
      </c>
      <c r="W1832" s="556" t="str">
        <f t="shared" ca="1" si="308"/>
        <v/>
      </c>
      <c r="X1832" s="557"/>
      <c r="Y1832" s="958"/>
      <c r="Z1832" s="958"/>
      <c r="AA1832" s="958"/>
      <c r="AB1832" s="958" t="s">
        <v>1735</v>
      </c>
      <c r="AC1832" s="547" t="str">
        <f ca="1">IF(AND(INDIRECT(CONCATENATE($J1836,$K1836,"5"))=$B1836,ISBLANK(INDIRECT(CONCATENATE($J1836,AB1832)))=FALSE),INDIRECT(CONCATENATE($J1836,AB1832)),"")</f>
        <v/>
      </c>
      <c r="AD1832" s="494" t="s">
        <v>1736</v>
      </c>
      <c r="AE1832" s="547" t="str">
        <f t="shared" ca="1" si="312"/>
        <v/>
      </c>
    </row>
    <row r="1833" spans="1:31" ht="15" customHeight="1">
      <c r="A1833" s="957">
        <v>58</v>
      </c>
      <c r="B1833" s="566" t="s">
        <v>799</v>
      </c>
      <c r="C1833" s="567" t="s">
        <v>1730</v>
      </c>
      <c r="D1833" s="958">
        <v>1</v>
      </c>
      <c r="E1833" s="959" t="s">
        <v>306</v>
      </c>
      <c r="F1833" s="558" t="s">
        <v>1454</v>
      </c>
      <c r="G1833" s="558">
        <v>712</v>
      </c>
      <c r="H1833" s="558" t="s">
        <v>855</v>
      </c>
      <c r="I1833" s="559" t="s">
        <v>856</v>
      </c>
      <c r="J1833" s="567" t="s">
        <v>1731</v>
      </c>
      <c r="K1833" s="961" t="s">
        <v>1373</v>
      </c>
      <c r="L1833" s="555" t="str">
        <f t="shared" ca="1" si="309"/>
        <v/>
      </c>
      <c r="M1833" s="494" t="s">
        <v>1609</v>
      </c>
      <c r="N1833" s="555" t="str">
        <f t="shared" ca="1" si="310"/>
        <v/>
      </c>
      <c r="O1833" s="494" t="s">
        <v>1732</v>
      </c>
      <c r="P1833" s="555" t="str">
        <f t="shared" ca="1" si="311"/>
        <v/>
      </c>
      <c r="Q1833" s="494" t="s">
        <v>1733</v>
      </c>
      <c r="R1833" s="494" t="str">
        <f>CONCATENATE("H",ROW(J1833))</f>
        <v>H1833</v>
      </c>
      <c r="S1833" s="494" t="s">
        <v>1734</v>
      </c>
      <c r="T1833" s="494">
        <v>7</v>
      </c>
      <c r="U1833" s="556" t="str">
        <f t="shared" ca="1" si="307"/>
        <v/>
      </c>
      <c r="V1833" s="494">
        <v>8</v>
      </c>
      <c r="W1833" s="556" t="str">
        <f t="shared" ca="1" si="308"/>
        <v/>
      </c>
      <c r="X1833" s="557"/>
      <c r="Y1833" s="958"/>
      <c r="Z1833" s="958"/>
      <c r="AA1833" s="958"/>
      <c r="AB1833" s="958" t="s">
        <v>1735</v>
      </c>
      <c r="AC1833" s="547" t="str">
        <f ca="1">IF(AND(INDIRECT(CONCATENATE($J1837,$K1837,"5"))=$B1837,ISBLANK(INDIRECT(CONCATENATE($J1837,AB1833)))=FALSE),INDIRECT(CONCATENATE($J1837,AB1833)),"")</f>
        <v/>
      </c>
      <c r="AD1833" s="494" t="s">
        <v>1736</v>
      </c>
      <c r="AE1833" s="547" t="str">
        <f t="shared" ca="1" si="312"/>
        <v/>
      </c>
    </row>
    <row r="1834" spans="1:31" ht="15" customHeight="1">
      <c r="A1834" s="957">
        <v>58</v>
      </c>
      <c r="B1834" s="566" t="s">
        <v>799</v>
      </c>
      <c r="C1834" s="567" t="s">
        <v>1730</v>
      </c>
      <c r="D1834" s="958">
        <v>1</v>
      </c>
      <c r="E1834" s="959" t="s">
        <v>306</v>
      </c>
      <c r="F1834" s="558" t="s">
        <v>1454</v>
      </c>
      <c r="G1834" s="558">
        <v>712</v>
      </c>
      <c r="H1834" s="558" t="s">
        <v>857</v>
      </c>
      <c r="I1834" s="559" t="s">
        <v>858</v>
      </c>
      <c r="J1834" s="567" t="s">
        <v>1731</v>
      </c>
      <c r="K1834" s="961" t="s">
        <v>1373</v>
      </c>
      <c r="L1834" s="555" t="str">
        <f t="shared" ca="1" si="309"/>
        <v/>
      </c>
      <c r="M1834" s="494" t="s">
        <v>1609</v>
      </c>
      <c r="N1834" s="555" t="str">
        <f t="shared" ca="1" si="310"/>
        <v/>
      </c>
      <c r="O1834" s="494" t="s">
        <v>1732</v>
      </c>
      <c r="P1834" s="555" t="str">
        <f t="shared" ca="1" si="311"/>
        <v/>
      </c>
      <c r="Q1834" s="494" t="s">
        <v>1733</v>
      </c>
      <c r="R1834" s="494" t="str">
        <f>CONCATENATE("H",ROW(J1834))</f>
        <v>H1834</v>
      </c>
      <c r="S1834" s="494" t="s">
        <v>1734</v>
      </c>
      <c r="T1834" s="494">
        <v>7</v>
      </c>
      <c r="U1834" s="556" t="str">
        <f t="shared" ca="1" si="307"/>
        <v/>
      </c>
      <c r="V1834" s="494">
        <v>8</v>
      </c>
      <c r="W1834" s="556" t="str">
        <f t="shared" ca="1" si="308"/>
        <v/>
      </c>
      <c r="X1834" s="557"/>
      <c r="Y1834" s="958"/>
      <c r="Z1834" s="958"/>
      <c r="AA1834" s="958"/>
      <c r="AB1834" s="958" t="s">
        <v>1735</v>
      </c>
      <c r="AC1834" s="547" t="str">
        <f ca="1">IF(AND(INDIRECT(CONCATENATE($J1831,$K1831,"5"))=$B1831,ISBLANK(INDIRECT(CONCATENATE($J1831,AB1834)))=FALSE),INDIRECT(CONCATENATE($J1831,AB1834)),"")</f>
        <v/>
      </c>
      <c r="AD1834" s="494" t="s">
        <v>1736</v>
      </c>
      <c r="AE1834" s="547" t="str">
        <f t="shared" ca="1" si="312"/>
        <v/>
      </c>
    </row>
    <row r="1835" spans="1:31" ht="15" customHeight="1">
      <c r="A1835" s="957">
        <v>58</v>
      </c>
      <c r="B1835" s="566" t="s">
        <v>799</v>
      </c>
      <c r="C1835" s="567" t="s">
        <v>1730</v>
      </c>
      <c r="D1835" s="958">
        <v>1</v>
      </c>
      <c r="E1835" s="959" t="s">
        <v>306</v>
      </c>
      <c r="F1835" s="558" t="s">
        <v>1454</v>
      </c>
      <c r="G1835" s="558">
        <v>671</v>
      </c>
      <c r="H1835" s="558">
        <v>13.1</v>
      </c>
      <c r="I1835" s="559" t="s">
        <v>314</v>
      </c>
      <c r="J1835" s="567" t="s">
        <v>1731</v>
      </c>
      <c r="K1835" s="961" t="s">
        <v>1373</v>
      </c>
      <c r="L1835" s="555" t="str">
        <f t="shared" ca="1" si="309"/>
        <v/>
      </c>
      <c r="M1835" s="494" t="s">
        <v>1609</v>
      </c>
      <c r="N1835" s="555" t="str">
        <f t="shared" ca="1" si="310"/>
        <v/>
      </c>
      <c r="O1835" s="494" t="s">
        <v>1732</v>
      </c>
      <c r="P1835" s="555" t="str">
        <f t="shared" ca="1" si="311"/>
        <v/>
      </c>
      <c r="Q1835" s="494" t="s">
        <v>1733</v>
      </c>
      <c r="R1835" s="494" t="str">
        <f t="shared" si="313"/>
        <v>H1835</v>
      </c>
      <c r="S1835" s="494" t="s">
        <v>1734</v>
      </c>
      <c r="T1835" s="494">
        <v>7</v>
      </c>
      <c r="U1835" s="556" t="str">
        <f t="shared" ca="1" si="307"/>
        <v/>
      </c>
      <c r="V1835" s="494">
        <v>8</v>
      </c>
      <c r="W1835" s="556" t="str">
        <f t="shared" ca="1" si="308"/>
        <v/>
      </c>
      <c r="X1835" s="557"/>
      <c r="Y1835" s="958"/>
      <c r="Z1835" s="958"/>
      <c r="AA1835" s="958"/>
      <c r="AB1835" s="958" t="s">
        <v>1735</v>
      </c>
      <c r="AC1835" s="547" t="str">
        <f ca="1">IF(AND(INDIRECT(CONCATENATE($J1832,$K1832,"5"))=$B1832,ISBLANK(INDIRECT(CONCATENATE($J1832,AB1835)))=FALSE),INDIRECT(CONCATENATE($J1832,AB1835)),"")</f>
        <v/>
      </c>
      <c r="AD1835" s="494" t="s">
        <v>1736</v>
      </c>
      <c r="AE1835" s="547" t="str">
        <f t="shared" ca="1" si="312"/>
        <v/>
      </c>
    </row>
    <row r="1836" spans="1:31" ht="15" customHeight="1">
      <c r="A1836" s="957">
        <v>58</v>
      </c>
      <c r="B1836" s="566" t="s">
        <v>799</v>
      </c>
      <c r="C1836" s="567" t="s">
        <v>1730</v>
      </c>
      <c r="D1836" s="958">
        <v>1</v>
      </c>
      <c r="E1836" s="959" t="s">
        <v>306</v>
      </c>
      <c r="F1836" s="558" t="s">
        <v>1454</v>
      </c>
      <c r="G1836" s="558">
        <v>672</v>
      </c>
      <c r="H1836" s="558">
        <v>14.1</v>
      </c>
      <c r="I1836" s="559" t="s">
        <v>862</v>
      </c>
      <c r="J1836" s="567" t="s">
        <v>1731</v>
      </c>
      <c r="K1836" s="961" t="s">
        <v>1373</v>
      </c>
      <c r="L1836" s="555" t="str">
        <f t="shared" ca="1" si="309"/>
        <v/>
      </c>
      <c r="M1836" s="494" t="s">
        <v>1609</v>
      </c>
      <c r="N1836" s="555" t="str">
        <f t="shared" ca="1" si="310"/>
        <v/>
      </c>
      <c r="O1836" s="494" t="s">
        <v>1732</v>
      </c>
      <c r="P1836" s="555" t="str">
        <f t="shared" ca="1" si="311"/>
        <v/>
      </c>
      <c r="Q1836" s="494" t="s">
        <v>1733</v>
      </c>
      <c r="R1836" s="494" t="str">
        <f t="shared" si="313"/>
        <v>H1836</v>
      </c>
      <c r="S1836" s="494" t="s">
        <v>1734</v>
      </c>
      <c r="T1836" s="494">
        <v>7</v>
      </c>
      <c r="U1836" s="556" t="str">
        <f t="shared" ca="1" si="307"/>
        <v/>
      </c>
      <c r="V1836" s="494">
        <v>8</v>
      </c>
      <c r="W1836" s="556" t="str">
        <f t="shared" ca="1" si="308"/>
        <v/>
      </c>
      <c r="X1836" s="557"/>
      <c r="Y1836" s="958"/>
      <c r="Z1836" s="958"/>
      <c r="AA1836" s="958"/>
      <c r="AB1836" s="958" t="s">
        <v>1735</v>
      </c>
      <c r="AC1836" s="547" t="str">
        <f ca="1">IF(AND(INDIRECT(CONCATENATE($J1833,$K1833,"5"))=$B1833,ISBLANK(INDIRECT(CONCATENATE($J1833,AB1836)))=FALSE),INDIRECT(CONCATENATE($J1833,AB1836)),"")</f>
        <v/>
      </c>
      <c r="AD1836" s="494" t="s">
        <v>1736</v>
      </c>
      <c r="AE1836" s="547" t="str">
        <f t="shared" ca="1" si="312"/>
        <v/>
      </c>
    </row>
    <row r="1837" spans="1:31" ht="15" customHeight="1">
      <c r="A1837" s="957">
        <v>58</v>
      </c>
      <c r="B1837" s="566" t="s">
        <v>799</v>
      </c>
      <c r="C1837" s="567" t="s">
        <v>1730</v>
      </c>
      <c r="D1837" s="958">
        <v>1</v>
      </c>
      <c r="E1837" s="959" t="s">
        <v>306</v>
      </c>
      <c r="F1837" s="558" t="s">
        <v>1454</v>
      </c>
      <c r="G1837" s="558">
        <v>673</v>
      </c>
      <c r="H1837" s="558">
        <v>14.2</v>
      </c>
      <c r="I1837" s="559" t="s">
        <v>863</v>
      </c>
      <c r="J1837" s="567" t="s">
        <v>1731</v>
      </c>
      <c r="K1837" s="961" t="s">
        <v>1373</v>
      </c>
      <c r="L1837" s="555" t="str">
        <f t="shared" ca="1" si="309"/>
        <v/>
      </c>
      <c r="M1837" s="494" t="s">
        <v>1609</v>
      </c>
      <c r="N1837" s="555" t="str">
        <f t="shared" ca="1" si="310"/>
        <v/>
      </c>
      <c r="O1837" s="494" t="s">
        <v>1732</v>
      </c>
      <c r="P1837" s="555" t="str">
        <f t="shared" ca="1" si="311"/>
        <v/>
      </c>
      <c r="Q1837" s="494" t="s">
        <v>1733</v>
      </c>
      <c r="R1837" s="494" t="str">
        <f t="shared" si="313"/>
        <v>H1837</v>
      </c>
      <c r="S1837" s="494" t="s">
        <v>1734</v>
      </c>
      <c r="T1837" s="494">
        <v>7</v>
      </c>
      <c r="U1837" s="556" t="str">
        <f t="shared" ca="1" si="307"/>
        <v/>
      </c>
      <c r="V1837" s="494">
        <v>8</v>
      </c>
      <c r="W1837" s="556" t="str">
        <f t="shared" ca="1" si="308"/>
        <v/>
      </c>
      <c r="X1837" s="557"/>
      <c r="Y1837" s="958"/>
      <c r="Z1837" s="958"/>
      <c r="AA1837" s="958"/>
      <c r="AB1837" s="958" t="s">
        <v>1735</v>
      </c>
      <c r="AC1837" s="547" t="str">
        <f ca="1">IF(AND(INDIRECT(CONCATENATE($J1834,$K1834,"5"))=$B1834,ISBLANK(INDIRECT(CONCATENATE($J1834,AB1837)))=FALSE),INDIRECT(CONCATENATE($J1834,AB1837)),"")</f>
        <v/>
      </c>
      <c r="AD1837" s="494" t="s">
        <v>1736</v>
      </c>
      <c r="AE1837" s="547" t="str">
        <f t="shared" ca="1" si="312"/>
        <v/>
      </c>
    </row>
    <row r="1838" spans="1:31" ht="15" customHeight="1">
      <c r="A1838" s="957">
        <v>58</v>
      </c>
      <c r="B1838" s="566" t="s">
        <v>799</v>
      </c>
      <c r="C1838" s="567" t="s">
        <v>1730</v>
      </c>
      <c r="D1838" s="958">
        <v>1</v>
      </c>
      <c r="E1838" s="959" t="s">
        <v>335</v>
      </c>
      <c r="F1838" s="558" t="s">
        <v>1455</v>
      </c>
      <c r="G1838" s="558">
        <v>674</v>
      </c>
      <c r="H1838" s="558" t="s">
        <v>865</v>
      </c>
      <c r="I1838" s="559" t="s">
        <v>866</v>
      </c>
      <c r="J1838" s="567" t="s">
        <v>1731</v>
      </c>
      <c r="K1838" s="961" t="s">
        <v>1373</v>
      </c>
      <c r="L1838" s="555" t="str">
        <f t="shared" ca="1" si="309"/>
        <v/>
      </c>
      <c r="M1838" s="494" t="s">
        <v>1609</v>
      </c>
      <c r="N1838" s="555" t="str">
        <f t="shared" ca="1" si="310"/>
        <v/>
      </c>
      <c r="O1838" s="494" t="s">
        <v>1732</v>
      </c>
      <c r="P1838" s="555" t="str">
        <f t="shared" ca="1" si="311"/>
        <v/>
      </c>
      <c r="Q1838" s="494" t="s">
        <v>1733</v>
      </c>
      <c r="R1838" s="494" t="str">
        <f t="shared" si="313"/>
        <v>H1838</v>
      </c>
      <c r="S1838" s="494" t="s">
        <v>1734</v>
      </c>
      <c r="T1838" s="494">
        <v>7</v>
      </c>
      <c r="U1838" s="556" t="str">
        <f t="shared" ca="1" si="307"/>
        <v/>
      </c>
      <c r="V1838" s="494">
        <v>8</v>
      </c>
      <c r="W1838" s="556" t="str">
        <f t="shared" ca="1" si="308"/>
        <v/>
      </c>
      <c r="X1838" s="557"/>
      <c r="Y1838" s="958"/>
      <c r="Z1838" s="958"/>
      <c r="AA1838" s="958"/>
      <c r="AB1838" s="958" t="s">
        <v>1735</v>
      </c>
      <c r="AC1838" s="547" t="str">
        <f t="shared" ref="AC1838:AC1849" ca="1" si="314">IF(AND(INDIRECT(CONCATENATE($J1838,$K1838,"5"))=$B1838,ISBLANK(INDIRECT(CONCATENATE($J1838,AB1838)))=FALSE),INDIRECT(CONCATENATE($J1838,AB1838)),"")</f>
        <v/>
      </c>
      <c r="AD1838" s="494" t="s">
        <v>1736</v>
      </c>
      <c r="AE1838" s="547" t="str">
        <f t="shared" ca="1" si="312"/>
        <v/>
      </c>
    </row>
    <row r="1839" spans="1:31" ht="15" customHeight="1">
      <c r="A1839" s="957">
        <v>58</v>
      </c>
      <c r="B1839" s="566" t="s">
        <v>799</v>
      </c>
      <c r="C1839" s="567" t="s">
        <v>1730</v>
      </c>
      <c r="D1839" s="958">
        <v>1</v>
      </c>
      <c r="E1839" s="959" t="s">
        <v>335</v>
      </c>
      <c r="F1839" s="558" t="s">
        <v>1455</v>
      </c>
      <c r="G1839" s="558">
        <v>674</v>
      </c>
      <c r="H1839" s="558" t="s">
        <v>868</v>
      </c>
      <c r="I1839" s="559" t="s">
        <v>1737</v>
      </c>
      <c r="J1839" s="567" t="s">
        <v>1731</v>
      </c>
      <c r="K1839" s="961" t="s">
        <v>1373</v>
      </c>
      <c r="L1839" s="555" t="str">
        <f t="shared" ca="1" si="309"/>
        <v/>
      </c>
      <c r="M1839" s="494" t="s">
        <v>1609</v>
      </c>
      <c r="N1839" s="555" t="str">
        <f t="shared" ca="1" si="310"/>
        <v/>
      </c>
      <c r="O1839" s="494" t="s">
        <v>1732</v>
      </c>
      <c r="P1839" s="555" t="str">
        <f t="shared" ca="1" si="311"/>
        <v/>
      </c>
      <c r="Q1839" s="494" t="s">
        <v>1733</v>
      </c>
      <c r="R1839" s="494" t="str">
        <f t="shared" si="313"/>
        <v>H1839</v>
      </c>
      <c r="S1839" s="494" t="s">
        <v>1734</v>
      </c>
      <c r="T1839" s="494">
        <v>7</v>
      </c>
      <c r="U1839" s="556" t="str">
        <f t="shared" ca="1" si="307"/>
        <v/>
      </c>
      <c r="V1839" s="494">
        <v>8</v>
      </c>
      <c r="W1839" s="556" t="str">
        <f t="shared" ca="1" si="308"/>
        <v/>
      </c>
      <c r="X1839" s="557"/>
      <c r="Y1839" s="958"/>
      <c r="Z1839" s="958"/>
      <c r="AA1839" s="958"/>
      <c r="AB1839" s="958" t="s">
        <v>1735</v>
      </c>
      <c r="AC1839" s="547" t="str">
        <f t="shared" ca="1" si="314"/>
        <v/>
      </c>
      <c r="AD1839" s="494" t="s">
        <v>1736</v>
      </c>
      <c r="AE1839" s="547" t="str">
        <f t="shared" ca="1" si="312"/>
        <v/>
      </c>
    </row>
    <row r="1840" spans="1:31" ht="15" customHeight="1">
      <c r="A1840" s="957">
        <v>58</v>
      </c>
      <c r="B1840" s="566" t="s">
        <v>799</v>
      </c>
      <c r="C1840" s="567" t="s">
        <v>1730</v>
      </c>
      <c r="D1840" s="958">
        <v>1</v>
      </c>
      <c r="E1840" s="959" t="s">
        <v>335</v>
      </c>
      <c r="F1840" s="558" t="s">
        <v>1455</v>
      </c>
      <c r="G1840" s="558">
        <v>674</v>
      </c>
      <c r="H1840" s="558" t="s">
        <v>29</v>
      </c>
      <c r="I1840" s="559" t="s">
        <v>869</v>
      </c>
      <c r="J1840" s="567" t="s">
        <v>1731</v>
      </c>
      <c r="K1840" s="961" t="s">
        <v>1373</v>
      </c>
      <c r="L1840" s="555" t="str">
        <f t="shared" ca="1" si="309"/>
        <v/>
      </c>
      <c r="M1840" s="494" t="s">
        <v>1609</v>
      </c>
      <c r="N1840" s="555" t="str">
        <f t="shared" ca="1" si="310"/>
        <v/>
      </c>
      <c r="O1840" s="494" t="s">
        <v>1732</v>
      </c>
      <c r="P1840" s="555" t="str">
        <f t="shared" ca="1" si="311"/>
        <v/>
      </c>
      <c r="Q1840" s="494" t="s">
        <v>1733</v>
      </c>
      <c r="R1840" s="494" t="str">
        <f t="shared" si="313"/>
        <v>H1840</v>
      </c>
      <c r="S1840" s="494" t="s">
        <v>1734</v>
      </c>
      <c r="T1840" s="494">
        <v>7</v>
      </c>
      <c r="U1840" s="556" t="str">
        <f t="shared" ca="1" si="307"/>
        <v/>
      </c>
      <c r="V1840" s="494">
        <v>8</v>
      </c>
      <c r="W1840" s="556" t="str">
        <f t="shared" ca="1" si="308"/>
        <v/>
      </c>
      <c r="X1840" s="557"/>
      <c r="Y1840" s="958"/>
      <c r="Z1840" s="958"/>
      <c r="AA1840" s="958"/>
      <c r="AB1840" s="958" t="s">
        <v>1735</v>
      </c>
      <c r="AC1840" s="547" t="str">
        <f t="shared" ca="1" si="314"/>
        <v/>
      </c>
      <c r="AD1840" s="494" t="s">
        <v>1736</v>
      </c>
      <c r="AE1840" s="547" t="str">
        <f t="shared" ca="1" si="312"/>
        <v/>
      </c>
    </row>
    <row r="1841" spans="1:31" ht="15" customHeight="1">
      <c r="A1841" s="957">
        <v>58</v>
      </c>
      <c r="B1841" s="566" t="s">
        <v>799</v>
      </c>
      <c r="C1841" s="567" t="s">
        <v>1730</v>
      </c>
      <c r="D1841" s="958">
        <v>1</v>
      </c>
      <c r="E1841" s="959" t="s">
        <v>335</v>
      </c>
      <c r="F1841" s="558" t="s">
        <v>1455</v>
      </c>
      <c r="G1841" s="558">
        <v>674</v>
      </c>
      <c r="H1841" s="558" t="s">
        <v>871</v>
      </c>
      <c r="I1841" s="559" t="s">
        <v>872</v>
      </c>
      <c r="J1841" s="567" t="s">
        <v>1731</v>
      </c>
      <c r="K1841" s="961" t="s">
        <v>1373</v>
      </c>
      <c r="L1841" s="555" t="str">
        <f t="shared" ca="1" si="309"/>
        <v/>
      </c>
      <c r="M1841" s="494" t="s">
        <v>1609</v>
      </c>
      <c r="N1841" s="555" t="str">
        <f t="shared" ca="1" si="310"/>
        <v/>
      </c>
      <c r="O1841" s="494" t="s">
        <v>1732</v>
      </c>
      <c r="P1841" s="555" t="str">
        <f t="shared" ca="1" si="311"/>
        <v/>
      </c>
      <c r="Q1841" s="494" t="s">
        <v>1733</v>
      </c>
      <c r="R1841" s="494" t="str">
        <f t="shared" si="313"/>
        <v>H1841</v>
      </c>
      <c r="S1841" s="494" t="s">
        <v>1734</v>
      </c>
      <c r="T1841" s="494">
        <v>7</v>
      </c>
      <c r="U1841" s="556" t="str">
        <f t="shared" ca="1" si="307"/>
        <v/>
      </c>
      <c r="V1841" s="494">
        <v>8</v>
      </c>
      <c r="W1841" s="556" t="str">
        <f t="shared" ca="1" si="308"/>
        <v/>
      </c>
      <c r="X1841" s="557"/>
      <c r="Y1841" s="958"/>
      <c r="Z1841" s="958"/>
      <c r="AA1841" s="958"/>
      <c r="AB1841" s="958" t="s">
        <v>1735</v>
      </c>
      <c r="AC1841" s="547" t="str">
        <f t="shared" ca="1" si="314"/>
        <v/>
      </c>
      <c r="AD1841" s="494" t="s">
        <v>1736</v>
      </c>
      <c r="AE1841" s="547" t="str">
        <f t="shared" ca="1" si="312"/>
        <v/>
      </c>
    </row>
    <row r="1842" spans="1:31" ht="15" customHeight="1">
      <c r="A1842" s="957">
        <v>58</v>
      </c>
      <c r="B1842" s="566" t="s">
        <v>799</v>
      </c>
      <c r="C1842" s="567" t="s">
        <v>1730</v>
      </c>
      <c r="D1842" s="958">
        <v>1</v>
      </c>
      <c r="E1842" s="959" t="s">
        <v>335</v>
      </c>
      <c r="F1842" s="558" t="s">
        <v>1455</v>
      </c>
      <c r="G1842" s="558">
        <v>678</v>
      </c>
      <c r="H1842" s="558" t="s">
        <v>341</v>
      </c>
      <c r="I1842" s="559" t="s">
        <v>876</v>
      </c>
      <c r="J1842" s="567" t="s">
        <v>1731</v>
      </c>
      <c r="K1842" s="961" t="s">
        <v>1373</v>
      </c>
      <c r="L1842" s="555" t="str">
        <f t="shared" ca="1" si="309"/>
        <v/>
      </c>
      <c r="M1842" s="494" t="s">
        <v>1609</v>
      </c>
      <c r="N1842" s="555" t="str">
        <f t="shared" ca="1" si="310"/>
        <v/>
      </c>
      <c r="O1842" s="494" t="s">
        <v>1732</v>
      </c>
      <c r="P1842" s="555" t="str">
        <f t="shared" ca="1" si="311"/>
        <v/>
      </c>
      <c r="Q1842" s="494" t="s">
        <v>1733</v>
      </c>
      <c r="R1842" s="494" t="str">
        <f t="shared" si="313"/>
        <v>H1842</v>
      </c>
      <c r="S1842" s="494" t="s">
        <v>1734</v>
      </c>
      <c r="T1842" s="494">
        <v>7</v>
      </c>
      <c r="U1842" s="556" t="str">
        <f t="shared" ca="1" si="307"/>
        <v/>
      </c>
      <c r="V1842" s="494">
        <v>8</v>
      </c>
      <c r="W1842" s="556" t="str">
        <f t="shared" ca="1" si="308"/>
        <v/>
      </c>
      <c r="X1842" s="557"/>
      <c r="Y1842" s="958"/>
      <c r="Z1842" s="958"/>
      <c r="AA1842" s="958"/>
      <c r="AB1842" s="958" t="s">
        <v>1735</v>
      </c>
      <c r="AC1842" s="547" t="str">
        <f t="shared" ca="1" si="314"/>
        <v/>
      </c>
      <c r="AD1842" s="494" t="s">
        <v>1736</v>
      </c>
      <c r="AE1842" s="547" t="str">
        <f t="shared" ca="1" si="312"/>
        <v/>
      </c>
    </row>
    <row r="1843" spans="1:31" ht="15" customHeight="1">
      <c r="A1843" s="957">
        <v>58</v>
      </c>
      <c r="B1843" s="566" t="s">
        <v>799</v>
      </c>
      <c r="C1843" s="567" t="s">
        <v>1730</v>
      </c>
      <c r="D1843" s="958">
        <v>1</v>
      </c>
      <c r="E1843" s="959" t="s">
        <v>335</v>
      </c>
      <c r="F1843" s="558" t="s">
        <v>1455</v>
      </c>
      <c r="G1843" s="558">
        <v>678</v>
      </c>
      <c r="H1843" s="558" t="s">
        <v>343</v>
      </c>
      <c r="I1843" s="559" t="s">
        <v>877</v>
      </c>
      <c r="J1843" s="567" t="s">
        <v>1731</v>
      </c>
      <c r="K1843" s="961" t="s">
        <v>1373</v>
      </c>
      <c r="L1843" s="555" t="str">
        <f t="shared" ca="1" si="309"/>
        <v/>
      </c>
      <c r="M1843" s="494" t="s">
        <v>1609</v>
      </c>
      <c r="N1843" s="555" t="str">
        <f t="shared" ca="1" si="310"/>
        <v/>
      </c>
      <c r="O1843" s="494" t="s">
        <v>1732</v>
      </c>
      <c r="P1843" s="555" t="str">
        <f t="shared" ca="1" si="311"/>
        <v/>
      </c>
      <c r="Q1843" s="494" t="s">
        <v>1733</v>
      </c>
      <c r="R1843" s="494" t="str">
        <f t="shared" si="313"/>
        <v>H1843</v>
      </c>
      <c r="S1843" s="494" t="s">
        <v>1734</v>
      </c>
      <c r="T1843" s="494">
        <v>7</v>
      </c>
      <c r="U1843" s="556" t="str">
        <f t="shared" ca="1" si="307"/>
        <v/>
      </c>
      <c r="V1843" s="494">
        <v>8</v>
      </c>
      <c r="W1843" s="556" t="str">
        <f t="shared" ca="1" si="308"/>
        <v/>
      </c>
      <c r="X1843" s="557"/>
      <c r="Y1843" s="958"/>
      <c r="Z1843" s="958"/>
      <c r="AA1843" s="958"/>
      <c r="AB1843" s="958" t="s">
        <v>1735</v>
      </c>
      <c r="AC1843" s="547" t="str">
        <f t="shared" ca="1" si="314"/>
        <v/>
      </c>
      <c r="AD1843" s="494" t="s">
        <v>1736</v>
      </c>
      <c r="AE1843" s="547" t="str">
        <f t="shared" ca="1" si="312"/>
        <v/>
      </c>
    </row>
    <row r="1844" spans="1:31" ht="15" customHeight="1">
      <c r="A1844" s="957">
        <v>58</v>
      </c>
      <c r="B1844" s="566" t="s">
        <v>799</v>
      </c>
      <c r="C1844" s="567" t="s">
        <v>1730</v>
      </c>
      <c r="D1844" s="958">
        <v>1</v>
      </c>
      <c r="E1844" s="959" t="s">
        <v>345</v>
      </c>
      <c r="F1844" s="558" t="s">
        <v>1484</v>
      </c>
      <c r="G1844" s="558">
        <v>680</v>
      </c>
      <c r="H1844" s="558">
        <v>17.100000000000001</v>
      </c>
      <c r="I1844" s="559" t="s">
        <v>881</v>
      </c>
      <c r="J1844" s="567" t="s">
        <v>1731</v>
      </c>
      <c r="K1844" s="961" t="s">
        <v>1373</v>
      </c>
      <c r="L1844" s="555" t="str">
        <f t="shared" ca="1" si="309"/>
        <v/>
      </c>
      <c r="M1844" s="494" t="s">
        <v>1609</v>
      </c>
      <c r="N1844" s="555" t="str">
        <f t="shared" ca="1" si="310"/>
        <v/>
      </c>
      <c r="O1844" s="494" t="s">
        <v>1732</v>
      </c>
      <c r="P1844" s="555" t="str">
        <f t="shared" ca="1" si="311"/>
        <v/>
      </c>
      <c r="Q1844" s="494" t="s">
        <v>1733</v>
      </c>
      <c r="R1844" s="494" t="str">
        <f t="shared" si="313"/>
        <v>H1844</v>
      </c>
      <c r="S1844" s="494" t="s">
        <v>1734</v>
      </c>
      <c r="T1844" s="494">
        <v>7</v>
      </c>
      <c r="U1844" s="556" t="str">
        <f t="shared" ca="1" si="307"/>
        <v/>
      </c>
      <c r="V1844" s="494">
        <v>8</v>
      </c>
      <c r="W1844" s="556" t="str">
        <f t="shared" ca="1" si="308"/>
        <v/>
      </c>
      <c r="X1844" s="557"/>
      <c r="Y1844" s="958"/>
      <c r="Z1844" s="958"/>
      <c r="AA1844" s="958"/>
      <c r="AB1844" s="958" t="s">
        <v>1735</v>
      </c>
      <c r="AC1844" s="547" t="str">
        <f t="shared" ca="1" si="314"/>
        <v/>
      </c>
      <c r="AD1844" s="494" t="s">
        <v>1736</v>
      </c>
      <c r="AE1844" s="547" t="str">
        <f t="shared" ca="1" si="312"/>
        <v/>
      </c>
    </row>
    <row r="1845" spans="1:31" ht="15" customHeight="1">
      <c r="A1845" s="957">
        <v>58</v>
      </c>
      <c r="B1845" s="566" t="s">
        <v>799</v>
      </c>
      <c r="C1845" s="567" t="s">
        <v>1730</v>
      </c>
      <c r="D1845" s="958">
        <v>1</v>
      </c>
      <c r="E1845" s="959" t="s">
        <v>345</v>
      </c>
      <c r="F1845" s="558" t="s">
        <v>1484</v>
      </c>
      <c r="G1845" s="558">
        <v>681</v>
      </c>
      <c r="H1845" s="558">
        <v>17.2</v>
      </c>
      <c r="I1845" s="559" t="s">
        <v>882</v>
      </c>
      <c r="J1845" s="567" t="s">
        <v>1731</v>
      </c>
      <c r="K1845" s="961" t="s">
        <v>1373</v>
      </c>
      <c r="L1845" s="555" t="str">
        <f t="shared" ca="1" si="309"/>
        <v/>
      </c>
      <c r="M1845" s="494" t="s">
        <v>1609</v>
      </c>
      <c r="N1845" s="555" t="str">
        <f t="shared" ca="1" si="310"/>
        <v/>
      </c>
      <c r="O1845" s="494" t="s">
        <v>1732</v>
      </c>
      <c r="P1845" s="555" t="str">
        <f t="shared" ca="1" si="311"/>
        <v/>
      </c>
      <c r="Q1845" s="494" t="s">
        <v>1733</v>
      </c>
      <c r="R1845" s="494" t="str">
        <f t="shared" si="313"/>
        <v>H1845</v>
      </c>
      <c r="S1845" s="494" t="s">
        <v>1734</v>
      </c>
      <c r="T1845" s="494">
        <v>7</v>
      </c>
      <c r="U1845" s="556" t="str">
        <f t="shared" ca="1" si="307"/>
        <v/>
      </c>
      <c r="V1845" s="494">
        <v>8</v>
      </c>
      <c r="W1845" s="556" t="str">
        <f t="shared" ca="1" si="308"/>
        <v/>
      </c>
      <c r="X1845" s="557"/>
      <c r="Y1845" s="958"/>
      <c r="Z1845" s="958"/>
      <c r="AA1845" s="958"/>
      <c r="AB1845" s="958" t="s">
        <v>1735</v>
      </c>
      <c r="AC1845" s="547" t="str">
        <f t="shared" ca="1" si="314"/>
        <v/>
      </c>
      <c r="AD1845" s="494" t="s">
        <v>1736</v>
      </c>
      <c r="AE1845" s="547" t="str">
        <f t="shared" ca="1" si="312"/>
        <v/>
      </c>
    </row>
    <row r="1846" spans="1:31" ht="15" customHeight="1">
      <c r="A1846" s="957">
        <v>58</v>
      </c>
      <c r="B1846" s="566" t="s">
        <v>799</v>
      </c>
      <c r="C1846" s="567" t="s">
        <v>1730</v>
      </c>
      <c r="D1846" s="958">
        <v>1</v>
      </c>
      <c r="E1846" s="959" t="s">
        <v>345</v>
      </c>
      <c r="F1846" s="558" t="s">
        <v>1484</v>
      </c>
      <c r="G1846" s="558">
        <v>682</v>
      </c>
      <c r="H1846" s="558">
        <v>17.3</v>
      </c>
      <c r="I1846" s="559" t="s">
        <v>883</v>
      </c>
      <c r="J1846" s="567" t="s">
        <v>1731</v>
      </c>
      <c r="K1846" s="961" t="s">
        <v>1373</v>
      </c>
      <c r="L1846" s="555" t="str">
        <f t="shared" ca="1" si="309"/>
        <v/>
      </c>
      <c r="M1846" s="494" t="s">
        <v>1609</v>
      </c>
      <c r="N1846" s="555" t="str">
        <f t="shared" ca="1" si="310"/>
        <v/>
      </c>
      <c r="O1846" s="494" t="s">
        <v>1732</v>
      </c>
      <c r="P1846" s="555" t="str">
        <f t="shared" ca="1" si="311"/>
        <v/>
      </c>
      <c r="Q1846" s="494" t="s">
        <v>1733</v>
      </c>
      <c r="R1846" s="494" t="str">
        <f t="shared" si="313"/>
        <v>H1846</v>
      </c>
      <c r="S1846" s="494" t="s">
        <v>1734</v>
      </c>
      <c r="T1846" s="494">
        <v>7</v>
      </c>
      <c r="U1846" s="556" t="str">
        <f t="shared" ca="1" si="307"/>
        <v/>
      </c>
      <c r="V1846" s="494">
        <v>8</v>
      </c>
      <c r="W1846" s="556" t="str">
        <f t="shared" ca="1" si="308"/>
        <v/>
      </c>
      <c r="X1846" s="557"/>
      <c r="Y1846" s="958"/>
      <c r="Z1846" s="958"/>
      <c r="AA1846" s="958"/>
      <c r="AB1846" s="958" t="s">
        <v>1735</v>
      </c>
      <c r="AC1846" s="547" t="str">
        <f t="shared" ca="1" si="314"/>
        <v/>
      </c>
      <c r="AD1846" s="494" t="s">
        <v>1736</v>
      </c>
      <c r="AE1846" s="547" t="str">
        <f t="shared" ca="1" si="312"/>
        <v/>
      </c>
    </row>
    <row r="1847" spans="1:31" ht="15" customHeight="1">
      <c r="A1847" s="957">
        <v>58</v>
      </c>
      <c r="B1847" s="566" t="s">
        <v>799</v>
      </c>
      <c r="C1847" s="567" t="s">
        <v>1730</v>
      </c>
      <c r="D1847" s="958">
        <v>1</v>
      </c>
      <c r="E1847" s="959" t="s">
        <v>345</v>
      </c>
      <c r="F1847" s="558" t="s">
        <v>1484</v>
      </c>
      <c r="G1847" s="558">
        <v>683</v>
      </c>
      <c r="H1847" s="558">
        <v>17.399999999999999</v>
      </c>
      <c r="I1847" s="559" t="s">
        <v>884</v>
      </c>
      <c r="J1847" s="567" t="s">
        <v>1731</v>
      </c>
      <c r="K1847" s="961" t="s">
        <v>1373</v>
      </c>
      <c r="L1847" s="555" t="str">
        <f t="shared" ca="1" si="309"/>
        <v/>
      </c>
      <c r="M1847" s="494" t="s">
        <v>1609</v>
      </c>
      <c r="N1847" s="555" t="str">
        <f t="shared" ca="1" si="310"/>
        <v/>
      </c>
      <c r="O1847" s="494" t="s">
        <v>1732</v>
      </c>
      <c r="P1847" s="555" t="str">
        <f t="shared" ca="1" si="311"/>
        <v/>
      </c>
      <c r="Q1847" s="494" t="s">
        <v>1733</v>
      </c>
      <c r="R1847" s="494" t="str">
        <f t="shared" si="313"/>
        <v>H1847</v>
      </c>
      <c r="S1847" s="494" t="s">
        <v>1734</v>
      </c>
      <c r="T1847" s="494">
        <v>7</v>
      </c>
      <c r="U1847" s="556" t="str">
        <f t="shared" ca="1" si="307"/>
        <v/>
      </c>
      <c r="V1847" s="494">
        <v>8</v>
      </c>
      <c r="W1847" s="556" t="str">
        <f t="shared" ca="1" si="308"/>
        <v/>
      </c>
      <c r="X1847" s="557"/>
      <c r="Y1847" s="958"/>
      <c r="Z1847" s="958"/>
      <c r="AA1847" s="958"/>
      <c r="AB1847" s="958" t="s">
        <v>1735</v>
      </c>
      <c r="AC1847" s="547" t="str">
        <f t="shared" ca="1" si="314"/>
        <v/>
      </c>
      <c r="AD1847" s="494" t="s">
        <v>1736</v>
      </c>
      <c r="AE1847" s="547" t="str">
        <f t="shared" ca="1" si="312"/>
        <v/>
      </c>
    </row>
    <row r="1848" spans="1:31" ht="15" customHeight="1">
      <c r="A1848" s="957">
        <v>58</v>
      </c>
      <c r="B1848" s="566" t="s">
        <v>799</v>
      </c>
      <c r="C1848" s="567" t="s">
        <v>1730</v>
      </c>
      <c r="D1848" s="958">
        <v>1</v>
      </c>
      <c r="E1848" s="959" t="s">
        <v>345</v>
      </c>
      <c r="F1848" s="558" t="s">
        <v>1484</v>
      </c>
      <c r="G1848" s="558">
        <v>684</v>
      </c>
      <c r="H1848" s="558">
        <v>18.100000000000001</v>
      </c>
      <c r="I1848" s="559" t="s">
        <v>887</v>
      </c>
      <c r="J1848" s="567" t="s">
        <v>1731</v>
      </c>
      <c r="K1848" s="961" t="s">
        <v>1373</v>
      </c>
      <c r="L1848" s="555" t="str">
        <f t="shared" ca="1" si="309"/>
        <v/>
      </c>
      <c r="M1848" s="494" t="s">
        <v>1609</v>
      </c>
      <c r="N1848" s="555" t="str">
        <f t="shared" ca="1" si="310"/>
        <v/>
      </c>
      <c r="O1848" s="494" t="s">
        <v>1732</v>
      </c>
      <c r="P1848" s="555" t="str">
        <f t="shared" ca="1" si="311"/>
        <v/>
      </c>
      <c r="Q1848" s="494" t="s">
        <v>1733</v>
      </c>
      <c r="R1848" s="494" t="str">
        <f t="shared" si="313"/>
        <v>H1848</v>
      </c>
      <c r="S1848" s="494" t="s">
        <v>1734</v>
      </c>
      <c r="T1848" s="494">
        <v>7</v>
      </c>
      <c r="U1848" s="556" t="str">
        <f t="shared" ca="1" si="307"/>
        <v/>
      </c>
      <c r="V1848" s="494">
        <v>8</v>
      </c>
      <c r="W1848" s="556" t="str">
        <f t="shared" ca="1" si="308"/>
        <v/>
      </c>
      <c r="X1848" s="557"/>
      <c r="Y1848" s="958"/>
      <c r="Z1848" s="958"/>
      <c r="AA1848" s="958"/>
      <c r="AB1848" s="958" t="s">
        <v>1735</v>
      </c>
      <c r="AC1848" s="547" t="str">
        <f t="shared" ca="1" si="314"/>
        <v/>
      </c>
      <c r="AD1848" s="494" t="s">
        <v>1736</v>
      </c>
      <c r="AE1848" s="547" t="str">
        <f t="shared" ca="1" si="312"/>
        <v/>
      </c>
    </row>
    <row r="1849" spans="1:31" ht="15" customHeight="1">
      <c r="A1849" s="957">
        <v>58</v>
      </c>
      <c r="B1849" s="566" t="s">
        <v>799</v>
      </c>
      <c r="C1849" s="567" t="s">
        <v>1730</v>
      </c>
      <c r="D1849" s="958">
        <v>1</v>
      </c>
      <c r="E1849" s="959" t="s">
        <v>345</v>
      </c>
      <c r="F1849" s="558" t="s">
        <v>1484</v>
      </c>
      <c r="G1849" s="558">
        <v>685</v>
      </c>
      <c r="H1849" s="558">
        <v>18.2</v>
      </c>
      <c r="I1849" s="559" t="s">
        <v>888</v>
      </c>
      <c r="J1849" s="567" t="s">
        <v>1731</v>
      </c>
      <c r="K1849" s="961" t="s">
        <v>1373</v>
      </c>
      <c r="L1849" s="555" t="str">
        <f t="shared" ca="1" si="309"/>
        <v/>
      </c>
      <c r="M1849" s="494" t="s">
        <v>1609</v>
      </c>
      <c r="N1849" s="555" t="str">
        <f t="shared" ca="1" si="310"/>
        <v/>
      </c>
      <c r="O1849" s="494" t="s">
        <v>1732</v>
      </c>
      <c r="P1849" s="555" t="str">
        <f t="shared" ca="1" si="311"/>
        <v/>
      </c>
      <c r="Q1849" s="494" t="s">
        <v>1733</v>
      </c>
      <c r="R1849" s="494" t="str">
        <f t="shared" si="313"/>
        <v>H1849</v>
      </c>
      <c r="S1849" s="494" t="s">
        <v>1734</v>
      </c>
      <c r="T1849" s="494">
        <v>7</v>
      </c>
      <c r="U1849" s="556" t="str">
        <f t="shared" ca="1" si="307"/>
        <v/>
      </c>
      <c r="V1849" s="494">
        <v>8</v>
      </c>
      <c r="W1849" s="556" t="str">
        <f t="shared" ca="1" si="308"/>
        <v/>
      </c>
      <c r="X1849" s="557"/>
      <c r="Y1849" s="958"/>
      <c r="Z1849" s="958"/>
      <c r="AA1849" s="958"/>
      <c r="AB1849" s="958" t="s">
        <v>1735</v>
      </c>
      <c r="AC1849" s="547" t="str">
        <f t="shared" ca="1" si="314"/>
        <v/>
      </c>
      <c r="AD1849" s="494" t="s">
        <v>1736</v>
      </c>
      <c r="AE1849" s="547" t="str">
        <f t="shared" ca="1" si="312"/>
        <v/>
      </c>
    </row>
    <row r="1850" spans="1:31" ht="15" customHeight="1">
      <c r="A1850" s="957">
        <v>58</v>
      </c>
      <c r="B1850" s="566" t="s">
        <v>799</v>
      </c>
      <c r="C1850" s="567" t="s">
        <v>1730</v>
      </c>
      <c r="D1850" s="958">
        <v>1</v>
      </c>
      <c r="E1850" s="959" t="s">
        <v>353</v>
      </c>
      <c r="F1850" s="558" t="s">
        <v>1486</v>
      </c>
      <c r="G1850" s="558">
        <v>686</v>
      </c>
      <c r="H1850" s="558" t="s">
        <v>890</v>
      </c>
      <c r="I1850" s="559" t="s">
        <v>891</v>
      </c>
      <c r="J1850" s="567" t="s">
        <v>1731</v>
      </c>
      <c r="K1850" s="961" t="s">
        <v>1373</v>
      </c>
      <c r="L1850" s="555" t="str">
        <f t="shared" ca="1" si="309"/>
        <v/>
      </c>
      <c r="M1850" s="494" t="s">
        <v>1609</v>
      </c>
      <c r="N1850" s="555" t="str">
        <f t="shared" ca="1" si="310"/>
        <v/>
      </c>
      <c r="O1850" s="494" t="s">
        <v>1732</v>
      </c>
      <c r="P1850" s="555" t="str">
        <f t="shared" ca="1" si="311"/>
        <v/>
      </c>
      <c r="Q1850" s="494" t="s">
        <v>1733</v>
      </c>
      <c r="R1850" s="494" t="str">
        <f>CONCATENATE("H",ROW(J1850))</f>
        <v>H1850</v>
      </c>
      <c r="S1850" s="494" t="s">
        <v>1734</v>
      </c>
      <c r="T1850" s="494">
        <v>7</v>
      </c>
      <c r="U1850" s="556" t="str">
        <f t="shared" ca="1" si="307"/>
        <v/>
      </c>
      <c r="V1850" s="494">
        <v>8</v>
      </c>
      <c r="W1850" s="556" t="str">
        <f t="shared" ca="1" si="308"/>
        <v/>
      </c>
      <c r="X1850" s="557"/>
      <c r="Y1850" s="958"/>
      <c r="Z1850" s="958"/>
      <c r="AA1850" s="958"/>
      <c r="AB1850" s="958" t="s">
        <v>1735</v>
      </c>
      <c r="AC1850" s="547" t="str">
        <f ca="1">IF(AND(INDIRECT(CONCATENATE($J1854,$K1854,"5"))=$B1854,ISBLANK(INDIRECT(CONCATENATE($J1854,AB1850)))=FALSE),INDIRECT(CONCATENATE($J1854,AB1850)),"")</f>
        <v/>
      </c>
      <c r="AD1850" s="494" t="s">
        <v>1736</v>
      </c>
      <c r="AE1850" s="547" t="str">
        <f t="shared" ca="1" si="312"/>
        <v/>
      </c>
    </row>
    <row r="1851" spans="1:31" ht="15" customHeight="1">
      <c r="A1851" s="957">
        <v>58</v>
      </c>
      <c r="B1851" s="566" t="s">
        <v>799</v>
      </c>
      <c r="C1851" s="567" t="s">
        <v>1730</v>
      </c>
      <c r="D1851" s="958">
        <v>1</v>
      </c>
      <c r="E1851" s="959" t="s">
        <v>353</v>
      </c>
      <c r="F1851" s="558" t="s">
        <v>1486</v>
      </c>
      <c r="G1851" s="558">
        <v>686</v>
      </c>
      <c r="H1851" s="558" t="s">
        <v>892</v>
      </c>
      <c r="I1851" s="559" t="s">
        <v>1738</v>
      </c>
      <c r="J1851" s="567" t="s">
        <v>1731</v>
      </c>
      <c r="K1851" s="961" t="s">
        <v>1373</v>
      </c>
      <c r="L1851" s="555" t="str">
        <f t="shared" ca="1" si="309"/>
        <v/>
      </c>
      <c r="M1851" s="494" t="s">
        <v>1609</v>
      </c>
      <c r="N1851" s="555" t="str">
        <f t="shared" ca="1" si="310"/>
        <v/>
      </c>
      <c r="O1851" s="494" t="s">
        <v>1732</v>
      </c>
      <c r="P1851" s="555" t="str">
        <f t="shared" ca="1" si="311"/>
        <v/>
      </c>
      <c r="Q1851" s="494" t="s">
        <v>1733</v>
      </c>
      <c r="R1851" s="494" t="str">
        <f>CONCATENATE("H",ROW(J1851))</f>
        <v>H1851</v>
      </c>
      <c r="S1851" s="494" t="s">
        <v>1734</v>
      </c>
      <c r="T1851" s="494">
        <v>7</v>
      </c>
      <c r="U1851" s="556" t="str">
        <f t="shared" ca="1" si="307"/>
        <v/>
      </c>
      <c r="V1851" s="494">
        <v>8</v>
      </c>
      <c r="W1851" s="556" t="str">
        <f t="shared" ca="1" si="308"/>
        <v/>
      </c>
      <c r="X1851" s="557"/>
      <c r="Y1851" s="958"/>
      <c r="Z1851" s="958"/>
      <c r="AA1851" s="958"/>
      <c r="AB1851" s="958" t="s">
        <v>1735</v>
      </c>
      <c r="AC1851" s="547" t="str">
        <f ca="1">IF(AND(INDIRECT(CONCATENATE($J1855,$K1855,"5"))=$B1855,ISBLANK(INDIRECT(CONCATENATE($J1855,AB1851)))=FALSE),INDIRECT(CONCATENATE($J1855,AB1851)),"")</f>
        <v/>
      </c>
      <c r="AD1851" s="494" t="s">
        <v>1736</v>
      </c>
      <c r="AE1851" s="547" t="str">
        <f t="shared" ca="1" si="312"/>
        <v/>
      </c>
    </row>
    <row r="1852" spans="1:31" ht="15" customHeight="1">
      <c r="A1852" s="957">
        <v>58</v>
      </c>
      <c r="B1852" s="566" t="s">
        <v>799</v>
      </c>
      <c r="C1852" s="567" t="s">
        <v>1730</v>
      </c>
      <c r="D1852" s="958">
        <v>1</v>
      </c>
      <c r="E1852" s="959" t="s">
        <v>353</v>
      </c>
      <c r="F1852" s="558" t="s">
        <v>1486</v>
      </c>
      <c r="G1852" s="558">
        <v>686</v>
      </c>
      <c r="H1852" s="558" t="s">
        <v>894</v>
      </c>
      <c r="I1852" s="559" t="s">
        <v>1739</v>
      </c>
      <c r="J1852" s="567" t="s">
        <v>1731</v>
      </c>
      <c r="K1852" s="961" t="s">
        <v>1373</v>
      </c>
      <c r="L1852" s="555" t="str">
        <f t="shared" ca="1" si="309"/>
        <v/>
      </c>
      <c r="M1852" s="494" t="s">
        <v>1609</v>
      </c>
      <c r="N1852" s="555" t="str">
        <f t="shared" ca="1" si="310"/>
        <v/>
      </c>
      <c r="O1852" s="494" t="s">
        <v>1732</v>
      </c>
      <c r="P1852" s="555" t="str">
        <f t="shared" ca="1" si="311"/>
        <v/>
      </c>
      <c r="Q1852" s="494" t="s">
        <v>1733</v>
      </c>
      <c r="R1852" s="494" t="str">
        <f>CONCATENATE("H",ROW(J1852))</f>
        <v>H1852</v>
      </c>
      <c r="S1852" s="494" t="s">
        <v>1734</v>
      </c>
      <c r="T1852" s="494">
        <v>7</v>
      </c>
      <c r="U1852" s="556" t="str">
        <f t="shared" ca="1" si="307"/>
        <v/>
      </c>
      <c r="V1852" s="494">
        <v>8</v>
      </c>
      <c r="W1852" s="556" t="str">
        <f t="shared" ca="1" si="308"/>
        <v/>
      </c>
      <c r="X1852" s="557"/>
      <c r="Y1852" s="958"/>
      <c r="Z1852" s="958"/>
      <c r="AA1852" s="958"/>
      <c r="AB1852" s="958" t="s">
        <v>1735</v>
      </c>
      <c r="AC1852" s="547" t="str">
        <f ca="1">IF(AND(INDIRECT(CONCATENATE($J1850,$K1850,"5"))=$B1850,ISBLANK(INDIRECT(CONCATENATE($J1850,AB1852)))=FALSE),INDIRECT(CONCATENATE($J1850,AB1852)),"")</f>
        <v/>
      </c>
      <c r="AD1852" s="494" t="s">
        <v>1736</v>
      </c>
      <c r="AE1852" s="547" t="str">
        <f t="shared" ca="1" si="312"/>
        <v/>
      </c>
    </row>
    <row r="1853" spans="1:31" ht="15" customHeight="1">
      <c r="A1853" s="957">
        <v>58</v>
      </c>
      <c r="B1853" s="566" t="s">
        <v>799</v>
      </c>
      <c r="C1853" s="567" t="s">
        <v>1730</v>
      </c>
      <c r="D1853" s="958">
        <v>1</v>
      </c>
      <c r="E1853" s="959" t="s">
        <v>353</v>
      </c>
      <c r="F1853" s="558" t="s">
        <v>1486</v>
      </c>
      <c r="G1853" s="558">
        <v>686</v>
      </c>
      <c r="H1853" s="558" t="s">
        <v>896</v>
      </c>
      <c r="I1853" s="559" t="s">
        <v>1740</v>
      </c>
      <c r="J1853" s="567" t="s">
        <v>1731</v>
      </c>
      <c r="K1853" s="961" t="s">
        <v>1373</v>
      </c>
      <c r="L1853" s="555" t="str">
        <f t="shared" ca="1" si="309"/>
        <v/>
      </c>
      <c r="M1853" s="494" t="s">
        <v>1609</v>
      </c>
      <c r="N1853" s="555" t="str">
        <f t="shared" ca="1" si="310"/>
        <v/>
      </c>
      <c r="O1853" s="494" t="s">
        <v>1732</v>
      </c>
      <c r="P1853" s="555" t="str">
        <f t="shared" ca="1" si="311"/>
        <v/>
      </c>
      <c r="Q1853" s="494" t="s">
        <v>1733</v>
      </c>
      <c r="R1853" s="494" t="str">
        <f>CONCATENATE("H",ROW(J1853))</f>
        <v>H1853</v>
      </c>
      <c r="S1853" s="494" t="s">
        <v>1734</v>
      </c>
      <c r="T1853" s="494">
        <v>7</v>
      </c>
      <c r="U1853" s="556" t="str">
        <f t="shared" ca="1" si="307"/>
        <v/>
      </c>
      <c r="V1853" s="494">
        <v>8</v>
      </c>
      <c r="W1853" s="556" t="str">
        <f t="shared" ca="1" si="308"/>
        <v/>
      </c>
      <c r="X1853" s="557"/>
      <c r="Y1853" s="958"/>
      <c r="Z1853" s="958"/>
      <c r="AA1853" s="958"/>
      <c r="AB1853" s="958" t="s">
        <v>1735</v>
      </c>
      <c r="AC1853" s="547" t="str">
        <f ca="1">IF(AND(INDIRECT(CONCATENATE($J1851,$K1851,"5"))=$B1851,ISBLANK(INDIRECT(CONCATENATE($J1851,AB1853)))=FALSE),INDIRECT(CONCATENATE($J1851,AB1853)),"")</f>
        <v/>
      </c>
      <c r="AD1853" s="494" t="s">
        <v>1736</v>
      </c>
      <c r="AE1853" s="547" t="str">
        <f t="shared" ca="1" si="312"/>
        <v/>
      </c>
    </row>
    <row r="1854" spans="1:31" ht="15" customHeight="1">
      <c r="A1854" s="957">
        <v>58</v>
      </c>
      <c r="B1854" s="566" t="s">
        <v>799</v>
      </c>
      <c r="C1854" s="567" t="s">
        <v>1730</v>
      </c>
      <c r="D1854" s="958">
        <v>1</v>
      </c>
      <c r="E1854" s="959" t="s">
        <v>353</v>
      </c>
      <c r="F1854" s="558" t="s">
        <v>1486</v>
      </c>
      <c r="G1854" s="558">
        <v>690</v>
      </c>
      <c r="H1854" s="558">
        <v>20.100000000000001</v>
      </c>
      <c r="I1854" s="559" t="s">
        <v>900</v>
      </c>
      <c r="J1854" s="567" t="s">
        <v>1731</v>
      </c>
      <c r="K1854" s="961" t="s">
        <v>1373</v>
      </c>
      <c r="L1854" s="555" t="str">
        <f t="shared" ca="1" si="309"/>
        <v/>
      </c>
      <c r="M1854" s="494" t="s">
        <v>1609</v>
      </c>
      <c r="N1854" s="555" t="str">
        <f t="shared" ca="1" si="310"/>
        <v/>
      </c>
      <c r="O1854" s="494" t="s">
        <v>1732</v>
      </c>
      <c r="P1854" s="555" t="str">
        <f t="shared" ca="1" si="311"/>
        <v/>
      </c>
      <c r="Q1854" s="494" t="s">
        <v>1733</v>
      </c>
      <c r="R1854" s="494" t="str">
        <f t="shared" si="313"/>
        <v>H1854</v>
      </c>
      <c r="S1854" s="494" t="s">
        <v>1734</v>
      </c>
      <c r="T1854" s="494">
        <v>7</v>
      </c>
      <c r="U1854" s="556" t="str">
        <f t="shared" ca="1" si="307"/>
        <v/>
      </c>
      <c r="V1854" s="494">
        <v>8</v>
      </c>
      <c r="W1854" s="556" t="str">
        <f t="shared" ca="1" si="308"/>
        <v/>
      </c>
      <c r="X1854" s="557"/>
      <c r="Y1854" s="958"/>
      <c r="Z1854" s="958"/>
      <c r="AA1854" s="958"/>
      <c r="AB1854" s="958" t="s">
        <v>1735</v>
      </c>
      <c r="AC1854" s="547" t="str">
        <f ca="1">IF(AND(INDIRECT(CONCATENATE($J1852,$K1852,"5"))=$B1852,ISBLANK(INDIRECT(CONCATENATE($J1852,AB1854)))=FALSE),INDIRECT(CONCATENATE($J1852,AB1854)),"")</f>
        <v/>
      </c>
      <c r="AD1854" s="494" t="s">
        <v>1736</v>
      </c>
      <c r="AE1854" s="547" t="str">
        <f t="shared" ca="1" si="312"/>
        <v/>
      </c>
    </row>
    <row r="1855" spans="1:31" ht="15" customHeight="1">
      <c r="A1855" s="957">
        <v>58</v>
      </c>
      <c r="B1855" s="566" t="s">
        <v>799</v>
      </c>
      <c r="C1855" s="567" t="s">
        <v>1730</v>
      </c>
      <c r="D1855" s="958">
        <v>1</v>
      </c>
      <c r="E1855" s="959" t="s">
        <v>353</v>
      </c>
      <c r="F1855" s="558" t="s">
        <v>1486</v>
      </c>
      <c r="G1855" s="558">
        <v>691</v>
      </c>
      <c r="H1855" s="558">
        <v>20.2</v>
      </c>
      <c r="I1855" s="559" t="s">
        <v>901</v>
      </c>
      <c r="J1855" s="567" t="s">
        <v>1731</v>
      </c>
      <c r="K1855" s="961" t="s">
        <v>1373</v>
      </c>
      <c r="L1855" s="555" t="str">
        <f t="shared" ca="1" si="309"/>
        <v/>
      </c>
      <c r="M1855" s="494" t="s">
        <v>1609</v>
      </c>
      <c r="N1855" s="555" t="str">
        <f t="shared" ca="1" si="310"/>
        <v/>
      </c>
      <c r="O1855" s="494" t="s">
        <v>1732</v>
      </c>
      <c r="P1855" s="555" t="str">
        <f t="shared" ca="1" si="311"/>
        <v/>
      </c>
      <c r="Q1855" s="494" t="s">
        <v>1733</v>
      </c>
      <c r="R1855" s="494" t="str">
        <f t="shared" si="313"/>
        <v>H1855</v>
      </c>
      <c r="S1855" s="494" t="s">
        <v>1734</v>
      </c>
      <c r="T1855" s="494">
        <v>7</v>
      </c>
      <c r="U1855" s="556" t="str">
        <f t="shared" ref="U1855:U1918" ca="1" si="315">IF(AND($B1855=INDIRECT(CONCATENATE($J1855,$K1855,5)),ISBLANK(INDEX(INDIRECT(CONCATENATE($J1855,$Q1855)),MATCH(INDIRECT($R1855),INDIRECT(CONCATENATE($J1855,$S1855)),0),T1855))=FALSE),INDEX(INDIRECT(CONCATENATE($J1855,$Q1855)),MATCH(INDIRECT($R1855),INDIRECT(CONCATENATE($J1855,$S1855)),0),T1855),"")</f>
        <v/>
      </c>
      <c r="V1855" s="494">
        <v>8</v>
      </c>
      <c r="W1855" s="556" t="str">
        <f t="shared" ref="W1855:W1918" ca="1" si="316">IF(AND($B1855=INDIRECT(CONCATENATE($J1855,$K1855,5)),ISBLANK(INDEX(INDIRECT(CONCATENATE($J1855,$Q1855)),MATCH(INDIRECT($R1855),INDIRECT(CONCATENATE($J1855,$S1855)),0),V1855))=FALSE),INDEX(INDIRECT(CONCATENATE($J1855,$Q1855)),MATCH(INDIRECT($R1855),INDIRECT(CONCATENATE($J1855,$S1855)),0),V1855),"")</f>
        <v/>
      </c>
      <c r="X1855" s="557"/>
      <c r="Y1855" s="958"/>
      <c r="Z1855" s="958"/>
      <c r="AA1855" s="958"/>
      <c r="AB1855" s="958" t="s">
        <v>1735</v>
      </c>
      <c r="AC1855" s="547" t="str">
        <f ca="1">IF(AND(INDIRECT(CONCATENATE($J1853,$K1853,"5"))=$B1853,ISBLANK(INDIRECT(CONCATENATE($J1853,AB1855)))=FALSE),INDIRECT(CONCATENATE($J1853,AB1855)),"")</f>
        <v/>
      </c>
      <c r="AD1855" s="494" t="s">
        <v>1736</v>
      </c>
      <c r="AE1855" s="547" t="str">
        <f t="shared" ca="1" si="312"/>
        <v/>
      </c>
    </row>
    <row r="1856" spans="1:31" ht="15" customHeight="1">
      <c r="A1856" s="957">
        <v>58</v>
      </c>
      <c r="B1856" s="566" t="s">
        <v>799</v>
      </c>
      <c r="C1856" s="567" t="s">
        <v>1730</v>
      </c>
      <c r="D1856" s="958">
        <v>1</v>
      </c>
      <c r="E1856" s="959" t="s">
        <v>367</v>
      </c>
      <c r="F1856" s="558" t="s">
        <v>1488</v>
      </c>
      <c r="G1856" s="558">
        <v>692</v>
      </c>
      <c r="H1856" s="558">
        <v>21.1</v>
      </c>
      <c r="I1856" s="559" t="s">
        <v>904</v>
      </c>
      <c r="J1856" s="567" t="s">
        <v>1731</v>
      </c>
      <c r="K1856" s="961" t="s">
        <v>1373</v>
      </c>
      <c r="L1856" s="555" t="str">
        <f t="shared" ca="1" si="309"/>
        <v/>
      </c>
      <c r="M1856" s="494" t="s">
        <v>1609</v>
      </c>
      <c r="N1856" s="555" t="str">
        <f t="shared" ca="1" si="310"/>
        <v/>
      </c>
      <c r="O1856" s="494" t="s">
        <v>1732</v>
      </c>
      <c r="P1856" s="555" t="str">
        <f t="shared" ca="1" si="311"/>
        <v/>
      </c>
      <c r="Q1856" s="494" t="s">
        <v>1733</v>
      </c>
      <c r="R1856" s="494" t="str">
        <f t="shared" si="313"/>
        <v>H1856</v>
      </c>
      <c r="S1856" s="494" t="s">
        <v>1734</v>
      </c>
      <c r="T1856" s="494">
        <v>7</v>
      </c>
      <c r="U1856" s="556" t="str">
        <f t="shared" ca="1" si="315"/>
        <v/>
      </c>
      <c r="V1856" s="494">
        <v>8</v>
      </c>
      <c r="W1856" s="556" t="str">
        <f t="shared" ca="1" si="316"/>
        <v/>
      </c>
      <c r="X1856" s="557"/>
      <c r="Y1856" s="958"/>
      <c r="Z1856" s="958"/>
      <c r="AA1856" s="958"/>
      <c r="AB1856" s="958" t="s">
        <v>1735</v>
      </c>
      <c r="AC1856" s="547" t="str">
        <f t="shared" ref="AC1856:AC1903" ca="1" si="317">IF(AND(INDIRECT(CONCATENATE($J1856,$K1856,"5"))=$B1856,ISBLANK(INDIRECT(CONCATENATE($J1856,AB1856)))=FALSE),INDIRECT(CONCATENATE($J1856,AB1856)),"")</f>
        <v/>
      </c>
      <c r="AD1856" s="494" t="s">
        <v>1736</v>
      </c>
      <c r="AE1856" s="547" t="str">
        <f t="shared" ca="1" si="312"/>
        <v/>
      </c>
    </row>
    <row r="1857" spans="1:31" ht="15" customHeight="1">
      <c r="A1857" s="957">
        <v>58</v>
      </c>
      <c r="B1857" s="566" t="s">
        <v>799</v>
      </c>
      <c r="C1857" s="567" t="s">
        <v>1730</v>
      </c>
      <c r="D1857" s="958">
        <v>1</v>
      </c>
      <c r="E1857" s="959" t="s">
        <v>367</v>
      </c>
      <c r="F1857" s="558" t="s">
        <v>1488</v>
      </c>
      <c r="G1857" s="558">
        <v>693</v>
      </c>
      <c r="H1857" s="558">
        <v>21.2</v>
      </c>
      <c r="I1857" s="559" t="s">
        <v>905</v>
      </c>
      <c r="J1857" s="567" t="s">
        <v>1731</v>
      </c>
      <c r="K1857" s="961" t="s">
        <v>1373</v>
      </c>
      <c r="L1857" s="555" t="str">
        <f t="shared" ca="1" si="309"/>
        <v/>
      </c>
      <c r="M1857" s="494" t="s">
        <v>1609</v>
      </c>
      <c r="N1857" s="555" t="str">
        <f t="shared" ca="1" si="310"/>
        <v/>
      </c>
      <c r="O1857" s="494" t="s">
        <v>1732</v>
      </c>
      <c r="P1857" s="555" t="str">
        <f t="shared" ca="1" si="311"/>
        <v/>
      </c>
      <c r="Q1857" s="494" t="s">
        <v>1733</v>
      </c>
      <c r="R1857" s="494" t="str">
        <f t="shared" si="313"/>
        <v>H1857</v>
      </c>
      <c r="S1857" s="494" t="s">
        <v>1734</v>
      </c>
      <c r="T1857" s="494">
        <v>7</v>
      </c>
      <c r="U1857" s="556" t="str">
        <f t="shared" ca="1" si="315"/>
        <v/>
      </c>
      <c r="V1857" s="494">
        <v>8</v>
      </c>
      <c r="W1857" s="556" t="str">
        <f t="shared" ca="1" si="316"/>
        <v/>
      </c>
      <c r="X1857" s="557"/>
      <c r="Y1857" s="958"/>
      <c r="Z1857" s="958"/>
      <c r="AA1857" s="958"/>
      <c r="AB1857" s="958" t="s">
        <v>1735</v>
      </c>
      <c r="AC1857" s="547" t="str">
        <f t="shared" ca="1" si="317"/>
        <v/>
      </c>
      <c r="AD1857" s="494" t="s">
        <v>1736</v>
      </c>
      <c r="AE1857" s="547" t="str">
        <f t="shared" ca="1" si="312"/>
        <v/>
      </c>
    </row>
    <row r="1858" spans="1:31" ht="15" customHeight="1">
      <c r="A1858" s="957">
        <v>58</v>
      </c>
      <c r="B1858" s="566" t="s">
        <v>799</v>
      </c>
      <c r="C1858" s="567" t="s">
        <v>1730</v>
      </c>
      <c r="D1858" s="958">
        <v>1</v>
      </c>
      <c r="E1858" s="959" t="s">
        <v>367</v>
      </c>
      <c r="F1858" s="558" t="s">
        <v>1488</v>
      </c>
      <c r="G1858" s="558">
        <v>694</v>
      </c>
      <c r="H1858" s="558">
        <v>21.3</v>
      </c>
      <c r="I1858" s="559" t="s">
        <v>906</v>
      </c>
      <c r="J1858" s="567" t="s">
        <v>1731</v>
      </c>
      <c r="K1858" s="961" t="s">
        <v>1373</v>
      </c>
      <c r="L1858" s="555" t="str">
        <f t="shared" ref="L1858:L1921" ca="1" si="318">IF(AND(INDIRECT(CONCATENATE($J1858,$K1858,5))=$B1858,ISNUMBER(SEARCH("Please",INDIRECT(CONCATENATE($J1858,$K1858,2)),1))=FALSE),SUMPRODUCT(MID(0&amp;INDIRECT(CONCATENATE($J1858,$K1858,2)), LARGE(INDEX(ISNUMBER(--MID(INDIRECT(CONCATENATE($J1858,$K1858,2)), ROW(INDIRECT("1:"&amp;LEN(INDIRECT(CONCATENATE($J1858,$K1858,2))))),1))*ROW(INDIRECT("1:"&amp;LEN(INDIRECT(CONCATENATE($J1858,$K1858,2))))),0), ROW(INDIRECT("1:"&amp;LEN(INDIRECT(CONCATENATE($J1858,$K1858,2))))))+1,1)*10^ROW(INDIRECT("1:"&amp;LEN(INDIRECT(CONCATENATE($J1858,$K1858,2)))))/10),"")</f>
        <v/>
      </c>
      <c r="M1858" s="494" t="s">
        <v>1609</v>
      </c>
      <c r="N1858" s="555" t="str">
        <f t="shared" ca="1" si="310"/>
        <v/>
      </c>
      <c r="O1858" s="494" t="s">
        <v>1732</v>
      </c>
      <c r="P1858" s="555" t="str">
        <f t="shared" ca="1" si="311"/>
        <v/>
      </c>
      <c r="Q1858" s="494" t="s">
        <v>1733</v>
      </c>
      <c r="R1858" s="494" t="str">
        <f t="shared" si="313"/>
        <v>H1858</v>
      </c>
      <c r="S1858" s="494" t="s">
        <v>1734</v>
      </c>
      <c r="T1858" s="494">
        <v>7</v>
      </c>
      <c r="U1858" s="556" t="str">
        <f t="shared" ca="1" si="315"/>
        <v/>
      </c>
      <c r="V1858" s="494">
        <v>8</v>
      </c>
      <c r="W1858" s="556" t="str">
        <f t="shared" ca="1" si="316"/>
        <v/>
      </c>
      <c r="X1858" s="557"/>
      <c r="Y1858" s="958"/>
      <c r="Z1858" s="958"/>
      <c r="AA1858" s="958"/>
      <c r="AB1858" s="958" t="s">
        <v>1735</v>
      </c>
      <c r="AC1858" s="547" t="str">
        <f t="shared" ca="1" si="317"/>
        <v/>
      </c>
      <c r="AD1858" s="494" t="s">
        <v>1736</v>
      </c>
      <c r="AE1858" s="547" t="str">
        <f t="shared" ca="1" si="312"/>
        <v/>
      </c>
    </row>
    <row r="1859" spans="1:31" ht="15" customHeight="1">
      <c r="A1859" s="957">
        <v>58</v>
      </c>
      <c r="B1859" s="566" t="s">
        <v>799</v>
      </c>
      <c r="C1859" s="567" t="s">
        <v>1730</v>
      </c>
      <c r="D1859" s="958">
        <v>1</v>
      </c>
      <c r="E1859" s="959" t="s">
        <v>367</v>
      </c>
      <c r="F1859" s="558" t="s">
        <v>1488</v>
      </c>
      <c r="G1859" s="558">
        <v>695</v>
      </c>
      <c r="H1859" s="558">
        <v>22.1</v>
      </c>
      <c r="I1859" s="559" t="s">
        <v>909</v>
      </c>
      <c r="J1859" s="567" t="s">
        <v>1731</v>
      </c>
      <c r="K1859" s="961" t="s">
        <v>1373</v>
      </c>
      <c r="L1859" s="555" t="str">
        <f t="shared" ca="1" si="318"/>
        <v/>
      </c>
      <c r="M1859" s="494" t="s">
        <v>1609</v>
      </c>
      <c r="N1859" s="555" t="str">
        <f t="shared" ca="1" si="310"/>
        <v/>
      </c>
      <c r="O1859" s="494" t="s">
        <v>1732</v>
      </c>
      <c r="P1859" s="555" t="str">
        <f t="shared" ca="1" si="311"/>
        <v/>
      </c>
      <c r="Q1859" s="494" t="s">
        <v>1733</v>
      </c>
      <c r="R1859" s="494" t="str">
        <f t="shared" si="313"/>
        <v>H1859</v>
      </c>
      <c r="S1859" s="494" t="s">
        <v>1734</v>
      </c>
      <c r="T1859" s="494">
        <v>7</v>
      </c>
      <c r="U1859" s="556" t="str">
        <f t="shared" ca="1" si="315"/>
        <v/>
      </c>
      <c r="V1859" s="494">
        <v>8</v>
      </c>
      <c r="W1859" s="556" t="str">
        <f t="shared" ca="1" si="316"/>
        <v/>
      </c>
      <c r="X1859" s="557"/>
      <c r="Y1859" s="958"/>
      <c r="Z1859" s="958"/>
      <c r="AA1859" s="958"/>
      <c r="AB1859" s="958" t="s">
        <v>1735</v>
      </c>
      <c r="AC1859" s="547" t="str">
        <f t="shared" ca="1" si="317"/>
        <v/>
      </c>
      <c r="AD1859" s="494" t="s">
        <v>1736</v>
      </c>
      <c r="AE1859" s="547" t="str">
        <f t="shared" ca="1" si="312"/>
        <v/>
      </c>
    </row>
    <row r="1860" spans="1:31" ht="15" customHeight="1">
      <c r="A1860" s="957">
        <v>58</v>
      </c>
      <c r="B1860" s="566" t="s">
        <v>799</v>
      </c>
      <c r="C1860" s="567" t="s">
        <v>1730</v>
      </c>
      <c r="D1860" s="958">
        <v>1</v>
      </c>
      <c r="E1860" s="959" t="s">
        <v>367</v>
      </c>
      <c r="F1860" s="558" t="s">
        <v>1488</v>
      </c>
      <c r="G1860" s="558">
        <v>696</v>
      </c>
      <c r="H1860" s="558">
        <v>22.2</v>
      </c>
      <c r="I1860" s="559" t="s">
        <v>910</v>
      </c>
      <c r="J1860" s="567" t="s">
        <v>1731</v>
      </c>
      <c r="K1860" s="961" t="s">
        <v>1373</v>
      </c>
      <c r="L1860" s="555" t="str">
        <f t="shared" ca="1" si="318"/>
        <v/>
      </c>
      <c r="M1860" s="494" t="s">
        <v>1609</v>
      </c>
      <c r="N1860" s="555" t="str">
        <f t="shared" ca="1" si="310"/>
        <v/>
      </c>
      <c r="O1860" s="494" t="s">
        <v>1732</v>
      </c>
      <c r="P1860" s="555" t="str">
        <f t="shared" ca="1" si="311"/>
        <v/>
      </c>
      <c r="Q1860" s="494" t="s">
        <v>1733</v>
      </c>
      <c r="R1860" s="494" t="str">
        <f t="shared" si="313"/>
        <v>H1860</v>
      </c>
      <c r="S1860" s="494" t="s">
        <v>1734</v>
      </c>
      <c r="T1860" s="494">
        <v>7</v>
      </c>
      <c r="U1860" s="556" t="str">
        <f t="shared" ca="1" si="315"/>
        <v/>
      </c>
      <c r="V1860" s="494">
        <v>8</v>
      </c>
      <c r="W1860" s="556" t="str">
        <f t="shared" ca="1" si="316"/>
        <v/>
      </c>
      <c r="X1860" s="557"/>
      <c r="Y1860" s="958"/>
      <c r="Z1860" s="958"/>
      <c r="AA1860" s="958"/>
      <c r="AB1860" s="958" t="s">
        <v>1735</v>
      </c>
      <c r="AC1860" s="547" t="str">
        <f t="shared" ca="1" si="317"/>
        <v/>
      </c>
      <c r="AD1860" s="494" t="s">
        <v>1736</v>
      </c>
      <c r="AE1860" s="547" t="str">
        <f t="shared" ca="1" si="312"/>
        <v/>
      </c>
    </row>
    <row r="1861" spans="1:31" ht="15" customHeight="1">
      <c r="A1861" s="957">
        <v>58</v>
      </c>
      <c r="B1861" s="566" t="s">
        <v>799</v>
      </c>
      <c r="C1861" s="567" t="s">
        <v>1730</v>
      </c>
      <c r="D1861" s="958">
        <v>1</v>
      </c>
      <c r="E1861" s="959" t="s">
        <v>367</v>
      </c>
      <c r="F1861" s="558" t="s">
        <v>1488</v>
      </c>
      <c r="G1861" s="558">
        <v>697</v>
      </c>
      <c r="H1861" s="558">
        <v>23.1</v>
      </c>
      <c r="I1861" s="559" t="s">
        <v>913</v>
      </c>
      <c r="J1861" s="567" t="s">
        <v>1731</v>
      </c>
      <c r="K1861" s="961" t="s">
        <v>1373</v>
      </c>
      <c r="L1861" s="555" t="str">
        <f t="shared" ca="1" si="318"/>
        <v/>
      </c>
      <c r="M1861" s="494" t="s">
        <v>1609</v>
      </c>
      <c r="N1861" s="555" t="str">
        <f t="shared" ref="N1861:N1924" ca="1" si="319">IF(AND(INDIRECT(CONCATENATE($J1861,$K1861,5))=$B1861,ISNUMBER(SEARCH("Select",INDIRECT(CONCATENATE($J1861,$M1861,7)),1))=FALSE),INDIRECT(CONCATENATE($J1861,$M1861,7)),"")</f>
        <v/>
      </c>
      <c r="O1861" s="494" t="s">
        <v>1732</v>
      </c>
      <c r="P1861" s="555" t="str">
        <f t="shared" ref="P1861:P1924" ca="1" si="320">IF(AND(INDIRECT(CONCATENATE($J1861,$K1861,5))=$B1861,ISNUMBER(SEARCH("Select",INDIRECT(CONCATENATE($J1861,$O1861,7)),1))=FALSE),INDIRECT(CONCATENATE($J1861,$O1861,7)),"")</f>
        <v/>
      </c>
      <c r="Q1861" s="494" t="s">
        <v>1733</v>
      </c>
      <c r="R1861" s="494" t="str">
        <f t="shared" si="313"/>
        <v>H1861</v>
      </c>
      <c r="S1861" s="494" t="s">
        <v>1734</v>
      </c>
      <c r="T1861" s="494">
        <v>7</v>
      </c>
      <c r="U1861" s="556" t="str">
        <f t="shared" ca="1" si="315"/>
        <v/>
      </c>
      <c r="V1861" s="494">
        <v>8</v>
      </c>
      <c r="W1861" s="556" t="str">
        <f t="shared" ca="1" si="316"/>
        <v/>
      </c>
      <c r="X1861" s="557"/>
      <c r="Y1861" s="958"/>
      <c r="Z1861" s="958"/>
      <c r="AA1861" s="958"/>
      <c r="AB1861" s="958" t="s">
        <v>1735</v>
      </c>
      <c r="AC1861" s="547" t="str">
        <f t="shared" ca="1" si="317"/>
        <v/>
      </c>
      <c r="AD1861" s="494" t="s">
        <v>1736</v>
      </c>
      <c r="AE1861" s="547" t="str">
        <f t="shared" ref="AE1861:AE1924" ca="1" si="321">IF(AND(INDIRECT(CONCATENATE($J1861,$K1861,"5"))=$B1861,ISBLANK(INDIRECT(CONCATENATE($J1861,AD1861)))=FALSE),INDIRECT(CONCATENATE($J1861,AD1861)),"")</f>
        <v/>
      </c>
    </row>
    <row r="1862" spans="1:31" ht="15" customHeight="1">
      <c r="A1862" s="957">
        <v>58</v>
      </c>
      <c r="B1862" s="566" t="s">
        <v>799</v>
      </c>
      <c r="C1862" s="567" t="s">
        <v>1730</v>
      </c>
      <c r="D1862" s="958">
        <v>1</v>
      </c>
      <c r="E1862" s="959" t="s">
        <v>367</v>
      </c>
      <c r="F1862" s="558" t="s">
        <v>1488</v>
      </c>
      <c r="G1862" s="558">
        <v>698</v>
      </c>
      <c r="H1862" s="558">
        <v>23.2</v>
      </c>
      <c r="I1862" s="559" t="s">
        <v>1741</v>
      </c>
      <c r="J1862" s="567" t="s">
        <v>1731</v>
      </c>
      <c r="K1862" s="961" t="s">
        <v>1373</v>
      </c>
      <c r="L1862" s="555" t="str">
        <f t="shared" ca="1" si="318"/>
        <v/>
      </c>
      <c r="M1862" s="494" t="s">
        <v>1609</v>
      </c>
      <c r="N1862" s="555" t="str">
        <f t="shared" ca="1" si="319"/>
        <v/>
      </c>
      <c r="O1862" s="494" t="s">
        <v>1732</v>
      </c>
      <c r="P1862" s="555" t="str">
        <f t="shared" ca="1" si="320"/>
        <v/>
      </c>
      <c r="Q1862" s="494" t="s">
        <v>1733</v>
      </c>
      <c r="R1862" s="494" t="str">
        <f t="shared" si="313"/>
        <v>H1862</v>
      </c>
      <c r="S1862" s="494" t="s">
        <v>1734</v>
      </c>
      <c r="T1862" s="494">
        <v>7</v>
      </c>
      <c r="U1862" s="556" t="str">
        <f t="shared" ca="1" si="315"/>
        <v/>
      </c>
      <c r="V1862" s="494">
        <v>8</v>
      </c>
      <c r="W1862" s="556" t="str">
        <f t="shared" ca="1" si="316"/>
        <v/>
      </c>
      <c r="X1862" s="557"/>
      <c r="Y1862" s="958"/>
      <c r="Z1862" s="958"/>
      <c r="AA1862" s="958"/>
      <c r="AB1862" s="958" t="s">
        <v>1735</v>
      </c>
      <c r="AC1862" s="547" t="str">
        <f t="shared" ca="1" si="317"/>
        <v/>
      </c>
      <c r="AD1862" s="494" t="s">
        <v>1736</v>
      </c>
      <c r="AE1862" s="547" t="str">
        <f t="shared" ca="1" si="321"/>
        <v/>
      </c>
    </row>
    <row r="1863" spans="1:31" ht="15" customHeight="1">
      <c r="A1863" s="957">
        <v>58</v>
      </c>
      <c r="B1863" s="566" t="s">
        <v>799</v>
      </c>
      <c r="C1863" s="567" t="s">
        <v>1730</v>
      </c>
      <c r="D1863" s="958">
        <v>1</v>
      </c>
      <c r="E1863" s="959" t="s">
        <v>396</v>
      </c>
      <c r="F1863" s="558" t="s">
        <v>1498</v>
      </c>
      <c r="G1863" s="558">
        <v>700</v>
      </c>
      <c r="H1863" s="558">
        <v>24.1</v>
      </c>
      <c r="I1863" s="559" t="s">
        <v>916</v>
      </c>
      <c r="J1863" s="567" t="s">
        <v>1731</v>
      </c>
      <c r="K1863" s="961" t="s">
        <v>1373</v>
      </c>
      <c r="L1863" s="555" t="str">
        <f t="shared" ca="1" si="318"/>
        <v/>
      </c>
      <c r="M1863" s="494" t="s">
        <v>1609</v>
      </c>
      <c r="N1863" s="555" t="str">
        <f t="shared" ca="1" si="319"/>
        <v/>
      </c>
      <c r="O1863" s="494" t="s">
        <v>1732</v>
      </c>
      <c r="P1863" s="555" t="str">
        <f t="shared" ca="1" si="320"/>
        <v/>
      </c>
      <c r="Q1863" s="494" t="s">
        <v>1733</v>
      </c>
      <c r="R1863" s="494" t="str">
        <f t="shared" si="313"/>
        <v>H1863</v>
      </c>
      <c r="S1863" s="494" t="s">
        <v>1734</v>
      </c>
      <c r="T1863" s="494">
        <v>7</v>
      </c>
      <c r="U1863" s="556" t="str">
        <f t="shared" ca="1" si="315"/>
        <v/>
      </c>
      <c r="V1863" s="494">
        <v>8</v>
      </c>
      <c r="W1863" s="556" t="str">
        <f t="shared" ca="1" si="316"/>
        <v/>
      </c>
      <c r="X1863" s="557"/>
      <c r="Y1863" s="958"/>
      <c r="Z1863" s="958"/>
      <c r="AA1863" s="958"/>
      <c r="AB1863" s="958" t="s">
        <v>1735</v>
      </c>
      <c r="AC1863" s="547" t="str">
        <f t="shared" ca="1" si="317"/>
        <v/>
      </c>
      <c r="AD1863" s="494" t="s">
        <v>1736</v>
      </c>
      <c r="AE1863" s="547" t="str">
        <f t="shared" ca="1" si="321"/>
        <v/>
      </c>
    </row>
    <row r="1864" spans="1:31" ht="15" customHeight="1">
      <c r="A1864" s="957">
        <v>58</v>
      </c>
      <c r="B1864" s="566" t="s">
        <v>799</v>
      </c>
      <c r="C1864" s="567" t="s">
        <v>1730</v>
      </c>
      <c r="D1864" s="958">
        <v>1</v>
      </c>
      <c r="E1864" s="959" t="s">
        <v>396</v>
      </c>
      <c r="F1864" s="558" t="s">
        <v>1498</v>
      </c>
      <c r="G1864" s="558">
        <v>701</v>
      </c>
      <c r="H1864" s="558">
        <v>24.2</v>
      </c>
      <c r="I1864" s="559" t="s">
        <v>917</v>
      </c>
      <c r="J1864" s="567" t="s">
        <v>1731</v>
      </c>
      <c r="K1864" s="961" t="s">
        <v>1373</v>
      </c>
      <c r="L1864" s="555" t="str">
        <f t="shared" ca="1" si="318"/>
        <v/>
      </c>
      <c r="M1864" s="494" t="s">
        <v>1609</v>
      </c>
      <c r="N1864" s="555" t="str">
        <f t="shared" ca="1" si="319"/>
        <v/>
      </c>
      <c r="O1864" s="494" t="s">
        <v>1732</v>
      </c>
      <c r="P1864" s="555" t="str">
        <f t="shared" ca="1" si="320"/>
        <v/>
      </c>
      <c r="Q1864" s="494" t="s">
        <v>1733</v>
      </c>
      <c r="R1864" s="494" t="str">
        <f t="shared" si="313"/>
        <v>H1864</v>
      </c>
      <c r="S1864" s="494" t="s">
        <v>1734</v>
      </c>
      <c r="T1864" s="494">
        <v>7</v>
      </c>
      <c r="U1864" s="556" t="str">
        <f t="shared" ca="1" si="315"/>
        <v/>
      </c>
      <c r="V1864" s="494">
        <v>8</v>
      </c>
      <c r="W1864" s="556" t="str">
        <f t="shared" ca="1" si="316"/>
        <v/>
      </c>
      <c r="X1864" s="557"/>
      <c r="Y1864" s="958"/>
      <c r="Z1864" s="958"/>
      <c r="AA1864" s="958"/>
      <c r="AB1864" s="958" t="s">
        <v>1735</v>
      </c>
      <c r="AC1864" s="547" t="str">
        <f t="shared" ca="1" si="317"/>
        <v/>
      </c>
      <c r="AD1864" s="494" t="s">
        <v>1736</v>
      </c>
      <c r="AE1864" s="547" t="str">
        <f t="shared" ca="1" si="321"/>
        <v/>
      </c>
    </row>
    <row r="1865" spans="1:31" ht="15" customHeight="1">
      <c r="A1865" s="957">
        <v>58</v>
      </c>
      <c r="B1865" s="566" t="s">
        <v>799</v>
      </c>
      <c r="C1865" s="567" t="s">
        <v>1730</v>
      </c>
      <c r="D1865" s="958">
        <v>1</v>
      </c>
      <c r="E1865" s="959" t="s">
        <v>396</v>
      </c>
      <c r="F1865" s="558" t="s">
        <v>1498</v>
      </c>
      <c r="G1865" s="558">
        <v>702</v>
      </c>
      <c r="H1865" s="558">
        <v>25.1</v>
      </c>
      <c r="I1865" s="559" t="s">
        <v>920</v>
      </c>
      <c r="J1865" s="567" t="s">
        <v>1731</v>
      </c>
      <c r="K1865" s="961" t="s">
        <v>1373</v>
      </c>
      <c r="L1865" s="555" t="str">
        <f t="shared" ca="1" si="318"/>
        <v/>
      </c>
      <c r="M1865" s="494" t="s">
        <v>1609</v>
      </c>
      <c r="N1865" s="555" t="str">
        <f t="shared" ca="1" si="319"/>
        <v/>
      </c>
      <c r="O1865" s="494" t="s">
        <v>1732</v>
      </c>
      <c r="P1865" s="555" t="str">
        <f t="shared" ca="1" si="320"/>
        <v/>
      </c>
      <c r="Q1865" s="494" t="s">
        <v>1733</v>
      </c>
      <c r="R1865" s="494" t="str">
        <f t="shared" si="313"/>
        <v>H1865</v>
      </c>
      <c r="S1865" s="494" t="s">
        <v>1734</v>
      </c>
      <c r="T1865" s="494">
        <v>7</v>
      </c>
      <c r="U1865" s="556" t="str">
        <f t="shared" ca="1" si="315"/>
        <v/>
      </c>
      <c r="V1865" s="494">
        <v>8</v>
      </c>
      <c r="W1865" s="556" t="str">
        <f t="shared" ca="1" si="316"/>
        <v/>
      </c>
      <c r="X1865" s="557"/>
      <c r="Y1865" s="958"/>
      <c r="Z1865" s="958"/>
      <c r="AA1865" s="958"/>
      <c r="AB1865" s="958" t="s">
        <v>1735</v>
      </c>
      <c r="AC1865" s="547" t="str">
        <f t="shared" ca="1" si="317"/>
        <v/>
      </c>
      <c r="AD1865" s="494" t="s">
        <v>1736</v>
      </c>
      <c r="AE1865" s="547" t="str">
        <f t="shared" ca="1" si="321"/>
        <v/>
      </c>
    </row>
    <row r="1866" spans="1:31" ht="15" customHeight="1">
      <c r="A1866" s="957">
        <v>58</v>
      </c>
      <c r="B1866" s="566" t="s">
        <v>799</v>
      </c>
      <c r="C1866" s="567" t="s">
        <v>1730</v>
      </c>
      <c r="D1866" s="958">
        <v>1</v>
      </c>
      <c r="E1866" s="959" t="s">
        <v>396</v>
      </c>
      <c r="F1866" s="558" t="s">
        <v>1498</v>
      </c>
      <c r="G1866" s="558">
        <v>703</v>
      </c>
      <c r="H1866" s="558">
        <v>25.2</v>
      </c>
      <c r="I1866" s="559" t="s">
        <v>921</v>
      </c>
      <c r="J1866" s="567" t="s">
        <v>1731</v>
      </c>
      <c r="K1866" s="961" t="s">
        <v>1373</v>
      </c>
      <c r="L1866" s="555" t="str">
        <f t="shared" ca="1" si="318"/>
        <v/>
      </c>
      <c r="M1866" s="494" t="s">
        <v>1609</v>
      </c>
      <c r="N1866" s="555" t="str">
        <f t="shared" ca="1" si="319"/>
        <v/>
      </c>
      <c r="O1866" s="494" t="s">
        <v>1732</v>
      </c>
      <c r="P1866" s="555" t="str">
        <f t="shared" ca="1" si="320"/>
        <v/>
      </c>
      <c r="Q1866" s="494" t="s">
        <v>1733</v>
      </c>
      <c r="R1866" s="494" t="str">
        <f t="shared" si="313"/>
        <v>H1866</v>
      </c>
      <c r="S1866" s="494" t="s">
        <v>1734</v>
      </c>
      <c r="T1866" s="494">
        <v>7</v>
      </c>
      <c r="U1866" s="556" t="str">
        <f t="shared" ca="1" si="315"/>
        <v/>
      </c>
      <c r="V1866" s="494">
        <v>8</v>
      </c>
      <c r="W1866" s="556" t="str">
        <f t="shared" ca="1" si="316"/>
        <v/>
      </c>
      <c r="X1866" s="557"/>
      <c r="Y1866" s="958"/>
      <c r="Z1866" s="958"/>
      <c r="AA1866" s="958"/>
      <c r="AB1866" s="958" t="s">
        <v>1735</v>
      </c>
      <c r="AC1866" s="547" t="str">
        <f t="shared" ca="1" si="317"/>
        <v/>
      </c>
      <c r="AD1866" s="494" t="s">
        <v>1736</v>
      </c>
      <c r="AE1866" s="547" t="str">
        <f t="shared" ca="1" si="321"/>
        <v/>
      </c>
    </row>
    <row r="1867" spans="1:31" ht="15" customHeight="1">
      <c r="A1867" s="957">
        <v>58</v>
      </c>
      <c r="B1867" s="566" t="s">
        <v>799</v>
      </c>
      <c r="C1867" s="567" t="s">
        <v>1730</v>
      </c>
      <c r="D1867" s="958">
        <v>1</v>
      </c>
      <c r="E1867" s="959" t="s">
        <v>396</v>
      </c>
      <c r="F1867" s="558" t="s">
        <v>1498</v>
      </c>
      <c r="G1867" s="558">
        <v>704</v>
      </c>
      <c r="H1867" s="558">
        <v>25.3</v>
      </c>
      <c r="I1867" s="559" t="s">
        <v>922</v>
      </c>
      <c r="J1867" s="567" t="s">
        <v>1731</v>
      </c>
      <c r="K1867" s="961" t="s">
        <v>1373</v>
      </c>
      <c r="L1867" s="555" t="str">
        <f t="shared" ca="1" si="318"/>
        <v/>
      </c>
      <c r="M1867" s="494" t="s">
        <v>1609</v>
      </c>
      <c r="N1867" s="555" t="str">
        <f t="shared" ca="1" si="319"/>
        <v/>
      </c>
      <c r="O1867" s="494" t="s">
        <v>1732</v>
      </c>
      <c r="P1867" s="555" t="str">
        <f t="shared" ca="1" si="320"/>
        <v/>
      </c>
      <c r="Q1867" s="494" t="s">
        <v>1733</v>
      </c>
      <c r="R1867" s="494" t="str">
        <f t="shared" ref="R1867:R1935" si="322">CONCATENATE("H",ROW(J1867))</f>
        <v>H1867</v>
      </c>
      <c r="S1867" s="494" t="s">
        <v>1734</v>
      </c>
      <c r="T1867" s="494">
        <v>7</v>
      </c>
      <c r="U1867" s="556" t="str">
        <f t="shared" ca="1" si="315"/>
        <v/>
      </c>
      <c r="V1867" s="494">
        <v>8</v>
      </c>
      <c r="W1867" s="556" t="str">
        <f t="shared" ca="1" si="316"/>
        <v/>
      </c>
      <c r="X1867" s="557"/>
      <c r="Y1867" s="958"/>
      <c r="Z1867" s="958"/>
      <c r="AA1867" s="958"/>
      <c r="AB1867" s="958" t="s">
        <v>1735</v>
      </c>
      <c r="AC1867" s="547" t="str">
        <f t="shared" ca="1" si="317"/>
        <v/>
      </c>
      <c r="AD1867" s="494" t="s">
        <v>1736</v>
      </c>
      <c r="AE1867" s="547" t="str">
        <f t="shared" ca="1" si="321"/>
        <v/>
      </c>
    </row>
    <row r="1868" spans="1:31" ht="15" customHeight="1">
      <c r="A1868" s="957">
        <v>58</v>
      </c>
      <c r="B1868" s="566" t="s">
        <v>799</v>
      </c>
      <c r="C1868" s="567" t="s">
        <v>1730</v>
      </c>
      <c r="D1868" s="958">
        <v>1</v>
      </c>
      <c r="E1868" s="959" t="s">
        <v>404</v>
      </c>
      <c r="F1868" s="558" t="s">
        <v>1499</v>
      </c>
      <c r="G1868" s="558">
        <v>705</v>
      </c>
      <c r="H1868" s="558">
        <v>26.1</v>
      </c>
      <c r="I1868" s="559" t="s">
        <v>924</v>
      </c>
      <c r="J1868" s="567" t="s">
        <v>1731</v>
      </c>
      <c r="K1868" s="961" t="s">
        <v>1373</v>
      </c>
      <c r="L1868" s="555" t="str">
        <f t="shared" ca="1" si="318"/>
        <v/>
      </c>
      <c r="M1868" s="494" t="s">
        <v>1609</v>
      </c>
      <c r="N1868" s="555" t="str">
        <f t="shared" ca="1" si="319"/>
        <v/>
      </c>
      <c r="O1868" s="494" t="s">
        <v>1732</v>
      </c>
      <c r="P1868" s="555" t="str">
        <f t="shared" ca="1" si="320"/>
        <v/>
      </c>
      <c r="Q1868" s="494" t="s">
        <v>1733</v>
      </c>
      <c r="R1868" s="494" t="str">
        <f t="shared" si="322"/>
        <v>H1868</v>
      </c>
      <c r="S1868" s="494" t="s">
        <v>1734</v>
      </c>
      <c r="T1868" s="494">
        <v>7</v>
      </c>
      <c r="U1868" s="556" t="str">
        <f t="shared" ca="1" si="315"/>
        <v/>
      </c>
      <c r="V1868" s="494">
        <v>8</v>
      </c>
      <c r="W1868" s="556" t="str">
        <f t="shared" ca="1" si="316"/>
        <v/>
      </c>
      <c r="X1868" s="557"/>
      <c r="Y1868" s="958"/>
      <c r="Z1868" s="958"/>
      <c r="AA1868" s="958"/>
      <c r="AB1868" s="958" t="s">
        <v>1735</v>
      </c>
      <c r="AC1868" s="547" t="str">
        <f t="shared" ca="1" si="317"/>
        <v/>
      </c>
      <c r="AD1868" s="494" t="s">
        <v>1736</v>
      </c>
      <c r="AE1868" s="547" t="str">
        <f t="shared" ca="1" si="321"/>
        <v/>
      </c>
    </row>
    <row r="1869" spans="1:31" ht="15" customHeight="1">
      <c r="A1869" s="957">
        <v>58</v>
      </c>
      <c r="B1869" s="566" t="s">
        <v>799</v>
      </c>
      <c r="C1869" s="567" t="s">
        <v>1730</v>
      </c>
      <c r="D1869" s="958">
        <v>1</v>
      </c>
      <c r="E1869" s="959" t="s">
        <v>404</v>
      </c>
      <c r="F1869" s="558" t="s">
        <v>1499</v>
      </c>
      <c r="G1869" s="558">
        <v>706</v>
      </c>
      <c r="H1869" s="558">
        <v>26.2</v>
      </c>
      <c r="I1869" s="559" t="s">
        <v>925</v>
      </c>
      <c r="J1869" s="567" t="s">
        <v>1731</v>
      </c>
      <c r="K1869" s="961" t="s">
        <v>1373</v>
      </c>
      <c r="L1869" s="555" t="str">
        <f t="shared" ca="1" si="318"/>
        <v/>
      </c>
      <c r="M1869" s="494" t="s">
        <v>1609</v>
      </c>
      <c r="N1869" s="555" t="str">
        <f t="shared" ca="1" si="319"/>
        <v/>
      </c>
      <c r="O1869" s="494" t="s">
        <v>1732</v>
      </c>
      <c r="P1869" s="555" t="str">
        <f t="shared" ca="1" si="320"/>
        <v/>
      </c>
      <c r="Q1869" s="494" t="s">
        <v>1733</v>
      </c>
      <c r="R1869" s="494" t="str">
        <f t="shared" si="322"/>
        <v>H1869</v>
      </c>
      <c r="S1869" s="494" t="s">
        <v>1734</v>
      </c>
      <c r="T1869" s="494">
        <v>7</v>
      </c>
      <c r="U1869" s="556" t="str">
        <f t="shared" ca="1" si="315"/>
        <v/>
      </c>
      <c r="V1869" s="494">
        <v>8</v>
      </c>
      <c r="W1869" s="556" t="str">
        <f t="shared" ca="1" si="316"/>
        <v/>
      </c>
      <c r="X1869" s="557"/>
      <c r="Y1869" s="958"/>
      <c r="Z1869" s="958"/>
      <c r="AA1869" s="958"/>
      <c r="AB1869" s="958" t="s">
        <v>1735</v>
      </c>
      <c r="AC1869" s="547" t="str">
        <f t="shared" ca="1" si="317"/>
        <v/>
      </c>
      <c r="AD1869" s="494" t="s">
        <v>1736</v>
      </c>
      <c r="AE1869" s="547" t="str">
        <f t="shared" ca="1" si="321"/>
        <v/>
      </c>
    </row>
    <row r="1870" spans="1:31" ht="15" customHeight="1">
      <c r="A1870" s="957">
        <v>58</v>
      </c>
      <c r="B1870" s="566" t="s">
        <v>799</v>
      </c>
      <c r="C1870" s="567" t="s">
        <v>1730</v>
      </c>
      <c r="D1870" s="958">
        <v>1</v>
      </c>
      <c r="E1870" s="959" t="s">
        <v>404</v>
      </c>
      <c r="F1870" s="558" t="s">
        <v>1499</v>
      </c>
      <c r="G1870" s="558">
        <v>707</v>
      </c>
      <c r="H1870" s="558">
        <v>27.1</v>
      </c>
      <c r="I1870" s="559" t="s">
        <v>927</v>
      </c>
      <c r="J1870" s="567" t="s">
        <v>1731</v>
      </c>
      <c r="K1870" s="961" t="s">
        <v>1373</v>
      </c>
      <c r="L1870" s="555" t="str">
        <f t="shared" ca="1" si="318"/>
        <v/>
      </c>
      <c r="M1870" s="494" t="s">
        <v>1609</v>
      </c>
      <c r="N1870" s="555" t="str">
        <f t="shared" ca="1" si="319"/>
        <v/>
      </c>
      <c r="O1870" s="494" t="s">
        <v>1732</v>
      </c>
      <c r="P1870" s="555" t="str">
        <f t="shared" ca="1" si="320"/>
        <v/>
      </c>
      <c r="Q1870" s="494" t="s">
        <v>1733</v>
      </c>
      <c r="R1870" s="494" t="str">
        <f t="shared" si="322"/>
        <v>H1870</v>
      </c>
      <c r="S1870" s="494" t="s">
        <v>1734</v>
      </c>
      <c r="T1870" s="494">
        <v>7</v>
      </c>
      <c r="U1870" s="556" t="str">
        <f t="shared" ca="1" si="315"/>
        <v/>
      </c>
      <c r="V1870" s="494">
        <v>8</v>
      </c>
      <c r="W1870" s="556" t="str">
        <f t="shared" ca="1" si="316"/>
        <v/>
      </c>
      <c r="X1870" s="557"/>
      <c r="Y1870" s="958"/>
      <c r="Z1870" s="958"/>
      <c r="AA1870" s="958"/>
      <c r="AB1870" s="958" t="s">
        <v>1735</v>
      </c>
      <c r="AC1870" s="547" t="str">
        <f t="shared" ca="1" si="317"/>
        <v/>
      </c>
      <c r="AD1870" s="494" t="s">
        <v>1736</v>
      </c>
      <c r="AE1870" s="547" t="str">
        <f t="shared" ca="1" si="321"/>
        <v/>
      </c>
    </row>
    <row r="1871" spans="1:31" ht="15" customHeight="1">
      <c r="A1871" s="957">
        <v>58</v>
      </c>
      <c r="B1871" s="566" t="s">
        <v>799</v>
      </c>
      <c r="C1871" s="567" t="s">
        <v>1730</v>
      </c>
      <c r="D1871" s="958">
        <v>1</v>
      </c>
      <c r="E1871" s="959" t="s">
        <v>404</v>
      </c>
      <c r="F1871" s="558" t="s">
        <v>1499</v>
      </c>
      <c r="G1871" s="558">
        <v>708</v>
      </c>
      <c r="H1871" s="558">
        <v>27.2</v>
      </c>
      <c r="I1871" s="559" t="s">
        <v>928</v>
      </c>
      <c r="J1871" s="567" t="s">
        <v>1731</v>
      </c>
      <c r="K1871" s="961" t="s">
        <v>1373</v>
      </c>
      <c r="L1871" s="555" t="str">
        <f t="shared" ca="1" si="318"/>
        <v/>
      </c>
      <c r="M1871" s="494" t="s">
        <v>1609</v>
      </c>
      <c r="N1871" s="555" t="str">
        <f t="shared" ca="1" si="319"/>
        <v/>
      </c>
      <c r="O1871" s="494" t="s">
        <v>1732</v>
      </c>
      <c r="P1871" s="555" t="str">
        <f t="shared" ca="1" si="320"/>
        <v/>
      </c>
      <c r="Q1871" s="494" t="s">
        <v>1733</v>
      </c>
      <c r="R1871" s="494" t="str">
        <f t="shared" si="322"/>
        <v>H1871</v>
      </c>
      <c r="S1871" s="494" t="s">
        <v>1734</v>
      </c>
      <c r="T1871" s="494">
        <v>7</v>
      </c>
      <c r="U1871" s="556" t="str">
        <f t="shared" ca="1" si="315"/>
        <v/>
      </c>
      <c r="V1871" s="494">
        <v>8</v>
      </c>
      <c r="W1871" s="556" t="str">
        <f t="shared" ca="1" si="316"/>
        <v/>
      </c>
      <c r="X1871" s="557"/>
      <c r="Y1871" s="958"/>
      <c r="Z1871" s="958"/>
      <c r="AA1871" s="958"/>
      <c r="AB1871" s="958" t="s">
        <v>1735</v>
      </c>
      <c r="AC1871" s="547" t="str">
        <f t="shared" ca="1" si="317"/>
        <v/>
      </c>
      <c r="AD1871" s="494" t="s">
        <v>1736</v>
      </c>
      <c r="AE1871" s="547" t="str">
        <f t="shared" ca="1" si="321"/>
        <v/>
      </c>
    </row>
    <row r="1872" spans="1:31" ht="15" customHeight="1">
      <c r="A1872" s="957">
        <v>58</v>
      </c>
      <c r="B1872" s="566" t="s">
        <v>799</v>
      </c>
      <c r="C1872" s="567" t="s">
        <v>1730</v>
      </c>
      <c r="D1872" s="958">
        <v>1</v>
      </c>
      <c r="E1872" s="959" t="s">
        <v>404</v>
      </c>
      <c r="F1872" s="558" t="s">
        <v>1499</v>
      </c>
      <c r="G1872" s="558">
        <v>709</v>
      </c>
      <c r="H1872" s="558">
        <v>28.1</v>
      </c>
      <c r="I1872" s="559" t="s">
        <v>416</v>
      </c>
      <c r="J1872" s="567" t="s">
        <v>1731</v>
      </c>
      <c r="K1872" s="961" t="s">
        <v>1373</v>
      </c>
      <c r="L1872" s="555" t="str">
        <f t="shared" ca="1" si="318"/>
        <v/>
      </c>
      <c r="M1872" s="494" t="s">
        <v>1609</v>
      </c>
      <c r="N1872" s="555" t="str">
        <f t="shared" ca="1" si="319"/>
        <v/>
      </c>
      <c r="O1872" s="494" t="s">
        <v>1732</v>
      </c>
      <c r="P1872" s="555" t="str">
        <f t="shared" ca="1" si="320"/>
        <v/>
      </c>
      <c r="Q1872" s="494" t="s">
        <v>1733</v>
      </c>
      <c r="R1872" s="494" t="str">
        <f t="shared" si="322"/>
        <v>H1872</v>
      </c>
      <c r="S1872" s="494" t="s">
        <v>1734</v>
      </c>
      <c r="T1872" s="494">
        <v>7</v>
      </c>
      <c r="U1872" s="556" t="str">
        <f t="shared" ca="1" si="315"/>
        <v/>
      </c>
      <c r="V1872" s="494">
        <v>8</v>
      </c>
      <c r="W1872" s="556" t="str">
        <f t="shared" ca="1" si="316"/>
        <v/>
      </c>
      <c r="X1872" s="557"/>
      <c r="Y1872" s="958"/>
      <c r="Z1872" s="958"/>
      <c r="AA1872" s="958"/>
      <c r="AB1872" s="958" t="s">
        <v>1735</v>
      </c>
      <c r="AC1872" s="547" t="str">
        <f t="shared" ca="1" si="317"/>
        <v/>
      </c>
      <c r="AD1872" s="494" t="s">
        <v>1736</v>
      </c>
      <c r="AE1872" s="547" t="str">
        <f t="shared" ca="1" si="321"/>
        <v/>
      </c>
    </row>
    <row r="1873" spans="1:31" ht="15" customHeight="1">
      <c r="A1873" s="957">
        <v>58</v>
      </c>
      <c r="B1873" s="566" t="s">
        <v>799</v>
      </c>
      <c r="C1873" s="567" t="s">
        <v>1730</v>
      </c>
      <c r="D1873" s="958">
        <v>1</v>
      </c>
      <c r="E1873" s="959" t="s">
        <v>404</v>
      </c>
      <c r="F1873" s="558" t="s">
        <v>1499</v>
      </c>
      <c r="G1873" s="558">
        <v>710</v>
      </c>
      <c r="H1873" s="558">
        <v>29.1</v>
      </c>
      <c r="I1873" s="559" t="s">
        <v>413</v>
      </c>
      <c r="J1873" s="567" t="s">
        <v>1731</v>
      </c>
      <c r="K1873" s="961" t="s">
        <v>1373</v>
      </c>
      <c r="L1873" s="555" t="str">
        <f t="shared" ca="1" si="318"/>
        <v/>
      </c>
      <c r="M1873" s="494" t="s">
        <v>1609</v>
      </c>
      <c r="N1873" s="555" t="str">
        <f t="shared" ca="1" si="319"/>
        <v/>
      </c>
      <c r="O1873" s="494" t="s">
        <v>1732</v>
      </c>
      <c r="P1873" s="555" t="str">
        <f t="shared" ca="1" si="320"/>
        <v/>
      </c>
      <c r="Q1873" s="494" t="s">
        <v>1733</v>
      </c>
      <c r="R1873" s="494" t="str">
        <f t="shared" si="322"/>
        <v>H1873</v>
      </c>
      <c r="S1873" s="494" t="s">
        <v>1734</v>
      </c>
      <c r="T1873" s="494">
        <v>7</v>
      </c>
      <c r="U1873" s="556" t="str">
        <f t="shared" ca="1" si="315"/>
        <v/>
      </c>
      <c r="V1873" s="494">
        <v>8</v>
      </c>
      <c r="W1873" s="556" t="str">
        <f t="shared" ca="1" si="316"/>
        <v/>
      </c>
      <c r="X1873" s="557"/>
      <c r="Y1873" s="958"/>
      <c r="Z1873" s="958"/>
      <c r="AA1873" s="958"/>
      <c r="AB1873" s="958" t="s">
        <v>1735</v>
      </c>
      <c r="AC1873" s="547" t="str">
        <f t="shared" ca="1" si="317"/>
        <v/>
      </c>
      <c r="AD1873" s="494" t="s">
        <v>1736</v>
      </c>
      <c r="AE1873" s="547" t="str">
        <f t="shared" ca="1" si="321"/>
        <v/>
      </c>
    </row>
    <row r="1874" spans="1:31" ht="15" customHeight="1">
      <c r="A1874" s="957">
        <v>58</v>
      </c>
      <c r="B1874" s="566" t="s">
        <v>799</v>
      </c>
      <c r="C1874" s="567" t="s">
        <v>1730</v>
      </c>
      <c r="D1874" s="958">
        <v>1</v>
      </c>
      <c r="E1874" s="959" t="s">
        <v>419</v>
      </c>
      <c r="F1874" s="558" t="s">
        <v>1501</v>
      </c>
      <c r="G1874" s="558">
        <v>739</v>
      </c>
      <c r="H1874" s="558" t="s">
        <v>522</v>
      </c>
      <c r="I1874" s="559" t="s">
        <v>420</v>
      </c>
      <c r="J1874" s="567" t="s">
        <v>1731</v>
      </c>
      <c r="K1874" s="961" t="s">
        <v>1373</v>
      </c>
      <c r="L1874" s="555" t="str">
        <f t="shared" ca="1" si="318"/>
        <v/>
      </c>
      <c r="M1874" s="494" t="s">
        <v>1609</v>
      </c>
      <c r="N1874" s="555" t="str">
        <f t="shared" ca="1" si="319"/>
        <v/>
      </c>
      <c r="O1874" s="494" t="s">
        <v>1732</v>
      </c>
      <c r="P1874" s="555" t="str">
        <f t="shared" ca="1" si="320"/>
        <v/>
      </c>
      <c r="Q1874" s="494" t="s">
        <v>1733</v>
      </c>
      <c r="R1874" s="494" t="str">
        <f>CONCATENATE("H",ROW(J1874))</f>
        <v>H1874</v>
      </c>
      <c r="S1874" s="494" t="s">
        <v>1734</v>
      </c>
      <c r="T1874" s="494">
        <v>7</v>
      </c>
      <c r="U1874" s="556" t="str">
        <f t="shared" ca="1" si="315"/>
        <v/>
      </c>
      <c r="V1874" s="494">
        <v>8</v>
      </c>
      <c r="W1874" s="556" t="str">
        <f t="shared" ca="1" si="316"/>
        <v/>
      </c>
      <c r="X1874" s="557"/>
      <c r="Y1874" s="958"/>
      <c r="Z1874" s="958"/>
      <c r="AA1874" s="958"/>
      <c r="AB1874" s="958" t="s">
        <v>1735</v>
      </c>
      <c r="AC1874" s="547" t="str">
        <f t="shared" ca="1" si="317"/>
        <v/>
      </c>
      <c r="AD1874" s="494" t="s">
        <v>1736</v>
      </c>
      <c r="AE1874" s="547" t="str">
        <f t="shared" ca="1" si="321"/>
        <v/>
      </c>
    </row>
    <row r="1875" spans="1:31" ht="15" customHeight="1">
      <c r="A1875" s="957">
        <v>58</v>
      </c>
      <c r="B1875" s="566" t="s">
        <v>799</v>
      </c>
      <c r="C1875" s="567" t="s">
        <v>1730</v>
      </c>
      <c r="D1875" s="958">
        <v>1</v>
      </c>
      <c r="E1875" s="959" t="s">
        <v>419</v>
      </c>
      <c r="F1875" s="558" t="s">
        <v>1501</v>
      </c>
      <c r="G1875" s="558">
        <v>740</v>
      </c>
      <c r="H1875" s="558" t="s">
        <v>524</v>
      </c>
      <c r="I1875" s="559" t="s">
        <v>422</v>
      </c>
      <c r="J1875" s="567" t="s">
        <v>1731</v>
      </c>
      <c r="K1875" s="961" t="s">
        <v>1373</v>
      </c>
      <c r="L1875" s="555" t="str">
        <f t="shared" ca="1" si="318"/>
        <v/>
      </c>
      <c r="M1875" s="494" t="s">
        <v>1609</v>
      </c>
      <c r="N1875" s="555" t="str">
        <f t="shared" ca="1" si="319"/>
        <v/>
      </c>
      <c r="O1875" s="494" t="s">
        <v>1732</v>
      </c>
      <c r="P1875" s="555" t="str">
        <f t="shared" ca="1" si="320"/>
        <v/>
      </c>
      <c r="Q1875" s="494" t="s">
        <v>1733</v>
      </c>
      <c r="R1875" s="494" t="str">
        <f>CONCATENATE("H",ROW(J1875))</f>
        <v>H1875</v>
      </c>
      <c r="S1875" s="494" t="s">
        <v>1734</v>
      </c>
      <c r="T1875" s="494">
        <v>7</v>
      </c>
      <c r="U1875" s="556" t="str">
        <f t="shared" ca="1" si="315"/>
        <v/>
      </c>
      <c r="V1875" s="494">
        <v>8</v>
      </c>
      <c r="W1875" s="556" t="str">
        <f t="shared" ca="1" si="316"/>
        <v/>
      </c>
      <c r="X1875" s="557"/>
      <c r="Y1875" s="958"/>
      <c r="Z1875" s="958"/>
      <c r="AA1875" s="958"/>
      <c r="AB1875" s="958" t="s">
        <v>1735</v>
      </c>
      <c r="AC1875" s="547" t="str">
        <f t="shared" ca="1" si="317"/>
        <v/>
      </c>
      <c r="AD1875" s="494" t="s">
        <v>1736</v>
      </c>
      <c r="AE1875" s="547" t="str">
        <f t="shared" ca="1" si="321"/>
        <v/>
      </c>
    </row>
    <row r="1876" spans="1:31" ht="15" customHeight="1">
      <c r="A1876" s="957">
        <v>58</v>
      </c>
      <c r="B1876" s="566" t="s">
        <v>799</v>
      </c>
      <c r="C1876" s="567" t="s">
        <v>1730</v>
      </c>
      <c r="D1876" s="958">
        <v>1</v>
      </c>
      <c r="E1876" s="959" t="s">
        <v>419</v>
      </c>
      <c r="F1876" s="558" t="s">
        <v>1501</v>
      </c>
      <c r="G1876" s="558">
        <v>741</v>
      </c>
      <c r="H1876" s="558" t="s">
        <v>526</v>
      </c>
      <c r="I1876" s="559" t="s">
        <v>424</v>
      </c>
      <c r="J1876" s="567" t="s">
        <v>1731</v>
      </c>
      <c r="K1876" s="961" t="s">
        <v>1373</v>
      </c>
      <c r="L1876" s="555" t="str">
        <f t="shared" ca="1" si="318"/>
        <v/>
      </c>
      <c r="M1876" s="494" t="s">
        <v>1609</v>
      </c>
      <c r="N1876" s="555" t="str">
        <f t="shared" ca="1" si="319"/>
        <v/>
      </c>
      <c r="O1876" s="494" t="s">
        <v>1732</v>
      </c>
      <c r="P1876" s="555" t="str">
        <f t="shared" ca="1" si="320"/>
        <v/>
      </c>
      <c r="Q1876" s="494" t="s">
        <v>1733</v>
      </c>
      <c r="R1876" s="494" t="str">
        <f>CONCATENATE("H",ROW(J1876))</f>
        <v>H1876</v>
      </c>
      <c r="S1876" s="494" t="s">
        <v>1734</v>
      </c>
      <c r="T1876" s="494">
        <v>7</v>
      </c>
      <c r="U1876" s="556" t="str">
        <f t="shared" ca="1" si="315"/>
        <v/>
      </c>
      <c r="V1876" s="494">
        <v>8</v>
      </c>
      <c r="W1876" s="556" t="str">
        <f t="shared" ca="1" si="316"/>
        <v/>
      </c>
      <c r="X1876" s="557"/>
      <c r="Y1876" s="958"/>
      <c r="Z1876" s="958"/>
      <c r="AA1876" s="958"/>
      <c r="AB1876" s="958" t="s">
        <v>1735</v>
      </c>
      <c r="AC1876" s="547" t="str">
        <f t="shared" ca="1" si="317"/>
        <v/>
      </c>
      <c r="AD1876" s="494" t="s">
        <v>1736</v>
      </c>
      <c r="AE1876" s="547" t="str">
        <f t="shared" ca="1" si="321"/>
        <v/>
      </c>
    </row>
    <row r="1877" spans="1:31" ht="15" customHeight="1">
      <c r="A1877" s="957">
        <v>58</v>
      </c>
      <c r="B1877" s="566" t="s">
        <v>799</v>
      </c>
      <c r="C1877" s="567" t="s">
        <v>1730</v>
      </c>
      <c r="D1877" s="958">
        <v>1</v>
      </c>
      <c r="E1877" s="959" t="s">
        <v>419</v>
      </c>
      <c r="F1877" s="558" t="s">
        <v>1501</v>
      </c>
      <c r="G1877" s="558">
        <v>742</v>
      </c>
      <c r="H1877" s="558" t="s">
        <v>528</v>
      </c>
      <c r="I1877" s="559" t="s">
        <v>932</v>
      </c>
      <c r="J1877" s="567" t="s">
        <v>1731</v>
      </c>
      <c r="K1877" s="961" t="s">
        <v>1373</v>
      </c>
      <c r="L1877" s="555" t="str">
        <f t="shared" ca="1" si="318"/>
        <v/>
      </c>
      <c r="M1877" s="494" t="s">
        <v>1609</v>
      </c>
      <c r="N1877" s="555" t="str">
        <f t="shared" ca="1" si="319"/>
        <v/>
      </c>
      <c r="O1877" s="494" t="s">
        <v>1732</v>
      </c>
      <c r="P1877" s="555" t="str">
        <f t="shared" ca="1" si="320"/>
        <v/>
      </c>
      <c r="Q1877" s="494" t="s">
        <v>1733</v>
      </c>
      <c r="R1877" s="494" t="str">
        <f>CONCATENATE("H",ROW(J1877))</f>
        <v>H1877</v>
      </c>
      <c r="S1877" s="494" t="s">
        <v>1734</v>
      </c>
      <c r="T1877" s="494">
        <v>7</v>
      </c>
      <c r="U1877" s="556" t="str">
        <f t="shared" ca="1" si="315"/>
        <v/>
      </c>
      <c r="V1877" s="494">
        <v>8</v>
      </c>
      <c r="W1877" s="556" t="str">
        <f t="shared" ca="1" si="316"/>
        <v/>
      </c>
      <c r="X1877" s="557"/>
      <c r="Y1877" s="958"/>
      <c r="Z1877" s="958"/>
      <c r="AA1877" s="958"/>
      <c r="AB1877" s="958" t="s">
        <v>1735</v>
      </c>
      <c r="AC1877" s="547" t="str">
        <f t="shared" ca="1" si="317"/>
        <v/>
      </c>
      <c r="AD1877" s="494" t="s">
        <v>1736</v>
      </c>
      <c r="AE1877" s="547" t="str">
        <f t="shared" ca="1" si="321"/>
        <v/>
      </c>
    </row>
    <row r="1878" spans="1:31" ht="15" customHeight="1">
      <c r="A1878" s="957">
        <v>58</v>
      </c>
      <c r="B1878" s="566" t="s">
        <v>799</v>
      </c>
      <c r="C1878" s="567" t="s">
        <v>1730</v>
      </c>
      <c r="D1878" s="958">
        <v>1</v>
      </c>
      <c r="E1878" s="959" t="s">
        <v>419</v>
      </c>
      <c r="F1878" s="558" t="s">
        <v>1501</v>
      </c>
      <c r="G1878" s="558">
        <v>744</v>
      </c>
      <c r="H1878" s="558" t="s">
        <v>530</v>
      </c>
      <c r="I1878" s="559" t="s">
        <v>428</v>
      </c>
      <c r="J1878" s="567" t="s">
        <v>1731</v>
      </c>
      <c r="K1878" s="961" t="s">
        <v>1373</v>
      </c>
      <c r="L1878" s="555" t="str">
        <f t="shared" ca="1" si="318"/>
        <v/>
      </c>
      <c r="M1878" s="494" t="s">
        <v>1609</v>
      </c>
      <c r="N1878" s="555" t="str">
        <f t="shared" ca="1" si="319"/>
        <v/>
      </c>
      <c r="O1878" s="494" t="s">
        <v>1732</v>
      </c>
      <c r="P1878" s="555" t="str">
        <f t="shared" ca="1" si="320"/>
        <v/>
      </c>
      <c r="Q1878" s="494" t="s">
        <v>1733</v>
      </c>
      <c r="R1878" s="494" t="str">
        <f>CONCATENATE("H",ROW(J1878))</f>
        <v>H1878</v>
      </c>
      <c r="S1878" s="494" t="s">
        <v>1734</v>
      </c>
      <c r="T1878" s="494">
        <v>7</v>
      </c>
      <c r="U1878" s="556" t="str">
        <f t="shared" ca="1" si="315"/>
        <v/>
      </c>
      <c r="V1878" s="494">
        <v>8</v>
      </c>
      <c r="W1878" s="556" t="str">
        <f t="shared" ca="1" si="316"/>
        <v/>
      </c>
      <c r="X1878" s="557"/>
      <c r="Y1878" s="958"/>
      <c r="Z1878" s="958"/>
      <c r="AA1878" s="958"/>
      <c r="AB1878" s="958" t="s">
        <v>1735</v>
      </c>
      <c r="AC1878" s="547" t="str">
        <f t="shared" ca="1" si="317"/>
        <v/>
      </c>
      <c r="AD1878" s="494" t="s">
        <v>1736</v>
      </c>
      <c r="AE1878" s="547" t="str">
        <f t="shared" ca="1" si="321"/>
        <v/>
      </c>
    </row>
    <row r="1879" spans="1:31" ht="15" customHeight="1">
      <c r="A1879" s="957">
        <v>94</v>
      </c>
      <c r="B1879" s="566" t="s">
        <v>803</v>
      </c>
      <c r="C1879" s="567" t="s">
        <v>1730</v>
      </c>
      <c r="D1879" s="958">
        <v>1.1000000000000001</v>
      </c>
      <c r="E1879" s="959" t="s">
        <v>254</v>
      </c>
      <c r="F1879" s="558" t="s">
        <v>1444</v>
      </c>
      <c r="G1879" s="558">
        <v>642</v>
      </c>
      <c r="H1879" s="558">
        <v>1.1000000000000001</v>
      </c>
      <c r="I1879" s="559" t="s">
        <v>812</v>
      </c>
      <c r="J1879" s="567" t="s">
        <v>1731</v>
      </c>
      <c r="K1879" s="961" t="s">
        <v>1373</v>
      </c>
      <c r="L1879" s="555" t="str">
        <f t="shared" ca="1" si="318"/>
        <v/>
      </c>
      <c r="M1879" s="494" t="s">
        <v>1609</v>
      </c>
      <c r="N1879" s="555" t="str">
        <f t="shared" ca="1" si="319"/>
        <v/>
      </c>
      <c r="O1879" s="494" t="s">
        <v>1732</v>
      </c>
      <c r="P1879" s="555" t="str">
        <f t="shared" ca="1" si="320"/>
        <v/>
      </c>
      <c r="Q1879" s="494" t="s">
        <v>1733</v>
      </c>
      <c r="R1879" s="494" t="str">
        <f t="shared" si="322"/>
        <v>H1879</v>
      </c>
      <c r="S1879" s="494" t="s">
        <v>1734</v>
      </c>
      <c r="T1879" s="494">
        <v>7</v>
      </c>
      <c r="U1879" s="556" t="str">
        <f t="shared" ca="1" si="315"/>
        <v/>
      </c>
      <c r="V1879" s="494">
        <v>8</v>
      </c>
      <c r="W1879" s="556" t="str">
        <f t="shared" ca="1" si="316"/>
        <v/>
      </c>
      <c r="X1879" s="557"/>
      <c r="Y1879" s="958"/>
      <c r="Z1879" s="958"/>
      <c r="AA1879" s="958"/>
      <c r="AB1879" s="958" t="s">
        <v>1735</v>
      </c>
      <c r="AC1879" s="547" t="str">
        <f t="shared" ca="1" si="317"/>
        <v/>
      </c>
      <c r="AD1879" s="494" t="s">
        <v>1736</v>
      </c>
      <c r="AE1879" s="547" t="str">
        <f t="shared" ca="1" si="321"/>
        <v/>
      </c>
    </row>
    <row r="1880" spans="1:31" ht="15" customHeight="1">
      <c r="A1880" s="957">
        <v>94</v>
      </c>
      <c r="B1880" s="566" t="s">
        <v>803</v>
      </c>
      <c r="C1880" s="567" t="s">
        <v>1730</v>
      </c>
      <c r="D1880" s="958">
        <v>1.1000000000000001</v>
      </c>
      <c r="E1880" s="959" t="s">
        <v>254</v>
      </c>
      <c r="F1880" s="558" t="s">
        <v>1444</v>
      </c>
      <c r="G1880" s="558">
        <v>643</v>
      </c>
      <c r="H1880" s="558">
        <v>2.1</v>
      </c>
      <c r="I1880" s="559" t="s">
        <v>814</v>
      </c>
      <c r="J1880" s="567" t="s">
        <v>1731</v>
      </c>
      <c r="K1880" s="961" t="s">
        <v>1373</v>
      </c>
      <c r="L1880" s="555" t="str">
        <f t="shared" ca="1" si="318"/>
        <v/>
      </c>
      <c r="M1880" s="494" t="s">
        <v>1609</v>
      </c>
      <c r="N1880" s="555" t="str">
        <f t="shared" ca="1" si="319"/>
        <v/>
      </c>
      <c r="O1880" s="494" t="s">
        <v>1732</v>
      </c>
      <c r="P1880" s="555" t="str">
        <f t="shared" ca="1" si="320"/>
        <v/>
      </c>
      <c r="Q1880" s="494" t="s">
        <v>1733</v>
      </c>
      <c r="R1880" s="494" t="str">
        <f t="shared" si="322"/>
        <v>H1880</v>
      </c>
      <c r="S1880" s="494" t="s">
        <v>1734</v>
      </c>
      <c r="T1880" s="494">
        <v>7</v>
      </c>
      <c r="U1880" s="556" t="str">
        <f t="shared" ca="1" si="315"/>
        <v/>
      </c>
      <c r="V1880" s="494">
        <v>8</v>
      </c>
      <c r="W1880" s="556" t="str">
        <f t="shared" ca="1" si="316"/>
        <v/>
      </c>
      <c r="X1880" s="557"/>
      <c r="Y1880" s="958"/>
      <c r="Z1880" s="958"/>
      <c r="AA1880" s="958"/>
      <c r="AB1880" s="958" t="s">
        <v>1735</v>
      </c>
      <c r="AC1880" s="547" t="str">
        <f t="shared" ca="1" si="317"/>
        <v/>
      </c>
      <c r="AD1880" s="494" t="s">
        <v>1736</v>
      </c>
      <c r="AE1880" s="547" t="str">
        <f t="shared" ca="1" si="321"/>
        <v/>
      </c>
    </row>
    <row r="1881" spans="1:31" ht="15" customHeight="1">
      <c r="A1881" s="957">
        <v>94</v>
      </c>
      <c r="B1881" s="566" t="s">
        <v>803</v>
      </c>
      <c r="C1881" s="567" t="s">
        <v>1730</v>
      </c>
      <c r="D1881" s="958">
        <v>1.1000000000000001</v>
      </c>
      <c r="E1881" s="959" t="s">
        <v>254</v>
      </c>
      <c r="F1881" s="558" t="s">
        <v>1444</v>
      </c>
      <c r="G1881" s="558">
        <v>644</v>
      </c>
      <c r="H1881" s="558">
        <v>2.2000000000000002</v>
      </c>
      <c r="I1881" s="559" t="s">
        <v>815</v>
      </c>
      <c r="J1881" s="567" t="s">
        <v>1731</v>
      </c>
      <c r="K1881" s="961" t="s">
        <v>1373</v>
      </c>
      <c r="L1881" s="555" t="str">
        <f t="shared" ca="1" si="318"/>
        <v/>
      </c>
      <c r="M1881" s="494" t="s">
        <v>1609</v>
      </c>
      <c r="N1881" s="555" t="str">
        <f t="shared" ca="1" si="319"/>
        <v/>
      </c>
      <c r="O1881" s="494" t="s">
        <v>1732</v>
      </c>
      <c r="P1881" s="555" t="str">
        <f t="shared" ca="1" si="320"/>
        <v/>
      </c>
      <c r="Q1881" s="494" t="s">
        <v>1733</v>
      </c>
      <c r="R1881" s="494" t="str">
        <f t="shared" si="322"/>
        <v>H1881</v>
      </c>
      <c r="S1881" s="494" t="s">
        <v>1734</v>
      </c>
      <c r="T1881" s="494">
        <v>7</v>
      </c>
      <c r="U1881" s="556" t="str">
        <f t="shared" ca="1" si="315"/>
        <v/>
      </c>
      <c r="V1881" s="494">
        <v>8</v>
      </c>
      <c r="W1881" s="556" t="str">
        <f t="shared" ca="1" si="316"/>
        <v/>
      </c>
      <c r="X1881" s="557"/>
      <c r="Y1881" s="958"/>
      <c r="Z1881" s="958"/>
      <c r="AA1881" s="958"/>
      <c r="AB1881" s="958" t="s">
        <v>1735</v>
      </c>
      <c r="AC1881" s="547" t="str">
        <f t="shared" ca="1" si="317"/>
        <v/>
      </c>
      <c r="AD1881" s="494" t="s">
        <v>1736</v>
      </c>
      <c r="AE1881" s="547" t="str">
        <f t="shared" ca="1" si="321"/>
        <v/>
      </c>
    </row>
    <row r="1882" spans="1:31" ht="15" customHeight="1">
      <c r="A1882" s="957">
        <v>94</v>
      </c>
      <c r="B1882" s="566" t="s">
        <v>803</v>
      </c>
      <c r="C1882" s="567" t="s">
        <v>1730</v>
      </c>
      <c r="D1882" s="958">
        <v>1.1000000000000001</v>
      </c>
      <c r="E1882" s="959" t="s">
        <v>254</v>
      </c>
      <c r="F1882" s="558" t="s">
        <v>1444</v>
      </c>
      <c r="G1882" s="558">
        <v>645</v>
      </c>
      <c r="H1882" s="558">
        <v>3.1</v>
      </c>
      <c r="I1882" s="559" t="s">
        <v>294</v>
      </c>
      <c r="J1882" s="567" t="s">
        <v>1731</v>
      </c>
      <c r="K1882" s="961" t="s">
        <v>1373</v>
      </c>
      <c r="L1882" s="555" t="str">
        <f t="shared" ca="1" si="318"/>
        <v/>
      </c>
      <c r="M1882" s="494" t="s">
        <v>1609</v>
      </c>
      <c r="N1882" s="555" t="str">
        <f t="shared" ca="1" si="319"/>
        <v/>
      </c>
      <c r="O1882" s="494" t="s">
        <v>1732</v>
      </c>
      <c r="P1882" s="555" t="str">
        <f t="shared" ca="1" si="320"/>
        <v/>
      </c>
      <c r="Q1882" s="494" t="s">
        <v>1733</v>
      </c>
      <c r="R1882" s="494" t="str">
        <f t="shared" si="322"/>
        <v>H1882</v>
      </c>
      <c r="S1882" s="494" t="s">
        <v>1734</v>
      </c>
      <c r="T1882" s="494">
        <v>7</v>
      </c>
      <c r="U1882" s="556" t="str">
        <f t="shared" ca="1" si="315"/>
        <v/>
      </c>
      <c r="V1882" s="494">
        <v>8</v>
      </c>
      <c r="W1882" s="556" t="str">
        <f t="shared" ca="1" si="316"/>
        <v/>
      </c>
      <c r="X1882" s="557"/>
      <c r="Y1882" s="958"/>
      <c r="Z1882" s="958"/>
      <c r="AA1882" s="958"/>
      <c r="AB1882" s="958" t="s">
        <v>1735</v>
      </c>
      <c r="AC1882" s="547" t="str">
        <f t="shared" ca="1" si="317"/>
        <v/>
      </c>
      <c r="AD1882" s="494" t="s">
        <v>1736</v>
      </c>
      <c r="AE1882" s="547" t="str">
        <f t="shared" ca="1" si="321"/>
        <v/>
      </c>
    </row>
    <row r="1883" spans="1:31" ht="15" customHeight="1">
      <c r="A1883" s="957">
        <v>94</v>
      </c>
      <c r="B1883" s="566" t="s">
        <v>803</v>
      </c>
      <c r="C1883" s="567" t="s">
        <v>1730</v>
      </c>
      <c r="D1883" s="958">
        <v>1.1000000000000001</v>
      </c>
      <c r="E1883" s="959" t="s">
        <v>254</v>
      </c>
      <c r="F1883" s="558" t="s">
        <v>1444</v>
      </c>
      <c r="G1883" s="558">
        <v>646</v>
      </c>
      <c r="H1883" s="558">
        <v>3.2</v>
      </c>
      <c r="I1883" s="559" t="s">
        <v>295</v>
      </c>
      <c r="J1883" s="567" t="s">
        <v>1731</v>
      </c>
      <c r="K1883" s="961" t="s">
        <v>1373</v>
      </c>
      <c r="L1883" s="555" t="str">
        <f t="shared" ca="1" si="318"/>
        <v/>
      </c>
      <c r="M1883" s="494" t="s">
        <v>1609</v>
      </c>
      <c r="N1883" s="555" t="str">
        <f t="shared" ca="1" si="319"/>
        <v/>
      </c>
      <c r="O1883" s="494" t="s">
        <v>1732</v>
      </c>
      <c r="P1883" s="555" t="str">
        <f t="shared" ca="1" si="320"/>
        <v/>
      </c>
      <c r="Q1883" s="494" t="s">
        <v>1733</v>
      </c>
      <c r="R1883" s="494" t="str">
        <f t="shared" si="322"/>
        <v>H1883</v>
      </c>
      <c r="S1883" s="494" t="s">
        <v>1734</v>
      </c>
      <c r="T1883" s="494">
        <v>7</v>
      </c>
      <c r="U1883" s="556" t="str">
        <f t="shared" ca="1" si="315"/>
        <v/>
      </c>
      <c r="V1883" s="494">
        <v>8</v>
      </c>
      <c r="W1883" s="556" t="str">
        <f t="shared" ca="1" si="316"/>
        <v/>
      </c>
      <c r="X1883" s="557"/>
      <c r="Y1883" s="958"/>
      <c r="Z1883" s="958"/>
      <c r="AA1883" s="958"/>
      <c r="AB1883" s="958" t="s">
        <v>1735</v>
      </c>
      <c r="AC1883" s="547" t="str">
        <f t="shared" ca="1" si="317"/>
        <v/>
      </c>
      <c r="AD1883" s="494" t="s">
        <v>1736</v>
      </c>
      <c r="AE1883" s="547" t="str">
        <f t="shared" ca="1" si="321"/>
        <v/>
      </c>
    </row>
    <row r="1884" spans="1:31" ht="15" customHeight="1">
      <c r="A1884" s="957">
        <v>94</v>
      </c>
      <c r="B1884" s="566" t="s">
        <v>803</v>
      </c>
      <c r="C1884" s="567" t="s">
        <v>1730</v>
      </c>
      <c r="D1884" s="958">
        <v>1.1000000000000001</v>
      </c>
      <c r="E1884" s="959" t="s">
        <v>254</v>
      </c>
      <c r="F1884" s="558" t="s">
        <v>1444</v>
      </c>
      <c r="G1884" s="558">
        <v>647</v>
      </c>
      <c r="H1884" s="558">
        <v>4.0999999999999996</v>
      </c>
      <c r="I1884" s="559" t="s">
        <v>820</v>
      </c>
      <c r="J1884" s="567" t="s">
        <v>1731</v>
      </c>
      <c r="K1884" s="961" t="s">
        <v>1373</v>
      </c>
      <c r="L1884" s="555" t="str">
        <f t="shared" ca="1" si="318"/>
        <v/>
      </c>
      <c r="M1884" s="494" t="s">
        <v>1609</v>
      </c>
      <c r="N1884" s="555" t="str">
        <f t="shared" ca="1" si="319"/>
        <v/>
      </c>
      <c r="O1884" s="494" t="s">
        <v>1732</v>
      </c>
      <c r="P1884" s="555" t="str">
        <f t="shared" ca="1" si="320"/>
        <v/>
      </c>
      <c r="Q1884" s="494" t="s">
        <v>1733</v>
      </c>
      <c r="R1884" s="494" t="str">
        <f t="shared" si="322"/>
        <v>H1884</v>
      </c>
      <c r="S1884" s="494" t="s">
        <v>1734</v>
      </c>
      <c r="T1884" s="494">
        <v>7</v>
      </c>
      <c r="U1884" s="556" t="str">
        <f t="shared" ca="1" si="315"/>
        <v/>
      </c>
      <c r="V1884" s="494">
        <v>8</v>
      </c>
      <c r="W1884" s="556" t="str">
        <f t="shared" ca="1" si="316"/>
        <v/>
      </c>
      <c r="X1884" s="557"/>
      <c r="Y1884" s="958"/>
      <c r="Z1884" s="958"/>
      <c r="AA1884" s="958"/>
      <c r="AB1884" s="958" t="s">
        <v>1735</v>
      </c>
      <c r="AC1884" s="547" t="str">
        <f t="shared" ca="1" si="317"/>
        <v/>
      </c>
      <c r="AD1884" s="494" t="s">
        <v>1736</v>
      </c>
      <c r="AE1884" s="547" t="str">
        <f t="shared" ca="1" si="321"/>
        <v/>
      </c>
    </row>
    <row r="1885" spans="1:31" ht="15" customHeight="1">
      <c r="A1885" s="957">
        <v>94</v>
      </c>
      <c r="B1885" s="566" t="s">
        <v>803</v>
      </c>
      <c r="C1885" s="567" t="s">
        <v>1730</v>
      </c>
      <c r="D1885" s="958">
        <v>1.1000000000000001</v>
      </c>
      <c r="E1885" s="959" t="s">
        <v>254</v>
      </c>
      <c r="F1885" s="558" t="s">
        <v>1444</v>
      </c>
      <c r="G1885" s="558">
        <v>648</v>
      </c>
      <c r="H1885" s="558">
        <v>4.2</v>
      </c>
      <c r="I1885" s="559" t="s">
        <v>821</v>
      </c>
      <c r="J1885" s="567" t="s">
        <v>1731</v>
      </c>
      <c r="K1885" s="961" t="s">
        <v>1373</v>
      </c>
      <c r="L1885" s="555" t="str">
        <f t="shared" ca="1" si="318"/>
        <v/>
      </c>
      <c r="M1885" s="494" t="s">
        <v>1609</v>
      </c>
      <c r="N1885" s="555" t="str">
        <f t="shared" ca="1" si="319"/>
        <v/>
      </c>
      <c r="O1885" s="494" t="s">
        <v>1732</v>
      </c>
      <c r="P1885" s="555" t="str">
        <f t="shared" ca="1" si="320"/>
        <v/>
      </c>
      <c r="Q1885" s="494" t="s">
        <v>1733</v>
      </c>
      <c r="R1885" s="494" t="str">
        <f t="shared" si="322"/>
        <v>H1885</v>
      </c>
      <c r="S1885" s="494" t="s">
        <v>1734</v>
      </c>
      <c r="T1885" s="494">
        <v>7</v>
      </c>
      <c r="U1885" s="556" t="str">
        <f t="shared" ca="1" si="315"/>
        <v/>
      </c>
      <c r="V1885" s="494">
        <v>8</v>
      </c>
      <c r="W1885" s="556" t="str">
        <f t="shared" ca="1" si="316"/>
        <v/>
      </c>
      <c r="X1885" s="557"/>
      <c r="Y1885" s="958"/>
      <c r="Z1885" s="958"/>
      <c r="AA1885" s="958"/>
      <c r="AB1885" s="958" t="s">
        <v>1735</v>
      </c>
      <c r="AC1885" s="547" t="str">
        <f t="shared" ca="1" si="317"/>
        <v/>
      </c>
      <c r="AD1885" s="494" t="s">
        <v>1736</v>
      </c>
      <c r="AE1885" s="547" t="str">
        <f t="shared" ca="1" si="321"/>
        <v/>
      </c>
    </row>
    <row r="1886" spans="1:31" ht="15" customHeight="1">
      <c r="A1886" s="957">
        <v>94</v>
      </c>
      <c r="B1886" s="566" t="s">
        <v>803</v>
      </c>
      <c r="C1886" s="567" t="s">
        <v>1730</v>
      </c>
      <c r="D1886" s="958">
        <v>1.1000000000000001</v>
      </c>
      <c r="E1886" s="959" t="s">
        <v>254</v>
      </c>
      <c r="F1886" s="558" t="s">
        <v>1444</v>
      </c>
      <c r="G1886" s="558">
        <v>649</v>
      </c>
      <c r="H1886" s="558">
        <v>5.0999999999999996</v>
      </c>
      <c r="I1886" s="559" t="s">
        <v>298</v>
      </c>
      <c r="J1886" s="567" t="s">
        <v>1731</v>
      </c>
      <c r="K1886" s="961" t="s">
        <v>1373</v>
      </c>
      <c r="L1886" s="555" t="str">
        <f t="shared" ca="1" si="318"/>
        <v/>
      </c>
      <c r="M1886" s="494" t="s">
        <v>1609</v>
      </c>
      <c r="N1886" s="555" t="str">
        <f t="shared" ca="1" si="319"/>
        <v/>
      </c>
      <c r="O1886" s="494" t="s">
        <v>1732</v>
      </c>
      <c r="P1886" s="555" t="str">
        <f t="shared" ca="1" si="320"/>
        <v/>
      </c>
      <c r="Q1886" s="494" t="s">
        <v>1733</v>
      </c>
      <c r="R1886" s="494" t="str">
        <f t="shared" si="322"/>
        <v>H1886</v>
      </c>
      <c r="S1886" s="494" t="s">
        <v>1734</v>
      </c>
      <c r="T1886" s="494">
        <v>7</v>
      </c>
      <c r="U1886" s="556" t="str">
        <f t="shared" ca="1" si="315"/>
        <v/>
      </c>
      <c r="V1886" s="494">
        <v>8</v>
      </c>
      <c r="W1886" s="556" t="str">
        <f t="shared" ca="1" si="316"/>
        <v/>
      </c>
      <c r="X1886" s="557"/>
      <c r="Y1886" s="958"/>
      <c r="Z1886" s="958"/>
      <c r="AA1886" s="958"/>
      <c r="AB1886" s="958" t="s">
        <v>1735</v>
      </c>
      <c r="AC1886" s="547" t="str">
        <f t="shared" ca="1" si="317"/>
        <v/>
      </c>
      <c r="AD1886" s="494" t="s">
        <v>1736</v>
      </c>
      <c r="AE1886" s="547" t="str">
        <f t="shared" ca="1" si="321"/>
        <v/>
      </c>
    </row>
    <row r="1887" spans="1:31" ht="15" customHeight="1">
      <c r="A1887" s="957">
        <v>94</v>
      </c>
      <c r="B1887" s="566" t="s">
        <v>803</v>
      </c>
      <c r="C1887" s="567" t="s">
        <v>1730</v>
      </c>
      <c r="D1887" s="958">
        <v>1.1000000000000001</v>
      </c>
      <c r="E1887" s="959" t="s">
        <v>254</v>
      </c>
      <c r="F1887" s="558" t="s">
        <v>1444</v>
      </c>
      <c r="G1887" s="558">
        <v>650</v>
      </c>
      <c r="H1887" s="558">
        <v>5.2</v>
      </c>
      <c r="I1887" s="559" t="s">
        <v>824</v>
      </c>
      <c r="J1887" s="567" t="s">
        <v>1731</v>
      </c>
      <c r="K1887" s="961" t="s">
        <v>1373</v>
      </c>
      <c r="L1887" s="555" t="str">
        <f t="shared" ca="1" si="318"/>
        <v/>
      </c>
      <c r="M1887" s="494" t="s">
        <v>1609</v>
      </c>
      <c r="N1887" s="555" t="str">
        <f t="shared" ca="1" si="319"/>
        <v/>
      </c>
      <c r="O1887" s="494" t="s">
        <v>1732</v>
      </c>
      <c r="P1887" s="555" t="str">
        <f t="shared" ca="1" si="320"/>
        <v/>
      </c>
      <c r="Q1887" s="494" t="s">
        <v>1733</v>
      </c>
      <c r="R1887" s="494" t="str">
        <f t="shared" si="322"/>
        <v>H1887</v>
      </c>
      <c r="S1887" s="494" t="s">
        <v>1734</v>
      </c>
      <c r="T1887" s="494">
        <v>7</v>
      </c>
      <c r="U1887" s="556" t="str">
        <f t="shared" ca="1" si="315"/>
        <v/>
      </c>
      <c r="V1887" s="494">
        <v>8</v>
      </c>
      <c r="W1887" s="556" t="str">
        <f t="shared" ca="1" si="316"/>
        <v/>
      </c>
      <c r="X1887" s="557"/>
      <c r="Y1887" s="958"/>
      <c r="Z1887" s="958"/>
      <c r="AA1887" s="958"/>
      <c r="AB1887" s="958" t="s">
        <v>1735</v>
      </c>
      <c r="AC1887" s="547" t="str">
        <f t="shared" ca="1" si="317"/>
        <v/>
      </c>
      <c r="AD1887" s="494" t="s">
        <v>1736</v>
      </c>
      <c r="AE1887" s="547" t="str">
        <f t="shared" ca="1" si="321"/>
        <v/>
      </c>
    </row>
    <row r="1888" spans="1:31" ht="15" customHeight="1">
      <c r="A1888" s="957">
        <v>94</v>
      </c>
      <c r="B1888" s="566" t="s">
        <v>803</v>
      </c>
      <c r="C1888" s="567" t="s">
        <v>1730</v>
      </c>
      <c r="D1888" s="958">
        <v>1.1000000000000001</v>
      </c>
      <c r="E1888" s="959" t="s">
        <v>254</v>
      </c>
      <c r="F1888" s="558" t="s">
        <v>1444</v>
      </c>
      <c r="G1888" s="558">
        <v>651</v>
      </c>
      <c r="H1888" s="558">
        <v>5.3</v>
      </c>
      <c r="I1888" s="559" t="s">
        <v>825</v>
      </c>
      <c r="J1888" s="567" t="s">
        <v>1731</v>
      </c>
      <c r="K1888" s="961" t="s">
        <v>1373</v>
      </c>
      <c r="L1888" s="555" t="str">
        <f t="shared" ca="1" si="318"/>
        <v/>
      </c>
      <c r="M1888" s="494" t="s">
        <v>1609</v>
      </c>
      <c r="N1888" s="555" t="str">
        <f t="shared" ca="1" si="319"/>
        <v/>
      </c>
      <c r="O1888" s="494" t="s">
        <v>1732</v>
      </c>
      <c r="P1888" s="555" t="str">
        <f t="shared" ca="1" si="320"/>
        <v/>
      </c>
      <c r="Q1888" s="494" t="s">
        <v>1733</v>
      </c>
      <c r="R1888" s="494" t="str">
        <f t="shared" si="322"/>
        <v>H1888</v>
      </c>
      <c r="S1888" s="494" t="s">
        <v>1734</v>
      </c>
      <c r="T1888" s="494">
        <v>7</v>
      </c>
      <c r="U1888" s="556" t="str">
        <f t="shared" ca="1" si="315"/>
        <v/>
      </c>
      <c r="V1888" s="494">
        <v>8</v>
      </c>
      <c r="W1888" s="556" t="str">
        <f t="shared" ca="1" si="316"/>
        <v/>
      </c>
      <c r="X1888" s="557"/>
      <c r="Y1888" s="958"/>
      <c r="Z1888" s="958"/>
      <c r="AA1888" s="958"/>
      <c r="AB1888" s="958" t="s">
        <v>1735</v>
      </c>
      <c r="AC1888" s="547" t="str">
        <f t="shared" ca="1" si="317"/>
        <v/>
      </c>
      <c r="AD1888" s="494" t="s">
        <v>1736</v>
      </c>
      <c r="AE1888" s="547" t="str">
        <f t="shared" ca="1" si="321"/>
        <v/>
      </c>
    </row>
    <row r="1889" spans="1:31" ht="15" customHeight="1">
      <c r="A1889" s="957">
        <v>94</v>
      </c>
      <c r="B1889" s="566" t="s">
        <v>803</v>
      </c>
      <c r="C1889" s="567" t="s">
        <v>1730</v>
      </c>
      <c r="D1889" s="958">
        <v>1.1000000000000001</v>
      </c>
      <c r="E1889" s="959" t="s">
        <v>254</v>
      </c>
      <c r="F1889" s="558" t="s">
        <v>1444</v>
      </c>
      <c r="G1889" s="558">
        <v>652</v>
      </c>
      <c r="H1889" s="558">
        <v>6.1</v>
      </c>
      <c r="I1889" s="559" t="s">
        <v>828</v>
      </c>
      <c r="J1889" s="567" t="s">
        <v>1731</v>
      </c>
      <c r="K1889" s="961" t="s">
        <v>1373</v>
      </c>
      <c r="L1889" s="555" t="str">
        <f t="shared" ca="1" si="318"/>
        <v/>
      </c>
      <c r="M1889" s="494" t="s">
        <v>1609</v>
      </c>
      <c r="N1889" s="555" t="str">
        <f t="shared" ca="1" si="319"/>
        <v/>
      </c>
      <c r="O1889" s="494" t="s">
        <v>1732</v>
      </c>
      <c r="P1889" s="555" t="str">
        <f t="shared" ca="1" si="320"/>
        <v/>
      </c>
      <c r="Q1889" s="494" t="s">
        <v>1733</v>
      </c>
      <c r="R1889" s="494" t="str">
        <f t="shared" si="322"/>
        <v>H1889</v>
      </c>
      <c r="S1889" s="494" t="s">
        <v>1734</v>
      </c>
      <c r="T1889" s="494">
        <v>7</v>
      </c>
      <c r="U1889" s="556" t="str">
        <f t="shared" ca="1" si="315"/>
        <v/>
      </c>
      <c r="V1889" s="494">
        <v>8</v>
      </c>
      <c r="W1889" s="556" t="str">
        <f t="shared" ca="1" si="316"/>
        <v/>
      </c>
      <c r="X1889" s="557"/>
      <c r="Y1889" s="958"/>
      <c r="Z1889" s="958"/>
      <c r="AA1889" s="958"/>
      <c r="AB1889" s="958" t="s">
        <v>1735</v>
      </c>
      <c r="AC1889" s="547" t="str">
        <f t="shared" ca="1" si="317"/>
        <v/>
      </c>
      <c r="AD1889" s="494" t="s">
        <v>1736</v>
      </c>
      <c r="AE1889" s="547" t="str">
        <f t="shared" ca="1" si="321"/>
        <v/>
      </c>
    </row>
    <row r="1890" spans="1:31" ht="15" customHeight="1">
      <c r="A1890" s="957">
        <v>94</v>
      </c>
      <c r="B1890" s="566" t="s">
        <v>803</v>
      </c>
      <c r="C1890" s="567" t="s">
        <v>1730</v>
      </c>
      <c r="D1890" s="958">
        <v>1.1000000000000001</v>
      </c>
      <c r="E1890" s="959" t="s">
        <v>254</v>
      </c>
      <c r="F1890" s="558" t="s">
        <v>1444</v>
      </c>
      <c r="G1890" s="558">
        <v>653</v>
      </c>
      <c r="H1890" s="558">
        <v>6.2</v>
      </c>
      <c r="I1890" s="559" t="s">
        <v>829</v>
      </c>
      <c r="J1890" s="567" t="s">
        <v>1731</v>
      </c>
      <c r="K1890" s="961" t="s">
        <v>1373</v>
      </c>
      <c r="L1890" s="555" t="str">
        <f t="shared" ca="1" si="318"/>
        <v/>
      </c>
      <c r="M1890" s="494" t="s">
        <v>1609</v>
      </c>
      <c r="N1890" s="555" t="str">
        <f t="shared" ca="1" si="319"/>
        <v/>
      </c>
      <c r="O1890" s="494" t="s">
        <v>1732</v>
      </c>
      <c r="P1890" s="555" t="str">
        <f t="shared" ca="1" si="320"/>
        <v/>
      </c>
      <c r="Q1890" s="494" t="s">
        <v>1733</v>
      </c>
      <c r="R1890" s="494" t="str">
        <f t="shared" si="322"/>
        <v>H1890</v>
      </c>
      <c r="S1890" s="494" t="s">
        <v>1734</v>
      </c>
      <c r="T1890" s="494">
        <v>7</v>
      </c>
      <c r="U1890" s="556" t="str">
        <f t="shared" ca="1" si="315"/>
        <v/>
      </c>
      <c r="V1890" s="494">
        <v>8</v>
      </c>
      <c r="W1890" s="556" t="str">
        <f t="shared" ca="1" si="316"/>
        <v/>
      </c>
      <c r="X1890" s="557"/>
      <c r="Y1890" s="958"/>
      <c r="Z1890" s="958"/>
      <c r="AA1890" s="958"/>
      <c r="AB1890" s="958" t="s">
        <v>1735</v>
      </c>
      <c r="AC1890" s="547" t="str">
        <f t="shared" ca="1" si="317"/>
        <v/>
      </c>
      <c r="AD1890" s="494" t="s">
        <v>1736</v>
      </c>
      <c r="AE1890" s="547" t="str">
        <f t="shared" ca="1" si="321"/>
        <v/>
      </c>
    </row>
    <row r="1891" spans="1:31" ht="15" customHeight="1">
      <c r="A1891" s="957">
        <v>94</v>
      </c>
      <c r="B1891" s="566" t="s">
        <v>803</v>
      </c>
      <c r="C1891" s="567" t="s">
        <v>1730</v>
      </c>
      <c r="D1891" s="958">
        <v>1.1000000000000001</v>
      </c>
      <c r="E1891" s="959" t="s">
        <v>254</v>
      </c>
      <c r="F1891" s="558" t="s">
        <v>1444</v>
      </c>
      <c r="G1891" s="558">
        <v>654</v>
      </c>
      <c r="H1891" s="558">
        <v>6.3</v>
      </c>
      <c r="I1891" s="559" t="s">
        <v>830</v>
      </c>
      <c r="J1891" s="567" t="s">
        <v>1731</v>
      </c>
      <c r="K1891" s="961" t="s">
        <v>1373</v>
      </c>
      <c r="L1891" s="555" t="str">
        <f t="shared" ca="1" si="318"/>
        <v/>
      </c>
      <c r="M1891" s="494" t="s">
        <v>1609</v>
      </c>
      <c r="N1891" s="555" t="str">
        <f t="shared" ca="1" si="319"/>
        <v/>
      </c>
      <c r="O1891" s="494" t="s">
        <v>1732</v>
      </c>
      <c r="P1891" s="555" t="str">
        <f t="shared" ca="1" si="320"/>
        <v/>
      </c>
      <c r="Q1891" s="494" t="s">
        <v>1733</v>
      </c>
      <c r="R1891" s="494" t="str">
        <f t="shared" si="322"/>
        <v>H1891</v>
      </c>
      <c r="S1891" s="494" t="s">
        <v>1734</v>
      </c>
      <c r="T1891" s="494">
        <v>7</v>
      </c>
      <c r="U1891" s="556" t="str">
        <f t="shared" ca="1" si="315"/>
        <v/>
      </c>
      <c r="V1891" s="494">
        <v>8</v>
      </c>
      <c r="W1891" s="556" t="str">
        <f t="shared" ca="1" si="316"/>
        <v/>
      </c>
      <c r="X1891" s="557"/>
      <c r="Y1891" s="958"/>
      <c r="Z1891" s="958"/>
      <c r="AA1891" s="958"/>
      <c r="AB1891" s="958" t="s">
        <v>1735</v>
      </c>
      <c r="AC1891" s="547" t="str">
        <f t="shared" ca="1" si="317"/>
        <v/>
      </c>
      <c r="AD1891" s="494" t="s">
        <v>1736</v>
      </c>
      <c r="AE1891" s="547" t="str">
        <f t="shared" ca="1" si="321"/>
        <v/>
      </c>
    </row>
    <row r="1892" spans="1:31" ht="15" customHeight="1">
      <c r="A1892" s="957">
        <v>94</v>
      </c>
      <c r="B1892" s="566" t="s">
        <v>803</v>
      </c>
      <c r="C1892" s="567" t="s">
        <v>1730</v>
      </c>
      <c r="D1892" s="958">
        <v>1.1000000000000001</v>
      </c>
      <c r="E1892" s="959" t="s">
        <v>254</v>
      </c>
      <c r="F1892" s="558" t="s">
        <v>1444</v>
      </c>
      <c r="G1892" s="558">
        <v>655</v>
      </c>
      <c r="H1892" s="558">
        <v>7.1</v>
      </c>
      <c r="I1892" s="559" t="s">
        <v>290</v>
      </c>
      <c r="J1892" s="567" t="s">
        <v>1731</v>
      </c>
      <c r="K1892" s="961" t="s">
        <v>1373</v>
      </c>
      <c r="L1892" s="555" t="str">
        <f t="shared" ca="1" si="318"/>
        <v/>
      </c>
      <c r="M1892" s="494" t="s">
        <v>1609</v>
      </c>
      <c r="N1892" s="555" t="str">
        <f t="shared" ca="1" si="319"/>
        <v/>
      </c>
      <c r="O1892" s="494" t="s">
        <v>1732</v>
      </c>
      <c r="P1892" s="555" t="str">
        <f t="shared" ca="1" si="320"/>
        <v/>
      </c>
      <c r="Q1892" s="494" t="s">
        <v>1733</v>
      </c>
      <c r="R1892" s="494" t="str">
        <f t="shared" si="322"/>
        <v>H1892</v>
      </c>
      <c r="S1892" s="494" t="s">
        <v>1734</v>
      </c>
      <c r="T1892" s="494">
        <v>7</v>
      </c>
      <c r="U1892" s="556" t="str">
        <f t="shared" ca="1" si="315"/>
        <v/>
      </c>
      <c r="V1892" s="494">
        <v>8</v>
      </c>
      <c r="W1892" s="556" t="str">
        <f t="shared" ca="1" si="316"/>
        <v/>
      </c>
      <c r="X1892" s="557"/>
      <c r="Y1892" s="958"/>
      <c r="Z1892" s="958"/>
      <c r="AA1892" s="958"/>
      <c r="AB1892" s="958" t="s">
        <v>1735</v>
      </c>
      <c r="AC1892" s="547" t="str">
        <f t="shared" ca="1" si="317"/>
        <v/>
      </c>
      <c r="AD1892" s="494" t="s">
        <v>1736</v>
      </c>
      <c r="AE1892" s="547" t="str">
        <f t="shared" ca="1" si="321"/>
        <v/>
      </c>
    </row>
    <row r="1893" spans="1:31" ht="15" customHeight="1">
      <c r="A1893" s="957">
        <v>94</v>
      </c>
      <c r="B1893" s="566" t="s">
        <v>803</v>
      </c>
      <c r="C1893" s="567" t="s">
        <v>1730</v>
      </c>
      <c r="D1893" s="958">
        <v>1.1000000000000001</v>
      </c>
      <c r="E1893" s="959" t="s">
        <v>254</v>
      </c>
      <c r="F1893" s="558" t="s">
        <v>1444</v>
      </c>
      <c r="G1893" s="558">
        <v>656</v>
      </c>
      <c r="H1893" s="558">
        <v>7.2</v>
      </c>
      <c r="I1893" s="559" t="s">
        <v>832</v>
      </c>
      <c r="J1893" s="567" t="s">
        <v>1731</v>
      </c>
      <c r="K1893" s="961" t="s">
        <v>1373</v>
      </c>
      <c r="L1893" s="555" t="str">
        <f t="shared" ca="1" si="318"/>
        <v/>
      </c>
      <c r="M1893" s="494" t="s">
        <v>1609</v>
      </c>
      <c r="N1893" s="555" t="str">
        <f t="shared" ca="1" si="319"/>
        <v/>
      </c>
      <c r="O1893" s="494" t="s">
        <v>1732</v>
      </c>
      <c r="P1893" s="555" t="str">
        <f t="shared" ca="1" si="320"/>
        <v/>
      </c>
      <c r="Q1893" s="494" t="s">
        <v>1733</v>
      </c>
      <c r="R1893" s="494" t="str">
        <f t="shared" si="322"/>
        <v>H1893</v>
      </c>
      <c r="S1893" s="494" t="s">
        <v>1734</v>
      </c>
      <c r="T1893" s="494">
        <v>7</v>
      </c>
      <c r="U1893" s="556" t="str">
        <f t="shared" ca="1" si="315"/>
        <v/>
      </c>
      <c r="V1893" s="494">
        <v>8</v>
      </c>
      <c r="W1893" s="556" t="str">
        <f t="shared" ca="1" si="316"/>
        <v/>
      </c>
      <c r="X1893" s="557"/>
      <c r="Y1893" s="958"/>
      <c r="Z1893" s="958"/>
      <c r="AA1893" s="958"/>
      <c r="AB1893" s="958" t="s">
        <v>1735</v>
      </c>
      <c r="AC1893" s="547" t="str">
        <f t="shared" ca="1" si="317"/>
        <v/>
      </c>
      <c r="AD1893" s="494" t="s">
        <v>1736</v>
      </c>
      <c r="AE1893" s="547" t="str">
        <f t="shared" ca="1" si="321"/>
        <v/>
      </c>
    </row>
    <row r="1894" spans="1:31" ht="15" customHeight="1">
      <c r="A1894" s="957">
        <v>94</v>
      </c>
      <c r="B1894" s="566" t="s">
        <v>803</v>
      </c>
      <c r="C1894" s="567" t="s">
        <v>1730</v>
      </c>
      <c r="D1894" s="958">
        <v>1.1000000000000001</v>
      </c>
      <c r="E1894" s="959" t="s">
        <v>254</v>
      </c>
      <c r="F1894" s="558" t="s">
        <v>1444</v>
      </c>
      <c r="G1894" s="558">
        <v>657</v>
      </c>
      <c r="H1894" s="558">
        <v>7.3</v>
      </c>
      <c r="I1894" s="559" t="s">
        <v>833</v>
      </c>
      <c r="J1894" s="567" t="s">
        <v>1731</v>
      </c>
      <c r="K1894" s="961" t="s">
        <v>1373</v>
      </c>
      <c r="L1894" s="555" t="str">
        <f t="shared" ca="1" si="318"/>
        <v/>
      </c>
      <c r="M1894" s="494" t="s">
        <v>1609</v>
      </c>
      <c r="N1894" s="555" t="str">
        <f t="shared" ca="1" si="319"/>
        <v/>
      </c>
      <c r="O1894" s="494" t="s">
        <v>1732</v>
      </c>
      <c r="P1894" s="555" t="str">
        <f t="shared" ca="1" si="320"/>
        <v/>
      </c>
      <c r="Q1894" s="494" t="s">
        <v>1733</v>
      </c>
      <c r="R1894" s="494" t="str">
        <f t="shared" si="322"/>
        <v>H1894</v>
      </c>
      <c r="S1894" s="494" t="s">
        <v>1734</v>
      </c>
      <c r="T1894" s="494">
        <v>7</v>
      </c>
      <c r="U1894" s="556" t="str">
        <f t="shared" ca="1" si="315"/>
        <v/>
      </c>
      <c r="V1894" s="494">
        <v>8</v>
      </c>
      <c r="W1894" s="556" t="str">
        <f t="shared" ca="1" si="316"/>
        <v/>
      </c>
      <c r="X1894" s="557"/>
      <c r="Y1894" s="958"/>
      <c r="Z1894" s="958"/>
      <c r="AA1894" s="958"/>
      <c r="AB1894" s="958" t="s">
        <v>1735</v>
      </c>
      <c r="AC1894" s="547" t="str">
        <f t="shared" ca="1" si="317"/>
        <v/>
      </c>
      <c r="AD1894" s="494" t="s">
        <v>1736</v>
      </c>
      <c r="AE1894" s="547" t="str">
        <f t="shared" ca="1" si="321"/>
        <v/>
      </c>
    </row>
    <row r="1895" spans="1:31" ht="15" customHeight="1">
      <c r="A1895" s="957">
        <v>94</v>
      </c>
      <c r="B1895" s="566" t="s">
        <v>803</v>
      </c>
      <c r="C1895" s="567" t="s">
        <v>1730</v>
      </c>
      <c r="D1895" s="958">
        <v>1.1000000000000001</v>
      </c>
      <c r="E1895" s="959" t="s">
        <v>306</v>
      </c>
      <c r="F1895" s="558" t="s">
        <v>1454</v>
      </c>
      <c r="G1895" s="558">
        <v>658</v>
      </c>
      <c r="H1895" s="558">
        <v>8.1</v>
      </c>
      <c r="I1895" s="559" t="s">
        <v>835</v>
      </c>
      <c r="J1895" s="567" t="s">
        <v>1731</v>
      </c>
      <c r="K1895" s="961" t="s">
        <v>1373</v>
      </c>
      <c r="L1895" s="555" t="str">
        <f t="shared" ca="1" si="318"/>
        <v/>
      </c>
      <c r="M1895" s="494" t="s">
        <v>1609</v>
      </c>
      <c r="N1895" s="555" t="str">
        <f t="shared" ca="1" si="319"/>
        <v/>
      </c>
      <c r="O1895" s="494" t="s">
        <v>1732</v>
      </c>
      <c r="P1895" s="555" t="str">
        <f t="shared" ca="1" si="320"/>
        <v/>
      </c>
      <c r="Q1895" s="494" t="s">
        <v>1733</v>
      </c>
      <c r="R1895" s="494" t="str">
        <f t="shared" si="322"/>
        <v>H1895</v>
      </c>
      <c r="S1895" s="494" t="s">
        <v>1734</v>
      </c>
      <c r="T1895" s="494">
        <v>7</v>
      </c>
      <c r="U1895" s="556" t="str">
        <f t="shared" ca="1" si="315"/>
        <v/>
      </c>
      <c r="V1895" s="494">
        <v>8</v>
      </c>
      <c r="W1895" s="556" t="str">
        <f t="shared" ca="1" si="316"/>
        <v/>
      </c>
      <c r="X1895" s="557"/>
      <c r="Y1895" s="958"/>
      <c r="Z1895" s="958"/>
      <c r="AA1895" s="958"/>
      <c r="AB1895" s="958" t="s">
        <v>1735</v>
      </c>
      <c r="AC1895" s="547" t="str">
        <f t="shared" ca="1" si="317"/>
        <v/>
      </c>
      <c r="AD1895" s="494" t="s">
        <v>1736</v>
      </c>
      <c r="AE1895" s="547" t="str">
        <f t="shared" ca="1" si="321"/>
        <v/>
      </c>
    </row>
    <row r="1896" spans="1:31" ht="15" customHeight="1">
      <c r="A1896" s="957">
        <v>94</v>
      </c>
      <c r="B1896" s="566" t="s">
        <v>803</v>
      </c>
      <c r="C1896" s="567" t="s">
        <v>1730</v>
      </c>
      <c r="D1896" s="958">
        <v>1.1000000000000001</v>
      </c>
      <c r="E1896" s="959" t="s">
        <v>306</v>
      </c>
      <c r="F1896" s="558" t="s">
        <v>1454</v>
      </c>
      <c r="G1896" s="558">
        <v>659</v>
      </c>
      <c r="H1896" s="558">
        <v>8.1999999999999993</v>
      </c>
      <c r="I1896" s="559" t="s">
        <v>836</v>
      </c>
      <c r="J1896" s="567" t="s">
        <v>1731</v>
      </c>
      <c r="K1896" s="961" t="s">
        <v>1373</v>
      </c>
      <c r="L1896" s="555" t="str">
        <f t="shared" ca="1" si="318"/>
        <v/>
      </c>
      <c r="M1896" s="494" t="s">
        <v>1609</v>
      </c>
      <c r="N1896" s="555" t="str">
        <f t="shared" ca="1" si="319"/>
        <v/>
      </c>
      <c r="O1896" s="494" t="s">
        <v>1732</v>
      </c>
      <c r="P1896" s="555" t="str">
        <f t="shared" ca="1" si="320"/>
        <v/>
      </c>
      <c r="Q1896" s="494" t="s">
        <v>1733</v>
      </c>
      <c r="R1896" s="494" t="str">
        <f t="shared" si="322"/>
        <v>H1896</v>
      </c>
      <c r="S1896" s="494" t="s">
        <v>1734</v>
      </c>
      <c r="T1896" s="494">
        <v>7</v>
      </c>
      <c r="U1896" s="556" t="str">
        <f t="shared" ca="1" si="315"/>
        <v/>
      </c>
      <c r="V1896" s="494">
        <v>8</v>
      </c>
      <c r="W1896" s="556" t="str">
        <f t="shared" ca="1" si="316"/>
        <v/>
      </c>
      <c r="X1896" s="557"/>
      <c r="Y1896" s="958"/>
      <c r="Z1896" s="958"/>
      <c r="AA1896" s="958"/>
      <c r="AB1896" s="958" t="s">
        <v>1735</v>
      </c>
      <c r="AC1896" s="547" t="str">
        <f t="shared" ca="1" si="317"/>
        <v/>
      </c>
      <c r="AD1896" s="494" t="s">
        <v>1736</v>
      </c>
      <c r="AE1896" s="547" t="str">
        <f t="shared" ca="1" si="321"/>
        <v/>
      </c>
    </row>
    <row r="1897" spans="1:31" ht="15" customHeight="1">
      <c r="A1897" s="957">
        <v>94</v>
      </c>
      <c r="B1897" s="566" t="s">
        <v>803</v>
      </c>
      <c r="C1897" s="567" t="s">
        <v>1730</v>
      </c>
      <c r="D1897" s="958">
        <v>1.1000000000000001</v>
      </c>
      <c r="E1897" s="959" t="s">
        <v>306</v>
      </c>
      <c r="F1897" s="558" t="s">
        <v>1454</v>
      </c>
      <c r="G1897" s="558">
        <v>660</v>
      </c>
      <c r="H1897" s="558">
        <v>8.3000000000000007</v>
      </c>
      <c r="I1897" s="559" t="s">
        <v>838</v>
      </c>
      <c r="J1897" s="567" t="s">
        <v>1731</v>
      </c>
      <c r="K1897" s="961" t="s">
        <v>1373</v>
      </c>
      <c r="L1897" s="555" t="str">
        <f t="shared" ca="1" si="318"/>
        <v/>
      </c>
      <c r="M1897" s="494" t="s">
        <v>1609</v>
      </c>
      <c r="N1897" s="555" t="str">
        <f t="shared" ca="1" si="319"/>
        <v/>
      </c>
      <c r="O1897" s="494" t="s">
        <v>1732</v>
      </c>
      <c r="P1897" s="555" t="str">
        <f t="shared" ca="1" si="320"/>
        <v/>
      </c>
      <c r="Q1897" s="494" t="s">
        <v>1733</v>
      </c>
      <c r="R1897" s="494" t="str">
        <f t="shared" si="322"/>
        <v>H1897</v>
      </c>
      <c r="S1897" s="494" t="s">
        <v>1734</v>
      </c>
      <c r="T1897" s="494">
        <v>7</v>
      </c>
      <c r="U1897" s="556" t="str">
        <f t="shared" ca="1" si="315"/>
        <v/>
      </c>
      <c r="V1897" s="494">
        <v>8</v>
      </c>
      <c r="W1897" s="556" t="str">
        <f t="shared" ca="1" si="316"/>
        <v/>
      </c>
      <c r="X1897" s="557"/>
      <c r="Y1897" s="958"/>
      <c r="Z1897" s="958"/>
      <c r="AA1897" s="958"/>
      <c r="AB1897" s="958" t="s">
        <v>1735</v>
      </c>
      <c r="AC1897" s="547" t="str">
        <f t="shared" ca="1" si="317"/>
        <v/>
      </c>
      <c r="AD1897" s="494" t="s">
        <v>1736</v>
      </c>
      <c r="AE1897" s="547" t="str">
        <f t="shared" ca="1" si="321"/>
        <v/>
      </c>
    </row>
    <row r="1898" spans="1:31" ht="15" customHeight="1">
      <c r="A1898" s="957">
        <v>94</v>
      </c>
      <c r="B1898" s="566" t="s">
        <v>803</v>
      </c>
      <c r="C1898" s="567" t="s">
        <v>1730</v>
      </c>
      <c r="D1898" s="958">
        <v>1.1000000000000001</v>
      </c>
      <c r="E1898" s="959" t="s">
        <v>306</v>
      </c>
      <c r="F1898" s="558" t="s">
        <v>1454</v>
      </c>
      <c r="G1898" s="558">
        <v>661</v>
      </c>
      <c r="H1898" s="558">
        <v>9.1</v>
      </c>
      <c r="I1898" s="559" t="s">
        <v>840</v>
      </c>
      <c r="J1898" s="567" t="s">
        <v>1731</v>
      </c>
      <c r="K1898" s="961" t="s">
        <v>1373</v>
      </c>
      <c r="L1898" s="555" t="str">
        <f t="shared" ca="1" si="318"/>
        <v/>
      </c>
      <c r="M1898" s="494" t="s">
        <v>1609</v>
      </c>
      <c r="N1898" s="555" t="str">
        <f t="shared" ca="1" si="319"/>
        <v/>
      </c>
      <c r="O1898" s="494" t="s">
        <v>1732</v>
      </c>
      <c r="P1898" s="555" t="str">
        <f t="shared" ca="1" si="320"/>
        <v/>
      </c>
      <c r="Q1898" s="494" t="s">
        <v>1733</v>
      </c>
      <c r="R1898" s="494" t="str">
        <f t="shared" si="322"/>
        <v>H1898</v>
      </c>
      <c r="S1898" s="494" t="s">
        <v>1734</v>
      </c>
      <c r="T1898" s="494">
        <v>7</v>
      </c>
      <c r="U1898" s="556" t="str">
        <f t="shared" ca="1" si="315"/>
        <v/>
      </c>
      <c r="V1898" s="494">
        <v>8</v>
      </c>
      <c r="W1898" s="556" t="str">
        <f t="shared" ca="1" si="316"/>
        <v/>
      </c>
      <c r="X1898" s="557"/>
      <c r="Y1898" s="958"/>
      <c r="Z1898" s="958"/>
      <c r="AA1898" s="958"/>
      <c r="AB1898" s="958" t="s">
        <v>1735</v>
      </c>
      <c r="AC1898" s="547" t="str">
        <f t="shared" ca="1" si="317"/>
        <v/>
      </c>
      <c r="AD1898" s="494" t="s">
        <v>1736</v>
      </c>
      <c r="AE1898" s="547" t="str">
        <f t="shared" ca="1" si="321"/>
        <v/>
      </c>
    </row>
    <row r="1899" spans="1:31" ht="15" customHeight="1">
      <c r="A1899" s="957">
        <v>94</v>
      </c>
      <c r="B1899" s="566" t="s">
        <v>803</v>
      </c>
      <c r="C1899" s="567" t="s">
        <v>1730</v>
      </c>
      <c r="D1899" s="958">
        <v>1.1000000000000001</v>
      </c>
      <c r="E1899" s="959" t="s">
        <v>306</v>
      </c>
      <c r="F1899" s="558" t="s">
        <v>1454</v>
      </c>
      <c r="G1899" s="558">
        <v>662</v>
      </c>
      <c r="H1899" s="558">
        <v>9.1999999999999993</v>
      </c>
      <c r="I1899" s="559" t="s">
        <v>841</v>
      </c>
      <c r="J1899" s="567" t="s">
        <v>1731</v>
      </c>
      <c r="K1899" s="961" t="s">
        <v>1373</v>
      </c>
      <c r="L1899" s="555" t="str">
        <f t="shared" ca="1" si="318"/>
        <v/>
      </c>
      <c r="M1899" s="494" t="s">
        <v>1609</v>
      </c>
      <c r="N1899" s="555" t="str">
        <f t="shared" ca="1" si="319"/>
        <v/>
      </c>
      <c r="O1899" s="494" t="s">
        <v>1732</v>
      </c>
      <c r="P1899" s="555" t="str">
        <f t="shared" ca="1" si="320"/>
        <v/>
      </c>
      <c r="Q1899" s="494" t="s">
        <v>1733</v>
      </c>
      <c r="R1899" s="494" t="str">
        <f t="shared" si="322"/>
        <v>H1899</v>
      </c>
      <c r="S1899" s="494" t="s">
        <v>1734</v>
      </c>
      <c r="T1899" s="494">
        <v>7</v>
      </c>
      <c r="U1899" s="556" t="str">
        <f t="shared" ca="1" si="315"/>
        <v/>
      </c>
      <c r="V1899" s="494">
        <v>8</v>
      </c>
      <c r="W1899" s="556" t="str">
        <f t="shared" ca="1" si="316"/>
        <v/>
      </c>
      <c r="X1899" s="557"/>
      <c r="Y1899" s="958"/>
      <c r="Z1899" s="958"/>
      <c r="AA1899" s="958"/>
      <c r="AB1899" s="958" t="s">
        <v>1735</v>
      </c>
      <c r="AC1899" s="547" t="str">
        <f t="shared" ca="1" si="317"/>
        <v/>
      </c>
      <c r="AD1899" s="494" t="s">
        <v>1736</v>
      </c>
      <c r="AE1899" s="547" t="str">
        <f t="shared" ca="1" si="321"/>
        <v/>
      </c>
    </row>
    <row r="1900" spans="1:31" ht="15" customHeight="1">
      <c r="A1900" s="957">
        <v>94</v>
      </c>
      <c r="B1900" s="566" t="s">
        <v>803</v>
      </c>
      <c r="C1900" s="567" t="s">
        <v>1730</v>
      </c>
      <c r="D1900" s="958">
        <v>1.1000000000000001</v>
      </c>
      <c r="E1900" s="959" t="s">
        <v>306</v>
      </c>
      <c r="F1900" s="558" t="s">
        <v>1454</v>
      </c>
      <c r="G1900" s="558">
        <v>663</v>
      </c>
      <c r="H1900" s="558">
        <v>10.1</v>
      </c>
      <c r="I1900" s="559" t="s">
        <v>843</v>
      </c>
      <c r="J1900" s="567" t="s">
        <v>1731</v>
      </c>
      <c r="K1900" s="961" t="s">
        <v>1373</v>
      </c>
      <c r="L1900" s="555" t="str">
        <f t="shared" ca="1" si="318"/>
        <v/>
      </c>
      <c r="M1900" s="494" t="s">
        <v>1609</v>
      </c>
      <c r="N1900" s="555" t="str">
        <f t="shared" ca="1" si="319"/>
        <v/>
      </c>
      <c r="O1900" s="494" t="s">
        <v>1732</v>
      </c>
      <c r="P1900" s="555" t="str">
        <f t="shared" ca="1" si="320"/>
        <v/>
      </c>
      <c r="Q1900" s="494" t="s">
        <v>1733</v>
      </c>
      <c r="R1900" s="494" t="str">
        <f t="shared" si="322"/>
        <v>H1900</v>
      </c>
      <c r="S1900" s="494" t="s">
        <v>1734</v>
      </c>
      <c r="T1900" s="494">
        <v>7</v>
      </c>
      <c r="U1900" s="556" t="str">
        <f t="shared" ca="1" si="315"/>
        <v/>
      </c>
      <c r="V1900" s="494">
        <v>8</v>
      </c>
      <c r="W1900" s="556" t="str">
        <f t="shared" ca="1" si="316"/>
        <v/>
      </c>
      <c r="X1900" s="557"/>
      <c r="Y1900" s="958"/>
      <c r="Z1900" s="958"/>
      <c r="AA1900" s="958"/>
      <c r="AB1900" s="958" t="s">
        <v>1735</v>
      </c>
      <c r="AC1900" s="547" t="str">
        <f t="shared" ca="1" si="317"/>
        <v/>
      </c>
      <c r="AD1900" s="494" t="s">
        <v>1736</v>
      </c>
      <c r="AE1900" s="547" t="str">
        <f t="shared" ca="1" si="321"/>
        <v/>
      </c>
    </row>
    <row r="1901" spans="1:31" ht="15" customHeight="1">
      <c r="A1901" s="957">
        <v>94</v>
      </c>
      <c r="B1901" s="566" t="s">
        <v>803</v>
      </c>
      <c r="C1901" s="567" t="s">
        <v>1730</v>
      </c>
      <c r="D1901" s="958">
        <v>1.1000000000000001</v>
      </c>
      <c r="E1901" s="959" t="s">
        <v>306</v>
      </c>
      <c r="F1901" s="558" t="s">
        <v>1454</v>
      </c>
      <c r="G1901" s="558">
        <v>664</v>
      </c>
      <c r="H1901" s="558">
        <v>10.199999999999999</v>
      </c>
      <c r="I1901" s="559" t="s">
        <v>844</v>
      </c>
      <c r="J1901" s="567" t="s">
        <v>1731</v>
      </c>
      <c r="K1901" s="961" t="s">
        <v>1373</v>
      </c>
      <c r="L1901" s="555" t="str">
        <f t="shared" ca="1" si="318"/>
        <v/>
      </c>
      <c r="M1901" s="494" t="s">
        <v>1609</v>
      </c>
      <c r="N1901" s="555" t="str">
        <f t="shared" ca="1" si="319"/>
        <v/>
      </c>
      <c r="O1901" s="494" t="s">
        <v>1732</v>
      </c>
      <c r="P1901" s="555" t="str">
        <f t="shared" ca="1" si="320"/>
        <v/>
      </c>
      <c r="Q1901" s="494" t="s">
        <v>1733</v>
      </c>
      <c r="R1901" s="494" t="str">
        <f t="shared" si="322"/>
        <v>H1901</v>
      </c>
      <c r="S1901" s="494" t="s">
        <v>1734</v>
      </c>
      <c r="T1901" s="494">
        <v>7</v>
      </c>
      <c r="U1901" s="556" t="str">
        <f t="shared" ca="1" si="315"/>
        <v/>
      </c>
      <c r="V1901" s="494">
        <v>8</v>
      </c>
      <c r="W1901" s="556" t="str">
        <f t="shared" ca="1" si="316"/>
        <v/>
      </c>
      <c r="X1901" s="557"/>
      <c r="Y1901" s="958"/>
      <c r="Z1901" s="958"/>
      <c r="AA1901" s="958"/>
      <c r="AB1901" s="958" t="s">
        <v>1735</v>
      </c>
      <c r="AC1901" s="547" t="str">
        <f t="shared" ca="1" si="317"/>
        <v/>
      </c>
      <c r="AD1901" s="494" t="s">
        <v>1736</v>
      </c>
      <c r="AE1901" s="547" t="str">
        <f t="shared" ca="1" si="321"/>
        <v/>
      </c>
    </row>
    <row r="1902" spans="1:31" ht="15" customHeight="1">
      <c r="A1902" s="957">
        <v>94</v>
      </c>
      <c r="B1902" s="566" t="s">
        <v>803</v>
      </c>
      <c r="C1902" s="567" t="s">
        <v>1730</v>
      </c>
      <c r="D1902" s="958">
        <v>1.1000000000000001</v>
      </c>
      <c r="E1902" s="959" t="s">
        <v>306</v>
      </c>
      <c r="F1902" s="558" t="s">
        <v>1454</v>
      </c>
      <c r="G1902" s="558">
        <v>665</v>
      </c>
      <c r="H1902" s="558">
        <v>11.1</v>
      </c>
      <c r="I1902" s="559" t="s">
        <v>847</v>
      </c>
      <c r="J1902" s="567" t="s">
        <v>1731</v>
      </c>
      <c r="K1902" s="961" t="s">
        <v>1373</v>
      </c>
      <c r="L1902" s="555" t="str">
        <f t="shared" ca="1" si="318"/>
        <v/>
      </c>
      <c r="M1902" s="494" t="s">
        <v>1609</v>
      </c>
      <c r="N1902" s="555" t="str">
        <f t="shared" ca="1" si="319"/>
        <v/>
      </c>
      <c r="O1902" s="494" t="s">
        <v>1732</v>
      </c>
      <c r="P1902" s="555" t="str">
        <f t="shared" ca="1" si="320"/>
        <v/>
      </c>
      <c r="Q1902" s="494" t="s">
        <v>1733</v>
      </c>
      <c r="R1902" s="494" t="str">
        <f t="shared" si="322"/>
        <v>H1902</v>
      </c>
      <c r="S1902" s="494" t="s">
        <v>1734</v>
      </c>
      <c r="T1902" s="494">
        <v>7</v>
      </c>
      <c r="U1902" s="556" t="str">
        <f t="shared" ca="1" si="315"/>
        <v/>
      </c>
      <c r="V1902" s="494">
        <v>8</v>
      </c>
      <c r="W1902" s="556" t="str">
        <f t="shared" ca="1" si="316"/>
        <v/>
      </c>
      <c r="X1902" s="557"/>
      <c r="Y1902" s="958"/>
      <c r="Z1902" s="958"/>
      <c r="AA1902" s="958"/>
      <c r="AB1902" s="958" t="s">
        <v>1735</v>
      </c>
      <c r="AC1902" s="547" t="str">
        <f t="shared" ca="1" si="317"/>
        <v/>
      </c>
      <c r="AD1902" s="494" t="s">
        <v>1736</v>
      </c>
      <c r="AE1902" s="547" t="str">
        <f t="shared" ca="1" si="321"/>
        <v/>
      </c>
    </row>
    <row r="1903" spans="1:31" ht="15" customHeight="1">
      <c r="A1903" s="957">
        <v>94</v>
      </c>
      <c r="B1903" s="566" t="s">
        <v>803</v>
      </c>
      <c r="C1903" s="567" t="s">
        <v>1730</v>
      </c>
      <c r="D1903" s="958">
        <v>1.1000000000000001</v>
      </c>
      <c r="E1903" s="959" t="s">
        <v>306</v>
      </c>
      <c r="F1903" s="558" t="s">
        <v>1454</v>
      </c>
      <c r="G1903" s="558">
        <v>666</v>
      </c>
      <c r="H1903" s="558">
        <v>11.2</v>
      </c>
      <c r="I1903" s="559" t="s">
        <v>848</v>
      </c>
      <c r="J1903" s="567" t="s">
        <v>1731</v>
      </c>
      <c r="K1903" s="961" t="s">
        <v>1373</v>
      </c>
      <c r="L1903" s="555" t="str">
        <f t="shared" ca="1" si="318"/>
        <v/>
      </c>
      <c r="M1903" s="494" t="s">
        <v>1609</v>
      </c>
      <c r="N1903" s="555" t="str">
        <f t="shared" ca="1" si="319"/>
        <v/>
      </c>
      <c r="O1903" s="494" t="s">
        <v>1732</v>
      </c>
      <c r="P1903" s="555" t="str">
        <f t="shared" ca="1" si="320"/>
        <v/>
      </c>
      <c r="Q1903" s="494" t="s">
        <v>1733</v>
      </c>
      <c r="R1903" s="494" t="str">
        <f t="shared" si="322"/>
        <v>H1903</v>
      </c>
      <c r="S1903" s="494" t="s">
        <v>1734</v>
      </c>
      <c r="T1903" s="494">
        <v>7</v>
      </c>
      <c r="U1903" s="556" t="str">
        <f t="shared" ca="1" si="315"/>
        <v/>
      </c>
      <c r="V1903" s="494">
        <v>8</v>
      </c>
      <c r="W1903" s="556" t="str">
        <f t="shared" ca="1" si="316"/>
        <v/>
      </c>
      <c r="X1903" s="557"/>
      <c r="Y1903" s="958"/>
      <c r="Z1903" s="958"/>
      <c r="AA1903" s="958"/>
      <c r="AB1903" s="958" t="s">
        <v>1735</v>
      </c>
      <c r="AC1903" s="547" t="str">
        <f t="shared" ca="1" si="317"/>
        <v/>
      </c>
      <c r="AD1903" s="494" t="s">
        <v>1736</v>
      </c>
      <c r="AE1903" s="547" t="str">
        <f t="shared" ca="1" si="321"/>
        <v/>
      </c>
    </row>
    <row r="1904" spans="1:31" ht="15" customHeight="1">
      <c r="A1904" s="957">
        <v>94</v>
      </c>
      <c r="B1904" s="566" t="s">
        <v>803</v>
      </c>
      <c r="C1904" s="567" t="s">
        <v>1730</v>
      </c>
      <c r="D1904" s="958">
        <v>1.1000000000000001</v>
      </c>
      <c r="E1904" s="959" t="s">
        <v>306</v>
      </c>
      <c r="F1904" s="558" t="s">
        <v>1454</v>
      </c>
      <c r="G1904" s="558">
        <v>712</v>
      </c>
      <c r="H1904" s="558" t="s">
        <v>850</v>
      </c>
      <c r="I1904" s="559" t="s">
        <v>851</v>
      </c>
      <c r="J1904" s="567" t="s">
        <v>1731</v>
      </c>
      <c r="K1904" s="961" t="s">
        <v>1373</v>
      </c>
      <c r="L1904" s="555" t="str">
        <f t="shared" ca="1" si="318"/>
        <v/>
      </c>
      <c r="M1904" s="494" t="s">
        <v>1609</v>
      </c>
      <c r="N1904" s="555" t="str">
        <f t="shared" ca="1" si="319"/>
        <v/>
      </c>
      <c r="O1904" s="494" t="s">
        <v>1732</v>
      </c>
      <c r="P1904" s="555" t="str">
        <f t="shared" ca="1" si="320"/>
        <v/>
      </c>
      <c r="Q1904" s="494" t="s">
        <v>1733</v>
      </c>
      <c r="R1904" s="494" t="str">
        <f>CONCATENATE("H",ROW(J1904))</f>
        <v>H1904</v>
      </c>
      <c r="S1904" s="494" t="s">
        <v>1734</v>
      </c>
      <c r="T1904" s="494">
        <v>7</v>
      </c>
      <c r="U1904" s="556" t="str">
        <f t="shared" ca="1" si="315"/>
        <v/>
      </c>
      <c r="V1904" s="494">
        <v>8</v>
      </c>
      <c r="W1904" s="556" t="str">
        <f t="shared" ca="1" si="316"/>
        <v/>
      </c>
      <c r="X1904" s="557"/>
      <c r="Y1904" s="958"/>
      <c r="Z1904" s="958"/>
      <c r="AA1904" s="958"/>
      <c r="AB1904" s="958" t="s">
        <v>1735</v>
      </c>
      <c r="AC1904" s="547" t="str">
        <f ca="1">IF(AND(INDIRECT(CONCATENATE($J1908,$K1908,"5"))=$B1908,ISBLANK(INDIRECT(CONCATENATE($J1908,AB1904)))=FALSE),INDIRECT(CONCATENATE($J1908,AB1904)),"")</f>
        <v/>
      </c>
      <c r="AD1904" s="494" t="s">
        <v>1736</v>
      </c>
      <c r="AE1904" s="547" t="str">
        <f t="shared" ca="1" si="321"/>
        <v/>
      </c>
    </row>
    <row r="1905" spans="1:31" ht="15" customHeight="1">
      <c r="A1905" s="957">
        <v>94</v>
      </c>
      <c r="B1905" s="566" t="s">
        <v>803</v>
      </c>
      <c r="C1905" s="567" t="s">
        <v>1730</v>
      </c>
      <c r="D1905" s="958">
        <v>1.1000000000000001</v>
      </c>
      <c r="E1905" s="959" t="s">
        <v>306</v>
      </c>
      <c r="F1905" s="558" t="s">
        <v>1454</v>
      </c>
      <c r="G1905" s="558">
        <v>712</v>
      </c>
      <c r="H1905" s="558" t="s">
        <v>853</v>
      </c>
      <c r="I1905" s="559" t="s">
        <v>854</v>
      </c>
      <c r="J1905" s="567" t="s">
        <v>1731</v>
      </c>
      <c r="K1905" s="961" t="s">
        <v>1373</v>
      </c>
      <c r="L1905" s="555" t="str">
        <f t="shared" ca="1" si="318"/>
        <v/>
      </c>
      <c r="M1905" s="494" t="s">
        <v>1609</v>
      </c>
      <c r="N1905" s="555" t="str">
        <f t="shared" ca="1" si="319"/>
        <v/>
      </c>
      <c r="O1905" s="494" t="s">
        <v>1732</v>
      </c>
      <c r="P1905" s="555" t="str">
        <f t="shared" ca="1" si="320"/>
        <v/>
      </c>
      <c r="Q1905" s="494" t="s">
        <v>1733</v>
      </c>
      <c r="R1905" s="494" t="str">
        <f>CONCATENATE("H",ROW(J1905))</f>
        <v>H1905</v>
      </c>
      <c r="S1905" s="494" t="s">
        <v>1734</v>
      </c>
      <c r="T1905" s="494">
        <v>7</v>
      </c>
      <c r="U1905" s="556" t="str">
        <f t="shared" ca="1" si="315"/>
        <v/>
      </c>
      <c r="V1905" s="494">
        <v>8</v>
      </c>
      <c r="W1905" s="556" t="str">
        <f t="shared" ca="1" si="316"/>
        <v/>
      </c>
      <c r="X1905" s="557"/>
      <c r="Y1905" s="958"/>
      <c r="Z1905" s="958"/>
      <c r="AA1905" s="958"/>
      <c r="AB1905" s="958" t="s">
        <v>1735</v>
      </c>
      <c r="AC1905" s="547" t="str">
        <f ca="1">IF(AND(INDIRECT(CONCATENATE($J1909,$K1909,"5"))=$B1909,ISBLANK(INDIRECT(CONCATENATE($J1909,AB1905)))=FALSE),INDIRECT(CONCATENATE($J1909,AB1905)),"")</f>
        <v/>
      </c>
      <c r="AD1905" s="494" t="s">
        <v>1736</v>
      </c>
      <c r="AE1905" s="547" t="str">
        <f t="shared" ca="1" si="321"/>
        <v/>
      </c>
    </row>
    <row r="1906" spans="1:31" ht="15" customHeight="1">
      <c r="A1906" s="957">
        <v>94</v>
      </c>
      <c r="B1906" s="566" t="s">
        <v>803</v>
      </c>
      <c r="C1906" s="567" t="s">
        <v>1730</v>
      </c>
      <c r="D1906" s="958">
        <v>1.1000000000000001</v>
      </c>
      <c r="E1906" s="959" t="s">
        <v>306</v>
      </c>
      <c r="F1906" s="558" t="s">
        <v>1454</v>
      </c>
      <c r="G1906" s="558">
        <v>712</v>
      </c>
      <c r="H1906" s="558" t="s">
        <v>855</v>
      </c>
      <c r="I1906" s="559" t="s">
        <v>856</v>
      </c>
      <c r="J1906" s="567" t="s">
        <v>1731</v>
      </c>
      <c r="K1906" s="961" t="s">
        <v>1373</v>
      </c>
      <c r="L1906" s="555" t="str">
        <f t="shared" ca="1" si="318"/>
        <v/>
      </c>
      <c r="M1906" s="494" t="s">
        <v>1609</v>
      </c>
      <c r="N1906" s="555" t="str">
        <f t="shared" ca="1" si="319"/>
        <v/>
      </c>
      <c r="O1906" s="494" t="s">
        <v>1732</v>
      </c>
      <c r="P1906" s="555" t="str">
        <f t="shared" ca="1" si="320"/>
        <v/>
      </c>
      <c r="Q1906" s="494" t="s">
        <v>1733</v>
      </c>
      <c r="R1906" s="494" t="str">
        <f>CONCATENATE("H",ROW(J1906))</f>
        <v>H1906</v>
      </c>
      <c r="S1906" s="494" t="s">
        <v>1734</v>
      </c>
      <c r="T1906" s="494">
        <v>7</v>
      </c>
      <c r="U1906" s="556" t="str">
        <f t="shared" ca="1" si="315"/>
        <v/>
      </c>
      <c r="V1906" s="494">
        <v>8</v>
      </c>
      <c r="W1906" s="556" t="str">
        <f t="shared" ca="1" si="316"/>
        <v/>
      </c>
      <c r="X1906" s="557"/>
      <c r="Y1906" s="958"/>
      <c r="Z1906" s="958"/>
      <c r="AA1906" s="958"/>
      <c r="AB1906" s="958" t="s">
        <v>1735</v>
      </c>
      <c r="AC1906" s="547" t="str">
        <f ca="1">IF(AND(INDIRECT(CONCATENATE($J1910,$K1910,"5"))=$B1910,ISBLANK(INDIRECT(CONCATENATE($J1910,AB1906)))=FALSE),INDIRECT(CONCATENATE($J1910,AB1906)),"")</f>
        <v/>
      </c>
      <c r="AD1906" s="494" t="s">
        <v>1736</v>
      </c>
      <c r="AE1906" s="547" t="str">
        <f t="shared" ca="1" si="321"/>
        <v/>
      </c>
    </row>
    <row r="1907" spans="1:31" ht="15" customHeight="1">
      <c r="A1907" s="957">
        <v>94</v>
      </c>
      <c r="B1907" s="566" t="s">
        <v>803</v>
      </c>
      <c r="C1907" s="567" t="s">
        <v>1730</v>
      </c>
      <c r="D1907" s="958">
        <v>1.1000000000000001</v>
      </c>
      <c r="E1907" s="959" t="s">
        <v>306</v>
      </c>
      <c r="F1907" s="558" t="s">
        <v>1454</v>
      </c>
      <c r="G1907" s="558">
        <v>712</v>
      </c>
      <c r="H1907" s="558" t="s">
        <v>857</v>
      </c>
      <c r="I1907" s="559" t="s">
        <v>858</v>
      </c>
      <c r="J1907" s="567" t="s">
        <v>1731</v>
      </c>
      <c r="K1907" s="961" t="s">
        <v>1373</v>
      </c>
      <c r="L1907" s="555" t="str">
        <f t="shared" ca="1" si="318"/>
        <v/>
      </c>
      <c r="M1907" s="494" t="s">
        <v>1609</v>
      </c>
      <c r="N1907" s="555" t="str">
        <f t="shared" ca="1" si="319"/>
        <v/>
      </c>
      <c r="O1907" s="494" t="s">
        <v>1732</v>
      </c>
      <c r="P1907" s="555" t="str">
        <f t="shared" ca="1" si="320"/>
        <v/>
      </c>
      <c r="Q1907" s="494" t="s">
        <v>1733</v>
      </c>
      <c r="R1907" s="494" t="str">
        <f>CONCATENATE("H",ROW(J1907))</f>
        <v>H1907</v>
      </c>
      <c r="S1907" s="494" t="s">
        <v>1734</v>
      </c>
      <c r="T1907" s="494">
        <v>7</v>
      </c>
      <c r="U1907" s="556" t="str">
        <f t="shared" ca="1" si="315"/>
        <v/>
      </c>
      <c r="V1907" s="494">
        <v>8</v>
      </c>
      <c r="W1907" s="556" t="str">
        <f t="shared" ca="1" si="316"/>
        <v/>
      </c>
      <c r="X1907" s="557"/>
      <c r="Y1907" s="958"/>
      <c r="Z1907" s="958"/>
      <c r="AA1907" s="958"/>
      <c r="AB1907" s="958" t="s">
        <v>1735</v>
      </c>
      <c r="AC1907" s="547" t="str">
        <f ca="1">IF(AND(INDIRECT(CONCATENATE($J1904,$K1904,"5"))=$B1904,ISBLANK(INDIRECT(CONCATENATE($J1904,AB1907)))=FALSE),INDIRECT(CONCATENATE($J1904,AB1907)),"")</f>
        <v/>
      </c>
      <c r="AD1907" s="494" t="s">
        <v>1736</v>
      </c>
      <c r="AE1907" s="547" t="str">
        <f t="shared" ca="1" si="321"/>
        <v/>
      </c>
    </row>
    <row r="1908" spans="1:31" ht="15" customHeight="1">
      <c r="A1908" s="957">
        <v>94</v>
      </c>
      <c r="B1908" s="566" t="s">
        <v>803</v>
      </c>
      <c r="C1908" s="567" t="s">
        <v>1730</v>
      </c>
      <c r="D1908" s="958">
        <v>1.1000000000000001</v>
      </c>
      <c r="E1908" s="959" t="s">
        <v>306</v>
      </c>
      <c r="F1908" s="558" t="s">
        <v>1454</v>
      </c>
      <c r="G1908" s="558">
        <v>671</v>
      </c>
      <c r="H1908" s="558">
        <v>13.1</v>
      </c>
      <c r="I1908" s="559" t="s">
        <v>314</v>
      </c>
      <c r="J1908" s="567" t="s">
        <v>1731</v>
      </c>
      <c r="K1908" s="961" t="s">
        <v>1373</v>
      </c>
      <c r="L1908" s="555" t="str">
        <f t="shared" ca="1" si="318"/>
        <v/>
      </c>
      <c r="M1908" s="494" t="s">
        <v>1609</v>
      </c>
      <c r="N1908" s="555" t="str">
        <f t="shared" ca="1" si="319"/>
        <v/>
      </c>
      <c r="O1908" s="494" t="s">
        <v>1732</v>
      </c>
      <c r="P1908" s="555" t="str">
        <f t="shared" ca="1" si="320"/>
        <v/>
      </c>
      <c r="Q1908" s="494" t="s">
        <v>1733</v>
      </c>
      <c r="R1908" s="494" t="str">
        <f t="shared" si="322"/>
        <v>H1908</v>
      </c>
      <c r="S1908" s="494" t="s">
        <v>1734</v>
      </c>
      <c r="T1908" s="494">
        <v>7</v>
      </c>
      <c r="U1908" s="556" t="str">
        <f t="shared" ca="1" si="315"/>
        <v/>
      </c>
      <c r="V1908" s="494">
        <v>8</v>
      </c>
      <c r="W1908" s="556" t="str">
        <f t="shared" ca="1" si="316"/>
        <v/>
      </c>
      <c r="X1908" s="557"/>
      <c r="Y1908" s="958"/>
      <c r="Z1908" s="958"/>
      <c r="AA1908" s="958"/>
      <c r="AB1908" s="958" t="s">
        <v>1735</v>
      </c>
      <c r="AC1908" s="547" t="str">
        <f ca="1">IF(AND(INDIRECT(CONCATENATE($J1905,$K1905,"5"))=$B1905,ISBLANK(INDIRECT(CONCATENATE($J1905,AB1908)))=FALSE),INDIRECT(CONCATENATE($J1905,AB1908)),"")</f>
        <v/>
      </c>
      <c r="AD1908" s="494" t="s">
        <v>1736</v>
      </c>
      <c r="AE1908" s="547" t="str">
        <f t="shared" ca="1" si="321"/>
        <v/>
      </c>
    </row>
    <row r="1909" spans="1:31" ht="15" customHeight="1">
      <c r="A1909" s="957">
        <v>94</v>
      </c>
      <c r="B1909" s="566" t="s">
        <v>803</v>
      </c>
      <c r="C1909" s="567" t="s">
        <v>1730</v>
      </c>
      <c r="D1909" s="958">
        <v>1.1000000000000001</v>
      </c>
      <c r="E1909" s="959" t="s">
        <v>306</v>
      </c>
      <c r="F1909" s="558" t="s">
        <v>1454</v>
      </c>
      <c r="G1909" s="558">
        <v>672</v>
      </c>
      <c r="H1909" s="558">
        <v>14.1</v>
      </c>
      <c r="I1909" s="559" t="s">
        <v>862</v>
      </c>
      <c r="J1909" s="567" t="s">
        <v>1731</v>
      </c>
      <c r="K1909" s="961" t="s">
        <v>1373</v>
      </c>
      <c r="L1909" s="555" t="str">
        <f t="shared" ca="1" si="318"/>
        <v/>
      </c>
      <c r="M1909" s="494" t="s">
        <v>1609</v>
      </c>
      <c r="N1909" s="555" t="str">
        <f t="shared" ca="1" si="319"/>
        <v/>
      </c>
      <c r="O1909" s="494" t="s">
        <v>1732</v>
      </c>
      <c r="P1909" s="555" t="str">
        <f t="shared" ca="1" si="320"/>
        <v/>
      </c>
      <c r="Q1909" s="494" t="s">
        <v>1733</v>
      </c>
      <c r="R1909" s="494" t="str">
        <f t="shared" si="322"/>
        <v>H1909</v>
      </c>
      <c r="S1909" s="494" t="s">
        <v>1734</v>
      </c>
      <c r="T1909" s="494">
        <v>7</v>
      </c>
      <c r="U1909" s="556" t="str">
        <f t="shared" ca="1" si="315"/>
        <v/>
      </c>
      <c r="V1909" s="494">
        <v>8</v>
      </c>
      <c r="W1909" s="556" t="str">
        <f t="shared" ca="1" si="316"/>
        <v/>
      </c>
      <c r="X1909" s="557"/>
      <c r="Y1909" s="958"/>
      <c r="Z1909" s="958"/>
      <c r="AA1909" s="958"/>
      <c r="AB1909" s="958" t="s">
        <v>1735</v>
      </c>
      <c r="AC1909" s="547" t="str">
        <f ca="1">IF(AND(INDIRECT(CONCATENATE($J1906,$K1906,"5"))=$B1906,ISBLANK(INDIRECT(CONCATENATE($J1906,AB1909)))=FALSE),INDIRECT(CONCATENATE($J1906,AB1909)),"")</f>
        <v/>
      </c>
      <c r="AD1909" s="494" t="s">
        <v>1736</v>
      </c>
      <c r="AE1909" s="547" t="str">
        <f t="shared" ca="1" si="321"/>
        <v/>
      </c>
    </row>
    <row r="1910" spans="1:31" ht="15" customHeight="1">
      <c r="A1910" s="957">
        <v>94</v>
      </c>
      <c r="B1910" s="566" t="s">
        <v>803</v>
      </c>
      <c r="C1910" s="567" t="s">
        <v>1730</v>
      </c>
      <c r="D1910" s="958">
        <v>1.1000000000000001</v>
      </c>
      <c r="E1910" s="959" t="s">
        <v>306</v>
      </c>
      <c r="F1910" s="558" t="s">
        <v>1454</v>
      </c>
      <c r="G1910" s="558">
        <v>673</v>
      </c>
      <c r="H1910" s="558">
        <v>14.2</v>
      </c>
      <c r="I1910" s="559" t="s">
        <v>863</v>
      </c>
      <c r="J1910" s="567" t="s">
        <v>1731</v>
      </c>
      <c r="K1910" s="961" t="s">
        <v>1373</v>
      </c>
      <c r="L1910" s="555" t="str">
        <f t="shared" ca="1" si="318"/>
        <v/>
      </c>
      <c r="M1910" s="494" t="s">
        <v>1609</v>
      </c>
      <c r="N1910" s="555" t="str">
        <f t="shared" ca="1" si="319"/>
        <v/>
      </c>
      <c r="O1910" s="494" t="s">
        <v>1732</v>
      </c>
      <c r="P1910" s="555" t="str">
        <f t="shared" ca="1" si="320"/>
        <v/>
      </c>
      <c r="Q1910" s="494" t="s">
        <v>1733</v>
      </c>
      <c r="R1910" s="494" t="str">
        <f t="shared" si="322"/>
        <v>H1910</v>
      </c>
      <c r="S1910" s="494" t="s">
        <v>1734</v>
      </c>
      <c r="T1910" s="494">
        <v>7</v>
      </c>
      <c r="U1910" s="556" t="str">
        <f t="shared" ca="1" si="315"/>
        <v/>
      </c>
      <c r="V1910" s="494">
        <v>8</v>
      </c>
      <c r="W1910" s="556" t="str">
        <f t="shared" ca="1" si="316"/>
        <v/>
      </c>
      <c r="X1910" s="557"/>
      <c r="Y1910" s="958"/>
      <c r="Z1910" s="958"/>
      <c r="AA1910" s="958"/>
      <c r="AB1910" s="958" t="s">
        <v>1735</v>
      </c>
      <c r="AC1910" s="547" t="str">
        <f ca="1">IF(AND(INDIRECT(CONCATENATE($J1907,$K1907,"5"))=$B1907,ISBLANK(INDIRECT(CONCATENATE($J1907,AB1910)))=FALSE),INDIRECT(CONCATENATE($J1907,AB1910)),"")</f>
        <v/>
      </c>
      <c r="AD1910" s="494" t="s">
        <v>1736</v>
      </c>
      <c r="AE1910" s="547" t="str">
        <f t="shared" ca="1" si="321"/>
        <v/>
      </c>
    </row>
    <row r="1911" spans="1:31" ht="15" customHeight="1">
      <c r="A1911" s="957">
        <v>94</v>
      </c>
      <c r="B1911" s="566" t="s">
        <v>803</v>
      </c>
      <c r="C1911" s="567" t="s">
        <v>1730</v>
      </c>
      <c r="D1911" s="958">
        <v>1.1000000000000001</v>
      </c>
      <c r="E1911" s="959" t="s">
        <v>335</v>
      </c>
      <c r="F1911" s="558" t="s">
        <v>1455</v>
      </c>
      <c r="G1911" s="558">
        <v>674</v>
      </c>
      <c r="H1911" s="558" t="s">
        <v>865</v>
      </c>
      <c r="I1911" s="559" t="s">
        <v>866</v>
      </c>
      <c r="J1911" s="567" t="s">
        <v>1731</v>
      </c>
      <c r="K1911" s="961" t="s">
        <v>1373</v>
      </c>
      <c r="L1911" s="555" t="str">
        <f t="shared" ca="1" si="318"/>
        <v/>
      </c>
      <c r="M1911" s="494" t="s">
        <v>1609</v>
      </c>
      <c r="N1911" s="555" t="str">
        <f t="shared" ca="1" si="319"/>
        <v/>
      </c>
      <c r="O1911" s="494" t="s">
        <v>1732</v>
      </c>
      <c r="P1911" s="555" t="str">
        <f t="shared" ca="1" si="320"/>
        <v/>
      </c>
      <c r="Q1911" s="494" t="s">
        <v>1733</v>
      </c>
      <c r="R1911" s="494" t="str">
        <f t="shared" si="322"/>
        <v>H1911</v>
      </c>
      <c r="S1911" s="494" t="s">
        <v>1734</v>
      </c>
      <c r="T1911" s="494">
        <v>7</v>
      </c>
      <c r="U1911" s="556" t="str">
        <f t="shared" ca="1" si="315"/>
        <v/>
      </c>
      <c r="V1911" s="494">
        <v>8</v>
      </c>
      <c r="W1911" s="556" t="str">
        <f t="shared" ca="1" si="316"/>
        <v/>
      </c>
      <c r="X1911" s="557"/>
      <c r="Y1911" s="958"/>
      <c r="Z1911" s="958"/>
      <c r="AA1911" s="958"/>
      <c r="AB1911" s="958" t="s">
        <v>1735</v>
      </c>
      <c r="AC1911" s="547" t="str">
        <f t="shared" ref="AC1911:AC1922" ca="1" si="323">IF(AND(INDIRECT(CONCATENATE($J1911,$K1911,"5"))=$B1911,ISBLANK(INDIRECT(CONCATENATE($J1911,AB1911)))=FALSE),INDIRECT(CONCATENATE($J1911,AB1911)),"")</f>
        <v/>
      </c>
      <c r="AD1911" s="494" t="s">
        <v>1736</v>
      </c>
      <c r="AE1911" s="547" t="str">
        <f t="shared" ca="1" si="321"/>
        <v/>
      </c>
    </row>
    <row r="1912" spans="1:31" ht="15" customHeight="1">
      <c r="A1912" s="957">
        <v>94</v>
      </c>
      <c r="B1912" s="566" t="s">
        <v>803</v>
      </c>
      <c r="C1912" s="567" t="s">
        <v>1730</v>
      </c>
      <c r="D1912" s="958">
        <v>1.1000000000000001</v>
      </c>
      <c r="E1912" s="959" t="s">
        <v>335</v>
      </c>
      <c r="F1912" s="558" t="s">
        <v>1455</v>
      </c>
      <c r="G1912" s="558">
        <v>674</v>
      </c>
      <c r="H1912" s="558" t="s">
        <v>868</v>
      </c>
      <c r="I1912" s="559" t="s">
        <v>1737</v>
      </c>
      <c r="J1912" s="567" t="s">
        <v>1731</v>
      </c>
      <c r="K1912" s="961" t="s">
        <v>1373</v>
      </c>
      <c r="L1912" s="555" t="str">
        <f t="shared" ca="1" si="318"/>
        <v/>
      </c>
      <c r="M1912" s="494" t="s">
        <v>1609</v>
      </c>
      <c r="N1912" s="555" t="str">
        <f t="shared" ca="1" si="319"/>
        <v/>
      </c>
      <c r="O1912" s="494" t="s">
        <v>1732</v>
      </c>
      <c r="P1912" s="555" t="str">
        <f t="shared" ca="1" si="320"/>
        <v/>
      </c>
      <c r="Q1912" s="494" t="s">
        <v>1733</v>
      </c>
      <c r="R1912" s="494" t="str">
        <f t="shared" si="322"/>
        <v>H1912</v>
      </c>
      <c r="S1912" s="494" t="s">
        <v>1734</v>
      </c>
      <c r="T1912" s="494">
        <v>7</v>
      </c>
      <c r="U1912" s="556" t="str">
        <f t="shared" ca="1" si="315"/>
        <v/>
      </c>
      <c r="V1912" s="494">
        <v>8</v>
      </c>
      <c r="W1912" s="556" t="str">
        <f t="shared" ca="1" si="316"/>
        <v/>
      </c>
      <c r="X1912" s="557"/>
      <c r="Y1912" s="958"/>
      <c r="Z1912" s="958"/>
      <c r="AA1912" s="958"/>
      <c r="AB1912" s="958" t="s">
        <v>1735</v>
      </c>
      <c r="AC1912" s="547" t="str">
        <f t="shared" ca="1" si="323"/>
        <v/>
      </c>
      <c r="AD1912" s="494" t="s">
        <v>1736</v>
      </c>
      <c r="AE1912" s="547" t="str">
        <f t="shared" ca="1" si="321"/>
        <v/>
      </c>
    </row>
    <row r="1913" spans="1:31" ht="15" customHeight="1">
      <c r="A1913" s="957">
        <v>94</v>
      </c>
      <c r="B1913" s="566" t="s">
        <v>803</v>
      </c>
      <c r="C1913" s="567" t="s">
        <v>1730</v>
      </c>
      <c r="D1913" s="958">
        <v>1.1000000000000001</v>
      </c>
      <c r="E1913" s="959" t="s">
        <v>335</v>
      </c>
      <c r="F1913" s="558" t="s">
        <v>1455</v>
      </c>
      <c r="G1913" s="558">
        <v>674</v>
      </c>
      <c r="H1913" s="558" t="s">
        <v>29</v>
      </c>
      <c r="I1913" s="559" t="s">
        <v>869</v>
      </c>
      <c r="J1913" s="567" t="s">
        <v>1731</v>
      </c>
      <c r="K1913" s="961" t="s">
        <v>1373</v>
      </c>
      <c r="L1913" s="555" t="str">
        <f t="shared" ca="1" si="318"/>
        <v/>
      </c>
      <c r="M1913" s="494" t="s">
        <v>1609</v>
      </c>
      <c r="N1913" s="555" t="str">
        <f t="shared" ca="1" si="319"/>
        <v/>
      </c>
      <c r="O1913" s="494" t="s">
        <v>1732</v>
      </c>
      <c r="P1913" s="555" t="str">
        <f t="shared" ca="1" si="320"/>
        <v/>
      </c>
      <c r="Q1913" s="494" t="s">
        <v>1733</v>
      </c>
      <c r="R1913" s="494" t="str">
        <f t="shared" si="322"/>
        <v>H1913</v>
      </c>
      <c r="S1913" s="494" t="s">
        <v>1734</v>
      </c>
      <c r="T1913" s="494">
        <v>7</v>
      </c>
      <c r="U1913" s="556" t="str">
        <f t="shared" ca="1" si="315"/>
        <v/>
      </c>
      <c r="V1913" s="494">
        <v>8</v>
      </c>
      <c r="W1913" s="556" t="str">
        <f t="shared" ca="1" si="316"/>
        <v/>
      </c>
      <c r="X1913" s="557"/>
      <c r="Y1913" s="958"/>
      <c r="Z1913" s="958"/>
      <c r="AA1913" s="958"/>
      <c r="AB1913" s="958" t="s">
        <v>1735</v>
      </c>
      <c r="AC1913" s="547" t="str">
        <f t="shared" ca="1" si="323"/>
        <v/>
      </c>
      <c r="AD1913" s="494" t="s">
        <v>1736</v>
      </c>
      <c r="AE1913" s="547" t="str">
        <f t="shared" ca="1" si="321"/>
        <v/>
      </c>
    </row>
    <row r="1914" spans="1:31" ht="15" customHeight="1">
      <c r="A1914" s="957">
        <v>94</v>
      </c>
      <c r="B1914" s="566" t="s">
        <v>803</v>
      </c>
      <c r="C1914" s="567" t="s">
        <v>1730</v>
      </c>
      <c r="D1914" s="958">
        <v>1.1000000000000001</v>
      </c>
      <c r="E1914" s="959" t="s">
        <v>335</v>
      </c>
      <c r="F1914" s="558" t="s">
        <v>1455</v>
      </c>
      <c r="G1914" s="558">
        <v>674</v>
      </c>
      <c r="H1914" s="558" t="s">
        <v>871</v>
      </c>
      <c r="I1914" s="559" t="s">
        <v>872</v>
      </c>
      <c r="J1914" s="567" t="s">
        <v>1731</v>
      </c>
      <c r="K1914" s="961" t="s">
        <v>1373</v>
      </c>
      <c r="L1914" s="555" t="str">
        <f t="shared" ca="1" si="318"/>
        <v/>
      </c>
      <c r="M1914" s="494" t="s">
        <v>1609</v>
      </c>
      <c r="N1914" s="555" t="str">
        <f t="shared" ca="1" si="319"/>
        <v/>
      </c>
      <c r="O1914" s="494" t="s">
        <v>1732</v>
      </c>
      <c r="P1914" s="555" t="str">
        <f t="shared" ca="1" si="320"/>
        <v/>
      </c>
      <c r="Q1914" s="494" t="s">
        <v>1733</v>
      </c>
      <c r="R1914" s="494" t="str">
        <f t="shared" si="322"/>
        <v>H1914</v>
      </c>
      <c r="S1914" s="494" t="s">
        <v>1734</v>
      </c>
      <c r="T1914" s="494">
        <v>7</v>
      </c>
      <c r="U1914" s="556" t="str">
        <f t="shared" ca="1" si="315"/>
        <v/>
      </c>
      <c r="V1914" s="494">
        <v>8</v>
      </c>
      <c r="W1914" s="556" t="str">
        <f t="shared" ca="1" si="316"/>
        <v/>
      </c>
      <c r="X1914" s="557"/>
      <c r="Y1914" s="958"/>
      <c r="Z1914" s="958"/>
      <c r="AA1914" s="958"/>
      <c r="AB1914" s="958" t="s">
        <v>1735</v>
      </c>
      <c r="AC1914" s="547" t="str">
        <f t="shared" ca="1" si="323"/>
        <v/>
      </c>
      <c r="AD1914" s="494" t="s">
        <v>1736</v>
      </c>
      <c r="AE1914" s="547" t="str">
        <f t="shared" ca="1" si="321"/>
        <v/>
      </c>
    </row>
    <row r="1915" spans="1:31" ht="15" customHeight="1">
      <c r="A1915" s="957">
        <v>94</v>
      </c>
      <c r="B1915" s="566" t="s">
        <v>803</v>
      </c>
      <c r="C1915" s="567" t="s">
        <v>1730</v>
      </c>
      <c r="D1915" s="958">
        <v>1.1000000000000001</v>
      </c>
      <c r="E1915" s="959" t="s">
        <v>335</v>
      </c>
      <c r="F1915" s="558" t="s">
        <v>1455</v>
      </c>
      <c r="G1915" s="558">
        <v>678</v>
      </c>
      <c r="H1915" s="558" t="s">
        <v>341</v>
      </c>
      <c r="I1915" s="559" t="s">
        <v>876</v>
      </c>
      <c r="J1915" s="567" t="s">
        <v>1731</v>
      </c>
      <c r="K1915" s="961" t="s">
        <v>1373</v>
      </c>
      <c r="L1915" s="555" t="str">
        <f t="shared" ca="1" si="318"/>
        <v/>
      </c>
      <c r="M1915" s="494" t="s">
        <v>1609</v>
      </c>
      <c r="N1915" s="555" t="str">
        <f t="shared" ca="1" si="319"/>
        <v/>
      </c>
      <c r="O1915" s="494" t="s">
        <v>1732</v>
      </c>
      <c r="P1915" s="555" t="str">
        <f t="shared" ca="1" si="320"/>
        <v/>
      </c>
      <c r="Q1915" s="494" t="s">
        <v>1733</v>
      </c>
      <c r="R1915" s="494" t="str">
        <f t="shared" si="322"/>
        <v>H1915</v>
      </c>
      <c r="S1915" s="494" t="s">
        <v>1734</v>
      </c>
      <c r="T1915" s="494">
        <v>7</v>
      </c>
      <c r="U1915" s="556" t="str">
        <f t="shared" ca="1" si="315"/>
        <v/>
      </c>
      <c r="V1915" s="494">
        <v>8</v>
      </c>
      <c r="W1915" s="556" t="str">
        <f t="shared" ca="1" si="316"/>
        <v/>
      </c>
      <c r="X1915" s="557"/>
      <c r="Y1915" s="958"/>
      <c r="Z1915" s="958"/>
      <c r="AA1915" s="958"/>
      <c r="AB1915" s="958" t="s">
        <v>1735</v>
      </c>
      <c r="AC1915" s="547" t="str">
        <f t="shared" ca="1" si="323"/>
        <v/>
      </c>
      <c r="AD1915" s="494" t="s">
        <v>1736</v>
      </c>
      <c r="AE1915" s="547" t="str">
        <f t="shared" ca="1" si="321"/>
        <v/>
      </c>
    </row>
    <row r="1916" spans="1:31" ht="15" customHeight="1">
      <c r="A1916" s="957">
        <v>94</v>
      </c>
      <c r="B1916" s="566" t="s">
        <v>803</v>
      </c>
      <c r="C1916" s="567" t="s">
        <v>1730</v>
      </c>
      <c r="D1916" s="958">
        <v>1.1000000000000001</v>
      </c>
      <c r="E1916" s="959" t="s">
        <v>335</v>
      </c>
      <c r="F1916" s="558" t="s">
        <v>1455</v>
      </c>
      <c r="G1916" s="558">
        <v>678</v>
      </c>
      <c r="H1916" s="558" t="s">
        <v>343</v>
      </c>
      <c r="I1916" s="559" t="s">
        <v>877</v>
      </c>
      <c r="J1916" s="567" t="s">
        <v>1731</v>
      </c>
      <c r="K1916" s="961" t="s">
        <v>1373</v>
      </c>
      <c r="L1916" s="555" t="str">
        <f t="shared" ca="1" si="318"/>
        <v/>
      </c>
      <c r="M1916" s="494" t="s">
        <v>1609</v>
      </c>
      <c r="N1916" s="555" t="str">
        <f t="shared" ca="1" si="319"/>
        <v/>
      </c>
      <c r="O1916" s="494" t="s">
        <v>1732</v>
      </c>
      <c r="P1916" s="555" t="str">
        <f t="shared" ca="1" si="320"/>
        <v/>
      </c>
      <c r="Q1916" s="494" t="s">
        <v>1733</v>
      </c>
      <c r="R1916" s="494" t="str">
        <f t="shared" si="322"/>
        <v>H1916</v>
      </c>
      <c r="S1916" s="494" t="s">
        <v>1734</v>
      </c>
      <c r="T1916" s="494">
        <v>7</v>
      </c>
      <c r="U1916" s="556" t="str">
        <f t="shared" ca="1" si="315"/>
        <v/>
      </c>
      <c r="V1916" s="494">
        <v>8</v>
      </c>
      <c r="W1916" s="556" t="str">
        <f t="shared" ca="1" si="316"/>
        <v/>
      </c>
      <c r="X1916" s="557"/>
      <c r="Y1916" s="958"/>
      <c r="Z1916" s="958"/>
      <c r="AA1916" s="958"/>
      <c r="AB1916" s="958" t="s">
        <v>1735</v>
      </c>
      <c r="AC1916" s="547" t="str">
        <f t="shared" ca="1" si="323"/>
        <v/>
      </c>
      <c r="AD1916" s="494" t="s">
        <v>1736</v>
      </c>
      <c r="AE1916" s="547" t="str">
        <f t="shared" ca="1" si="321"/>
        <v/>
      </c>
    </row>
    <row r="1917" spans="1:31" ht="15" customHeight="1">
      <c r="A1917" s="957">
        <v>94</v>
      </c>
      <c r="B1917" s="566" t="s">
        <v>803</v>
      </c>
      <c r="C1917" s="567" t="s">
        <v>1730</v>
      </c>
      <c r="D1917" s="958">
        <v>1.1000000000000001</v>
      </c>
      <c r="E1917" s="959" t="s">
        <v>345</v>
      </c>
      <c r="F1917" s="558" t="s">
        <v>1484</v>
      </c>
      <c r="G1917" s="558">
        <v>680</v>
      </c>
      <c r="H1917" s="558">
        <v>17.100000000000001</v>
      </c>
      <c r="I1917" s="559" t="s">
        <v>881</v>
      </c>
      <c r="J1917" s="567" t="s">
        <v>1731</v>
      </c>
      <c r="K1917" s="961" t="s">
        <v>1373</v>
      </c>
      <c r="L1917" s="555" t="str">
        <f t="shared" ca="1" si="318"/>
        <v/>
      </c>
      <c r="M1917" s="494" t="s">
        <v>1609</v>
      </c>
      <c r="N1917" s="555" t="str">
        <f t="shared" ca="1" si="319"/>
        <v/>
      </c>
      <c r="O1917" s="494" t="s">
        <v>1732</v>
      </c>
      <c r="P1917" s="555" t="str">
        <f t="shared" ca="1" si="320"/>
        <v/>
      </c>
      <c r="Q1917" s="494" t="s">
        <v>1733</v>
      </c>
      <c r="R1917" s="494" t="str">
        <f t="shared" si="322"/>
        <v>H1917</v>
      </c>
      <c r="S1917" s="494" t="s">
        <v>1734</v>
      </c>
      <c r="T1917" s="494">
        <v>7</v>
      </c>
      <c r="U1917" s="556" t="str">
        <f t="shared" ca="1" si="315"/>
        <v/>
      </c>
      <c r="V1917" s="494">
        <v>8</v>
      </c>
      <c r="W1917" s="556" t="str">
        <f t="shared" ca="1" si="316"/>
        <v/>
      </c>
      <c r="X1917" s="557"/>
      <c r="Y1917" s="958"/>
      <c r="Z1917" s="958"/>
      <c r="AA1917" s="958"/>
      <c r="AB1917" s="958" t="s">
        <v>1735</v>
      </c>
      <c r="AC1917" s="547" t="str">
        <f t="shared" ca="1" si="323"/>
        <v/>
      </c>
      <c r="AD1917" s="494" t="s">
        <v>1736</v>
      </c>
      <c r="AE1917" s="547" t="str">
        <f t="shared" ca="1" si="321"/>
        <v/>
      </c>
    </row>
    <row r="1918" spans="1:31" ht="15" customHeight="1">
      <c r="A1918" s="957">
        <v>94</v>
      </c>
      <c r="B1918" s="566" t="s">
        <v>803</v>
      </c>
      <c r="C1918" s="567" t="s">
        <v>1730</v>
      </c>
      <c r="D1918" s="958">
        <v>1.1000000000000001</v>
      </c>
      <c r="E1918" s="959" t="s">
        <v>345</v>
      </c>
      <c r="F1918" s="558" t="s">
        <v>1484</v>
      </c>
      <c r="G1918" s="558">
        <v>681</v>
      </c>
      <c r="H1918" s="558">
        <v>17.2</v>
      </c>
      <c r="I1918" s="559" t="s">
        <v>882</v>
      </c>
      <c r="J1918" s="567" t="s">
        <v>1731</v>
      </c>
      <c r="K1918" s="961" t="s">
        <v>1373</v>
      </c>
      <c r="L1918" s="555" t="str">
        <f t="shared" ca="1" si="318"/>
        <v/>
      </c>
      <c r="M1918" s="494" t="s">
        <v>1609</v>
      </c>
      <c r="N1918" s="555" t="str">
        <f t="shared" ca="1" si="319"/>
        <v/>
      </c>
      <c r="O1918" s="494" t="s">
        <v>1732</v>
      </c>
      <c r="P1918" s="555" t="str">
        <f t="shared" ca="1" si="320"/>
        <v/>
      </c>
      <c r="Q1918" s="494" t="s">
        <v>1733</v>
      </c>
      <c r="R1918" s="494" t="str">
        <f t="shared" si="322"/>
        <v>H1918</v>
      </c>
      <c r="S1918" s="494" t="s">
        <v>1734</v>
      </c>
      <c r="T1918" s="494">
        <v>7</v>
      </c>
      <c r="U1918" s="556" t="str">
        <f t="shared" ca="1" si="315"/>
        <v/>
      </c>
      <c r="V1918" s="494">
        <v>8</v>
      </c>
      <c r="W1918" s="556" t="str">
        <f t="shared" ca="1" si="316"/>
        <v/>
      </c>
      <c r="X1918" s="557"/>
      <c r="Y1918" s="958"/>
      <c r="Z1918" s="958"/>
      <c r="AA1918" s="958"/>
      <c r="AB1918" s="958" t="s">
        <v>1735</v>
      </c>
      <c r="AC1918" s="547" t="str">
        <f t="shared" ca="1" si="323"/>
        <v/>
      </c>
      <c r="AD1918" s="494" t="s">
        <v>1736</v>
      </c>
      <c r="AE1918" s="547" t="str">
        <f t="shared" ca="1" si="321"/>
        <v/>
      </c>
    </row>
    <row r="1919" spans="1:31" ht="15" customHeight="1">
      <c r="A1919" s="957">
        <v>94</v>
      </c>
      <c r="B1919" s="566" t="s">
        <v>803</v>
      </c>
      <c r="C1919" s="567" t="s">
        <v>1730</v>
      </c>
      <c r="D1919" s="958">
        <v>1.1000000000000001</v>
      </c>
      <c r="E1919" s="959" t="s">
        <v>345</v>
      </c>
      <c r="F1919" s="558" t="s">
        <v>1484</v>
      </c>
      <c r="G1919" s="558">
        <v>682</v>
      </c>
      <c r="H1919" s="558">
        <v>17.3</v>
      </c>
      <c r="I1919" s="559" t="s">
        <v>883</v>
      </c>
      <c r="J1919" s="567" t="s">
        <v>1731</v>
      </c>
      <c r="K1919" s="961" t="s">
        <v>1373</v>
      </c>
      <c r="L1919" s="555" t="str">
        <f t="shared" ca="1" si="318"/>
        <v/>
      </c>
      <c r="M1919" s="494" t="s">
        <v>1609</v>
      </c>
      <c r="N1919" s="555" t="str">
        <f t="shared" ca="1" si="319"/>
        <v/>
      </c>
      <c r="O1919" s="494" t="s">
        <v>1732</v>
      </c>
      <c r="P1919" s="555" t="str">
        <f t="shared" ca="1" si="320"/>
        <v/>
      </c>
      <c r="Q1919" s="494" t="s">
        <v>1733</v>
      </c>
      <c r="R1919" s="494" t="str">
        <f t="shared" si="322"/>
        <v>H1919</v>
      </c>
      <c r="S1919" s="494" t="s">
        <v>1734</v>
      </c>
      <c r="T1919" s="494">
        <v>7</v>
      </c>
      <c r="U1919" s="556" t="str">
        <f t="shared" ref="U1919:U1982" ca="1" si="324">IF(AND($B1919=INDIRECT(CONCATENATE($J1919,$K1919,5)),ISBLANK(INDEX(INDIRECT(CONCATENATE($J1919,$Q1919)),MATCH(INDIRECT($R1919),INDIRECT(CONCATENATE($J1919,$S1919)),0),T1919))=FALSE),INDEX(INDIRECT(CONCATENATE($J1919,$Q1919)),MATCH(INDIRECT($R1919),INDIRECT(CONCATENATE($J1919,$S1919)),0),T1919),"")</f>
        <v/>
      </c>
      <c r="V1919" s="494">
        <v>8</v>
      </c>
      <c r="W1919" s="556" t="str">
        <f t="shared" ref="W1919:W1982" ca="1" si="325">IF(AND($B1919=INDIRECT(CONCATENATE($J1919,$K1919,5)),ISBLANK(INDEX(INDIRECT(CONCATENATE($J1919,$Q1919)),MATCH(INDIRECT($R1919),INDIRECT(CONCATENATE($J1919,$S1919)),0),V1919))=FALSE),INDEX(INDIRECT(CONCATENATE($J1919,$Q1919)),MATCH(INDIRECT($R1919),INDIRECT(CONCATENATE($J1919,$S1919)),0),V1919),"")</f>
        <v/>
      </c>
      <c r="X1919" s="557"/>
      <c r="Y1919" s="958"/>
      <c r="Z1919" s="958"/>
      <c r="AA1919" s="958"/>
      <c r="AB1919" s="958" t="s">
        <v>1735</v>
      </c>
      <c r="AC1919" s="547" t="str">
        <f t="shared" ca="1" si="323"/>
        <v/>
      </c>
      <c r="AD1919" s="494" t="s">
        <v>1736</v>
      </c>
      <c r="AE1919" s="547" t="str">
        <f t="shared" ca="1" si="321"/>
        <v/>
      </c>
    </row>
    <row r="1920" spans="1:31" ht="15" customHeight="1">
      <c r="A1920" s="957">
        <v>94</v>
      </c>
      <c r="B1920" s="566" t="s">
        <v>803</v>
      </c>
      <c r="C1920" s="567" t="s">
        <v>1730</v>
      </c>
      <c r="D1920" s="958">
        <v>1.1000000000000001</v>
      </c>
      <c r="E1920" s="959" t="s">
        <v>345</v>
      </c>
      <c r="F1920" s="558" t="s">
        <v>1484</v>
      </c>
      <c r="G1920" s="558">
        <v>683</v>
      </c>
      <c r="H1920" s="558">
        <v>17.399999999999999</v>
      </c>
      <c r="I1920" s="559" t="s">
        <v>884</v>
      </c>
      <c r="J1920" s="567" t="s">
        <v>1731</v>
      </c>
      <c r="K1920" s="961" t="s">
        <v>1373</v>
      </c>
      <c r="L1920" s="555" t="str">
        <f t="shared" ca="1" si="318"/>
        <v/>
      </c>
      <c r="M1920" s="494" t="s">
        <v>1609</v>
      </c>
      <c r="N1920" s="555" t="str">
        <f t="shared" ca="1" si="319"/>
        <v/>
      </c>
      <c r="O1920" s="494" t="s">
        <v>1732</v>
      </c>
      <c r="P1920" s="555" t="str">
        <f t="shared" ca="1" si="320"/>
        <v/>
      </c>
      <c r="Q1920" s="494" t="s">
        <v>1733</v>
      </c>
      <c r="R1920" s="494" t="str">
        <f t="shared" si="322"/>
        <v>H1920</v>
      </c>
      <c r="S1920" s="494" t="s">
        <v>1734</v>
      </c>
      <c r="T1920" s="494">
        <v>7</v>
      </c>
      <c r="U1920" s="556" t="str">
        <f t="shared" ca="1" si="324"/>
        <v/>
      </c>
      <c r="V1920" s="494">
        <v>8</v>
      </c>
      <c r="W1920" s="556" t="str">
        <f t="shared" ca="1" si="325"/>
        <v/>
      </c>
      <c r="X1920" s="557"/>
      <c r="Y1920" s="958"/>
      <c r="Z1920" s="958"/>
      <c r="AA1920" s="958"/>
      <c r="AB1920" s="958" t="s">
        <v>1735</v>
      </c>
      <c r="AC1920" s="547" t="str">
        <f t="shared" ca="1" si="323"/>
        <v/>
      </c>
      <c r="AD1920" s="494" t="s">
        <v>1736</v>
      </c>
      <c r="AE1920" s="547" t="str">
        <f t="shared" ca="1" si="321"/>
        <v/>
      </c>
    </row>
    <row r="1921" spans="1:31" ht="15" customHeight="1">
      <c r="A1921" s="957">
        <v>94</v>
      </c>
      <c r="B1921" s="566" t="s">
        <v>803</v>
      </c>
      <c r="C1921" s="567" t="s">
        <v>1730</v>
      </c>
      <c r="D1921" s="958">
        <v>1.1000000000000001</v>
      </c>
      <c r="E1921" s="959" t="s">
        <v>345</v>
      </c>
      <c r="F1921" s="558" t="s">
        <v>1484</v>
      </c>
      <c r="G1921" s="558">
        <v>684</v>
      </c>
      <c r="H1921" s="558">
        <v>18.100000000000001</v>
      </c>
      <c r="I1921" s="559" t="s">
        <v>887</v>
      </c>
      <c r="J1921" s="567" t="s">
        <v>1731</v>
      </c>
      <c r="K1921" s="961" t="s">
        <v>1373</v>
      </c>
      <c r="L1921" s="555" t="str">
        <f t="shared" ca="1" si="318"/>
        <v/>
      </c>
      <c r="M1921" s="494" t="s">
        <v>1609</v>
      </c>
      <c r="N1921" s="555" t="str">
        <f t="shared" ca="1" si="319"/>
        <v/>
      </c>
      <c r="O1921" s="494" t="s">
        <v>1732</v>
      </c>
      <c r="P1921" s="555" t="str">
        <f t="shared" ca="1" si="320"/>
        <v/>
      </c>
      <c r="Q1921" s="494" t="s">
        <v>1733</v>
      </c>
      <c r="R1921" s="494" t="str">
        <f t="shared" si="322"/>
        <v>H1921</v>
      </c>
      <c r="S1921" s="494" t="s">
        <v>1734</v>
      </c>
      <c r="T1921" s="494">
        <v>7</v>
      </c>
      <c r="U1921" s="556" t="str">
        <f t="shared" ca="1" si="324"/>
        <v/>
      </c>
      <c r="V1921" s="494">
        <v>8</v>
      </c>
      <c r="W1921" s="556" t="str">
        <f t="shared" ca="1" si="325"/>
        <v/>
      </c>
      <c r="X1921" s="557"/>
      <c r="Y1921" s="958"/>
      <c r="Z1921" s="958"/>
      <c r="AA1921" s="958"/>
      <c r="AB1921" s="958" t="s">
        <v>1735</v>
      </c>
      <c r="AC1921" s="547" t="str">
        <f t="shared" ca="1" si="323"/>
        <v/>
      </c>
      <c r="AD1921" s="494" t="s">
        <v>1736</v>
      </c>
      <c r="AE1921" s="547" t="str">
        <f t="shared" ca="1" si="321"/>
        <v/>
      </c>
    </row>
    <row r="1922" spans="1:31" ht="15" customHeight="1">
      <c r="A1922" s="957">
        <v>94</v>
      </c>
      <c r="B1922" s="566" t="s">
        <v>803</v>
      </c>
      <c r="C1922" s="567" t="s">
        <v>1730</v>
      </c>
      <c r="D1922" s="958">
        <v>1.1000000000000001</v>
      </c>
      <c r="E1922" s="959" t="s">
        <v>345</v>
      </c>
      <c r="F1922" s="558" t="s">
        <v>1484</v>
      </c>
      <c r="G1922" s="558">
        <v>685</v>
      </c>
      <c r="H1922" s="558">
        <v>18.2</v>
      </c>
      <c r="I1922" s="559" t="s">
        <v>888</v>
      </c>
      <c r="J1922" s="567" t="s">
        <v>1731</v>
      </c>
      <c r="K1922" s="961" t="s">
        <v>1373</v>
      </c>
      <c r="L1922" s="555" t="str">
        <f t="shared" ref="L1922:L1985" ca="1" si="326">IF(AND(INDIRECT(CONCATENATE($J1922,$K1922,5))=$B1922,ISNUMBER(SEARCH("Please",INDIRECT(CONCATENATE($J1922,$K1922,2)),1))=FALSE),SUMPRODUCT(MID(0&amp;INDIRECT(CONCATENATE($J1922,$K1922,2)), LARGE(INDEX(ISNUMBER(--MID(INDIRECT(CONCATENATE($J1922,$K1922,2)), ROW(INDIRECT("1:"&amp;LEN(INDIRECT(CONCATENATE($J1922,$K1922,2))))),1))*ROW(INDIRECT("1:"&amp;LEN(INDIRECT(CONCATENATE($J1922,$K1922,2))))),0), ROW(INDIRECT("1:"&amp;LEN(INDIRECT(CONCATENATE($J1922,$K1922,2))))))+1,1)*10^ROW(INDIRECT("1:"&amp;LEN(INDIRECT(CONCATENATE($J1922,$K1922,2)))))/10),"")</f>
        <v/>
      </c>
      <c r="M1922" s="494" t="s">
        <v>1609</v>
      </c>
      <c r="N1922" s="555" t="str">
        <f t="shared" ca="1" si="319"/>
        <v/>
      </c>
      <c r="O1922" s="494" t="s">
        <v>1732</v>
      </c>
      <c r="P1922" s="555" t="str">
        <f t="shared" ca="1" si="320"/>
        <v/>
      </c>
      <c r="Q1922" s="494" t="s">
        <v>1733</v>
      </c>
      <c r="R1922" s="494" t="str">
        <f t="shared" si="322"/>
        <v>H1922</v>
      </c>
      <c r="S1922" s="494" t="s">
        <v>1734</v>
      </c>
      <c r="T1922" s="494">
        <v>7</v>
      </c>
      <c r="U1922" s="556" t="str">
        <f t="shared" ca="1" si="324"/>
        <v/>
      </c>
      <c r="V1922" s="494">
        <v>8</v>
      </c>
      <c r="W1922" s="556" t="str">
        <f t="shared" ca="1" si="325"/>
        <v/>
      </c>
      <c r="X1922" s="557"/>
      <c r="Y1922" s="958"/>
      <c r="Z1922" s="958"/>
      <c r="AA1922" s="958"/>
      <c r="AB1922" s="958" t="s">
        <v>1735</v>
      </c>
      <c r="AC1922" s="547" t="str">
        <f t="shared" ca="1" si="323"/>
        <v/>
      </c>
      <c r="AD1922" s="494" t="s">
        <v>1736</v>
      </c>
      <c r="AE1922" s="547" t="str">
        <f t="shared" ca="1" si="321"/>
        <v/>
      </c>
    </row>
    <row r="1923" spans="1:31" ht="15" customHeight="1">
      <c r="A1923" s="957">
        <v>94</v>
      </c>
      <c r="B1923" s="566" t="s">
        <v>803</v>
      </c>
      <c r="C1923" s="567" t="s">
        <v>1730</v>
      </c>
      <c r="D1923" s="958">
        <v>1.1000000000000001</v>
      </c>
      <c r="E1923" s="959" t="s">
        <v>353</v>
      </c>
      <c r="F1923" s="558" t="s">
        <v>1486</v>
      </c>
      <c r="G1923" s="558">
        <v>686</v>
      </c>
      <c r="H1923" s="558" t="s">
        <v>890</v>
      </c>
      <c r="I1923" s="559" t="s">
        <v>891</v>
      </c>
      <c r="J1923" s="567" t="s">
        <v>1731</v>
      </c>
      <c r="K1923" s="961" t="s">
        <v>1373</v>
      </c>
      <c r="L1923" s="555" t="str">
        <f t="shared" ca="1" si="326"/>
        <v/>
      </c>
      <c r="M1923" s="494" t="s">
        <v>1609</v>
      </c>
      <c r="N1923" s="555" t="str">
        <f t="shared" ca="1" si="319"/>
        <v/>
      </c>
      <c r="O1923" s="494" t="s">
        <v>1732</v>
      </c>
      <c r="P1923" s="555" t="str">
        <f t="shared" ca="1" si="320"/>
        <v/>
      </c>
      <c r="Q1923" s="494" t="s">
        <v>1733</v>
      </c>
      <c r="R1923" s="494" t="str">
        <f>CONCATENATE("H",ROW(J1923))</f>
        <v>H1923</v>
      </c>
      <c r="S1923" s="494" t="s">
        <v>1734</v>
      </c>
      <c r="T1923" s="494">
        <v>7</v>
      </c>
      <c r="U1923" s="556" t="str">
        <f t="shared" ca="1" si="324"/>
        <v/>
      </c>
      <c r="V1923" s="494">
        <v>8</v>
      </c>
      <c r="W1923" s="556" t="str">
        <f t="shared" ca="1" si="325"/>
        <v/>
      </c>
      <c r="X1923" s="557"/>
      <c r="Y1923" s="958"/>
      <c r="Z1923" s="958"/>
      <c r="AA1923" s="958"/>
      <c r="AB1923" s="958" t="s">
        <v>1735</v>
      </c>
      <c r="AC1923" s="547" t="str">
        <f ca="1">IF(AND(INDIRECT(CONCATENATE($J1927,$K1927,"5"))=$B1927,ISBLANK(INDIRECT(CONCATENATE($J1927,AB1923)))=FALSE),INDIRECT(CONCATENATE($J1927,AB1923)),"")</f>
        <v/>
      </c>
      <c r="AD1923" s="494" t="s">
        <v>1736</v>
      </c>
      <c r="AE1923" s="547" t="str">
        <f t="shared" ca="1" si="321"/>
        <v/>
      </c>
    </row>
    <row r="1924" spans="1:31" ht="15" customHeight="1">
      <c r="A1924" s="957">
        <v>94</v>
      </c>
      <c r="B1924" s="566" t="s">
        <v>803</v>
      </c>
      <c r="C1924" s="567" t="s">
        <v>1730</v>
      </c>
      <c r="D1924" s="958">
        <v>1.1000000000000001</v>
      </c>
      <c r="E1924" s="959" t="s">
        <v>353</v>
      </c>
      <c r="F1924" s="558" t="s">
        <v>1486</v>
      </c>
      <c r="G1924" s="558">
        <v>686</v>
      </c>
      <c r="H1924" s="558" t="s">
        <v>892</v>
      </c>
      <c r="I1924" s="559" t="s">
        <v>1738</v>
      </c>
      <c r="J1924" s="567" t="s">
        <v>1731</v>
      </c>
      <c r="K1924" s="961" t="s">
        <v>1373</v>
      </c>
      <c r="L1924" s="555" t="str">
        <f t="shared" ca="1" si="326"/>
        <v/>
      </c>
      <c r="M1924" s="494" t="s">
        <v>1609</v>
      </c>
      <c r="N1924" s="555" t="str">
        <f t="shared" ca="1" si="319"/>
        <v/>
      </c>
      <c r="O1924" s="494" t="s">
        <v>1732</v>
      </c>
      <c r="P1924" s="555" t="str">
        <f t="shared" ca="1" si="320"/>
        <v/>
      </c>
      <c r="Q1924" s="494" t="s">
        <v>1733</v>
      </c>
      <c r="R1924" s="494" t="str">
        <f>CONCATENATE("H",ROW(J1924))</f>
        <v>H1924</v>
      </c>
      <c r="S1924" s="494" t="s">
        <v>1734</v>
      </c>
      <c r="T1924" s="494">
        <v>7</v>
      </c>
      <c r="U1924" s="556" t="str">
        <f t="shared" ca="1" si="324"/>
        <v/>
      </c>
      <c r="V1924" s="494">
        <v>8</v>
      </c>
      <c r="W1924" s="556" t="str">
        <f t="shared" ca="1" si="325"/>
        <v/>
      </c>
      <c r="X1924" s="557"/>
      <c r="Y1924" s="958"/>
      <c r="Z1924" s="958"/>
      <c r="AA1924" s="958"/>
      <c r="AB1924" s="958" t="s">
        <v>1735</v>
      </c>
      <c r="AC1924" s="547" t="str">
        <f ca="1">IF(AND(INDIRECT(CONCATENATE($J1928,$K1928,"5"))=$B1928,ISBLANK(INDIRECT(CONCATENATE($J1928,AB1924)))=FALSE),INDIRECT(CONCATENATE($J1928,AB1924)),"")</f>
        <v/>
      </c>
      <c r="AD1924" s="494" t="s">
        <v>1736</v>
      </c>
      <c r="AE1924" s="547" t="str">
        <f t="shared" ca="1" si="321"/>
        <v/>
      </c>
    </row>
    <row r="1925" spans="1:31" ht="15" customHeight="1">
      <c r="A1925" s="957">
        <v>94</v>
      </c>
      <c r="B1925" s="566" t="s">
        <v>803</v>
      </c>
      <c r="C1925" s="567" t="s">
        <v>1730</v>
      </c>
      <c r="D1925" s="958">
        <v>1.1000000000000001</v>
      </c>
      <c r="E1925" s="959" t="s">
        <v>353</v>
      </c>
      <c r="F1925" s="558" t="s">
        <v>1486</v>
      </c>
      <c r="G1925" s="558">
        <v>686</v>
      </c>
      <c r="H1925" s="558" t="s">
        <v>894</v>
      </c>
      <c r="I1925" s="559" t="s">
        <v>1739</v>
      </c>
      <c r="J1925" s="567" t="s">
        <v>1731</v>
      </c>
      <c r="K1925" s="961" t="s">
        <v>1373</v>
      </c>
      <c r="L1925" s="555" t="str">
        <f t="shared" ca="1" si="326"/>
        <v/>
      </c>
      <c r="M1925" s="494" t="s">
        <v>1609</v>
      </c>
      <c r="N1925" s="555" t="str">
        <f t="shared" ref="N1925:N1988" ca="1" si="327">IF(AND(INDIRECT(CONCATENATE($J1925,$K1925,5))=$B1925,ISNUMBER(SEARCH("Select",INDIRECT(CONCATENATE($J1925,$M1925,7)),1))=FALSE),INDIRECT(CONCATENATE($J1925,$M1925,7)),"")</f>
        <v/>
      </c>
      <c r="O1925" s="494" t="s">
        <v>1732</v>
      </c>
      <c r="P1925" s="555" t="str">
        <f t="shared" ref="P1925:P1988" ca="1" si="328">IF(AND(INDIRECT(CONCATENATE($J1925,$K1925,5))=$B1925,ISNUMBER(SEARCH("Select",INDIRECT(CONCATENATE($J1925,$O1925,7)),1))=FALSE),INDIRECT(CONCATENATE($J1925,$O1925,7)),"")</f>
        <v/>
      </c>
      <c r="Q1925" s="494" t="s">
        <v>1733</v>
      </c>
      <c r="R1925" s="494" t="str">
        <f>CONCATENATE("H",ROW(J1925))</f>
        <v>H1925</v>
      </c>
      <c r="S1925" s="494" t="s">
        <v>1734</v>
      </c>
      <c r="T1925" s="494">
        <v>7</v>
      </c>
      <c r="U1925" s="556" t="str">
        <f t="shared" ca="1" si="324"/>
        <v/>
      </c>
      <c r="V1925" s="494">
        <v>8</v>
      </c>
      <c r="W1925" s="556" t="str">
        <f t="shared" ca="1" si="325"/>
        <v/>
      </c>
      <c r="X1925" s="557"/>
      <c r="Y1925" s="958"/>
      <c r="Z1925" s="958"/>
      <c r="AA1925" s="958"/>
      <c r="AB1925" s="958" t="s">
        <v>1735</v>
      </c>
      <c r="AC1925" s="547" t="str">
        <f ca="1">IF(AND(INDIRECT(CONCATENATE($J1923,$K1923,"5"))=$B1923,ISBLANK(INDIRECT(CONCATENATE($J1923,AB1925)))=FALSE),INDIRECT(CONCATENATE($J1923,AB1925)),"")</f>
        <v/>
      </c>
      <c r="AD1925" s="494" t="s">
        <v>1736</v>
      </c>
      <c r="AE1925" s="547" t="str">
        <f t="shared" ref="AE1925:AE1988" ca="1" si="329">IF(AND(INDIRECT(CONCATENATE($J1925,$K1925,"5"))=$B1925,ISBLANK(INDIRECT(CONCATENATE($J1925,AD1925)))=FALSE),INDIRECT(CONCATENATE($J1925,AD1925)),"")</f>
        <v/>
      </c>
    </row>
    <row r="1926" spans="1:31" ht="15" customHeight="1">
      <c r="A1926" s="957">
        <v>94</v>
      </c>
      <c r="B1926" s="566" t="s">
        <v>803</v>
      </c>
      <c r="C1926" s="567" t="s">
        <v>1730</v>
      </c>
      <c r="D1926" s="958">
        <v>1.1000000000000001</v>
      </c>
      <c r="E1926" s="959" t="s">
        <v>353</v>
      </c>
      <c r="F1926" s="558" t="s">
        <v>1486</v>
      </c>
      <c r="G1926" s="558">
        <v>686</v>
      </c>
      <c r="H1926" s="558" t="s">
        <v>896</v>
      </c>
      <c r="I1926" s="559" t="s">
        <v>1740</v>
      </c>
      <c r="J1926" s="567" t="s">
        <v>1731</v>
      </c>
      <c r="K1926" s="961" t="s">
        <v>1373</v>
      </c>
      <c r="L1926" s="555" t="str">
        <f t="shared" ca="1" si="326"/>
        <v/>
      </c>
      <c r="M1926" s="494" t="s">
        <v>1609</v>
      </c>
      <c r="N1926" s="555" t="str">
        <f t="shared" ca="1" si="327"/>
        <v/>
      </c>
      <c r="O1926" s="494" t="s">
        <v>1732</v>
      </c>
      <c r="P1926" s="555" t="str">
        <f t="shared" ca="1" si="328"/>
        <v/>
      </c>
      <c r="Q1926" s="494" t="s">
        <v>1733</v>
      </c>
      <c r="R1926" s="494" t="str">
        <f>CONCATENATE("H",ROW(J1926))</f>
        <v>H1926</v>
      </c>
      <c r="S1926" s="494" t="s">
        <v>1734</v>
      </c>
      <c r="T1926" s="494">
        <v>7</v>
      </c>
      <c r="U1926" s="556" t="str">
        <f t="shared" ca="1" si="324"/>
        <v/>
      </c>
      <c r="V1926" s="494">
        <v>8</v>
      </c>
      <c r="W1926" s="556" t="str">
        <f t="shared" ca="1" si="325"/>
        <v/>
      </c>
      <c r="X1926" s="557"/>
      <c r="Y1926" s="958"/>
      <c r="Z1926" s="958"/>
      <c r="AA1926" s="958"/>
      <c r="AB1926" s="958" t="s">
        <v>1735</v>
      </c>
      <c r="AC1926" s="547" t="str">
        <f ca="1">IF(AND(INDIRECT(CONCATENATE($J1924,$K1924,"5"))=$B1924,ISBLANK(INDIRECT(CONCATENATE($J1924,AB1926)))=FALSE),INDIRECT(CONCATENATE($J1924,AB1926)),"")</f>
        <v/>
      </c>
      <c r="AD1926" s="494" t="s">
        <v>1736</v>
      </c>
      <c r="AE1926" s="547" t="str">
        <f t="shared" ca="1" si="329"/>
        <v/>
      </c>
    </row>
    <row r="1927" spans="1:31" ht="15" customHeight="1">
      <c r="A1927" s="957">
        <v>94</v>
      </c>
      <c r="B1927" s="566" t="s">
        <v>803</v>
      </c>
      <c r="C1927" s="567" t="s">
        <v>1730</v>
      </c>
      <c r="D1927" s="958">
        <v>1.1000000000000001</v>
      </c>
      <c r="E1927" s="959" t="s">
        <v>353</v>
      </c>
      <c r="F1927" s="558" t="s">
        <v>1486</v>
      </c>
      <c r="G1927" s="558">
        <v>690</v>
      </c>
      <c r="H1927" s="558">
        <v>20.100000000000001</v>
      </c>
      <c r="I1927" s="559" t="s">
        <v>900</v>
      </c>
      <c r="J1927" s="567" t="s">
        <v>1731</v>
      </c>
      <c r="K1927" s="961" t="s">
        <v>1373</v>
      </c>
      <c r="L1927" s="555" t="str">
        <f t="shared" ca="1" si="326"/>
        <v/>
      </c>
      <c r="M1927" s="494" t="s">
        <v>1609</v>
      </c>
      <c r="N1927" s="555" t="str">
        <f t="shared" ca="1" si="327"/>
        <v/>
      </c>
      <c r="O1927" s="494" t="s">
        <v>1732</v>
      </c>
      <c r="P1927" s="555" t="str">
        <f t="shared" ca="1" si="328"/>
        <v/>
      </c>
      <c r="Q1927" s="494" t="s">
        <v>1733</v>
      </c>
      <c r="R1927" s="494" t="str">
        <f t="shared" si="322"/>
        <v>H1927</v>
      </c>
      <c r="S1927" s="494" t="s">
        <v>1734</v>
      </c>
      <c r="T1927" s="494">
        <v>7</v>
      </c>
      <c r="U1927" s="556" t="str">
        <f t="shared" ca="1" si="324"/>
        <v/>
      </c>
      <c r="V1927" s="494">
        <v>8</v>
      </c>
      <c r="W1927" s="556" t="str">
        <f t="shared" ca="1" si="325"/>
        <v/>
      </c>
      <c r="X1927" s="557"/>
      <c r="Y1927" s="958"/>
      <c r="Z1927" s="958"/>
      <c r="AA1927" s="958"/>
      <c r="AB1927" s="958" t="s">
        <v>1735</v>
      </c>
      <c r="AC1927" s="547" t="str">
        <f ca="1">IF(AND(INDIRECT(CONCATENATE($J1925,$K1925,"5"))=$B1925,ISBLANK(INDIRECT(CONCATENATE($J1925,AB1927)))=FALSE),INDIRECT(CONCATENATE($J1925,AB1927)),"")</f>
        <v/>
      </c>
      <c r="AD1927" s="494" t="s">
        <v>1736</v>
      </c>
      <c r="AE1927" s="547" t="str">
        <f t="shared" ca="1" si="329"/>
        <v/>
      </c>
    </row>
    <row r="1928" spans="1:31" ht="15" customHeight="1">
      <c r="A1928" s="957">
        <v>94</v>
      </c>
      <c r="B1928" s="566" t="s">
        <v>803</v>
      </c>
      <c r="C1928" s="567" t="s">
        <v>1730</v>
      </c>
      <c r="D1928" s="958">
        <v>1.1000000000000001</v>
      </c>
      <c r="E1928" s="959" t="s">
        <v>353</v>
      </c>
      <c r="F1928" s="558" t="s">
        <v>1486</v>
      </c>
      <c r="G1928" s="558">
        <v>691</v>
      </c>
      <c r="H1928" s="558">
        <v>20.2</v>
      </c>
      <c r="I1928" s="559" t="s">
        <v>901</v>
      </c>
      <c r="J1928" s="567" t="s">
        <v>1731</v>
      </c>
      <c r="K1928" s="961" t="s">
        <v>1373</v>
      </c>
      <c r="L1928" s="555" t="str">
        <f t="shared" ca="1" si="326"/>
        <v/>
      </c>
      <c r="M1928" s="494" t="s">
        <v>1609</v>
      </c>
      <c r="N1928" s="555" t="str">
        <f t="shared" ca="1" si="327"/>
        <v/>
      </c>
      <c r="O1928" s="494" t="s">
        <v>1732</v>
      </c>
      <c r="P1928" s="555" t="str">
        <f t="shared" ca="1" si="328"/>
        <v/>
      </c>
      <c r="Q1928" s="494" t="s">
        <v>1733</v>
      </c>
      <c r="R1928" s="494" t="str">
        <f t="shared" si="322"/>
        <v>H1928</v>
      </c>
      <c r="S1928" s="494" t="s">
        <v>1734</v>
      </c>
      <c r="T1928" s="494">
        <v>7</v>
      </c>
      <c r="U1928" s="556" t="str">
        <f t="shared" ca="1" si="324"/>
        <v/>
      </c>
      <c r="V1928" s="494">
        <v>8</v>
      </c>
      <c r="W1928" s="556" t="str">
        <f t="shared" ca="1" si="325"/>
        <v/>
      </c>
      <c r="X1928" s="557"/>
      <c r="Y1928" s="958"/>
      <c r="Z1928" s="958"/>
      <c r="AA1928" s="958"/>
      <c r="AB1928" s="958" t="s">
        <v>1735</v>
      </c>
      <c r="AC1928" s="547" t="str">
        <f ca="1">IF(AND(INDIRECT(CONCATENATE($J1926,$K1926,"5"))=$B1926,ISBLANK(INDIRECT(CONCATENATE($J1926,AB1928)))=FALSE),INDIRECT(CONCATENATE($J1926,AB1928)),"")</f>
        <v/>
      </c>
      <c r="AD1928" s="494" t="s">
        <v>1736</v>
      </c>
      <c r="AE1928" s="547" t="str">
        <f t="shared" ca="1" si="329"/>
        <v/>
      </c>
    </row>
    <row r="1929" spans="1:31" ht="15" customHeight="1">
      <c r="A1929" s="957">
        <v>94</v>
      </c>
      <c r="B1929" s="566" t="s">
        <v>803</v>
      </c>
      <c r="C1929" s="567" t="s">
        <v>1730</v>
      </c>
      <c r="D1929" s="958">
        <v>1.1000000000000001</v>
      </c>
      <c r="E1929" s="959" t="s">
        <v>367</v>
      </c>
      <c r="F1929" s="558" t="s">
        <v>1488</v>
      </c>
      <c r="G1929" s="558">
        <v>692</v>
      </c>
      <c r="H1929" s="558">
        <v>21.1</v>
      </c>
      <c r="I1929" s="559" t="s">
        <v>904</v>
      </c>
      <c r="J1929" s="567" t="s">
        <v>1731</v>
      </c>
      <c r="K1929" s="961" t="s">
        <v>1373</v>
      </c>
      <c r="L1929" s="555" t="str">
        <f t="shared" ca="1" si="326"/>
        <v/>
      </c>
      <c r="M1929" s="494" t="s">
        <v>1609</v>
      </c>
      <c r="N1929" s="555" t="str">
        <f t="shared" ca="1" si="327"/>
        <v/>
      </c>
      <c r="O1929" s="494" t="s">
        <v>1732</v>
      </c>
      <c r="P1929" s="555" t="str">
        <f t="shared" ca="1" si="328"/>
        <v/>
      </c>
      <c r="Q1929" s="494" t="s">
        <v>1733</v>
      </c>
      <c r="R1929" s="494" t="str">
        <f t="shared" si="322"/>
        <v>H1929</v>
      </c>
      <c r="S1929" s="494" t="s">
        <v>1734</v>
      </c>
      <c r="T1929" s="494">
        <v>7</v>
      </c>
      <c r="U1929" s="556" t="str">
        <f t="shared" ca="1" si="324"/>
        <v/>
      </c>
      <c r="V1929" s="494">
        <v>8</v>
      </c>
      <c r="W1929" s="556" t="str">
        <f t="shared" ca="1" si="325"/>
        <v/>
      </c>
      <c r="X1929" s="557"/>
      <c r="Y1929" s="958"/>
      <c r="Z1929" s="958"/>
      <c r="AA1929" s="958"/>
      <c r="AB1929" s="958" t="s">
        <v>1735</v>
      </c>
      <c r="AC1929" s="547" t="str">
        <f t="shared" ref="AC1929:AC1976" ca="1" si="330">IF(AND(INDIRECT(CONCATENATE($J1929,$K1929,"5"))=$B1929,ISBLANK(INDIRECT(CONCATENATE($J1929,AB1929)))=FALSE),INDIRECT(CONCATENATE($J1929,AB1929)),"")</f>
        <v/>
      </c>
      <c r="AD1929" s="494" t="s">
        <v>1736</v>
      </c>
      <c r="AE1929" s="547" t="str">
        <f t="shared" ca="1" si="329"/>
        <v/>
      </c>
    </row>
    <row r="1930" spans="1:31" ht="15" customHeight="1">
      <c r="A1930" s="957">
        <v>94</v>
      </c>
      <c r="B1930" s="566" t="s">
        <v>803</v>
      </c>
      <c r="C1930" s="567" t="s">
        <v>1730</v>
      </c>
      <c r="D1930" s="958">
        <v>1.1000000000000001</v>
      </c>
      <c r="E1930" s="959" t="s">
        <v>367</v>
      </c>
      <c r="F1930" s="558" t="s">
        <v>1488</v>
      </c>
      <c r="G1930" s="558">
        <v>693</v>
      </c>
      <c r="H1930" s="558">
        <v>21.2</v>
      </c>
      <c r="I1930" s="559" t="s">
        <v>905</v>
      </c>
      <c r="J1930" s="567" t="s">
        <v>1731</v>
      </c>
      <c r="K1930" s="961" t="s">
        <v>1373</v>
      </c>
      <c r="L1930" s="555" t="str">
        <f t="shared" ca="1" si="326"/>
        <v/>
      </c>
      <c r="M1930" s="494" t="s">
        <v>1609</v>
      </c>
      <c r="N1930" s="555" t="str">
        <f t="shared" ca="1" si="327"/>
        <v/>
      </c>
      <c r="O1930" s="494" t="s">
        <v>1732</v>
      </c>
      <c r="P1930" s="555" t="str">
        <f t="shared" ca="1" si="328"/>
        <v/>
      </c>
      <c r="Q1930" s="494" t="s">
        <v>1733</v>
      </c>
      <c r="R1930" s="494" t="str">
        <f t="shared" si="322"/>
        <v>H1930</v>
      </c>
      <c r="S1930" s="494" t="s">
        <v>1734</v>
      </c>
      <c r="T1930" s="494">
        <v>7</v>
      </c>
      <c r="U1930" s="556" t="str">
        <f t="shared" ca="1" si="324"/>
        <v/>
      </c>
      <c r="V1930" s="494">
        <v>8</v>
      </c>
      <c r="W1930" s="556" t="str">
        <f t="shared" ca="1" si="325"/>
        <v/>
      </c>
      <c r="X1930" s="557"/>
      <c r="Y1930" s="958"/>
      <c r="Z1930" s="958"/>
      <c r="AA1930" s="958"/>
      <c r="AB1930" s="958" t="s">
        <v>1735</v>
      </c>
      <c r="AC1930" s="547" t="str">
        <f t="shared" ca="1" si="330"/>
        <v/>
      </c>
      <c r="AD1930" s="494" t="s">
        <v>1736</v>
      </c>
      <c r="AE1930" s="547" t="str">
        <f t="shared" ca="1" si="329"/>
        <v/>
      </c>
    </row>
    <row r="1931" spans="1:31" ht="15" customHeight="1">
      <c r="A1931" s="957">
        <v>94</v>
      </c>
      <c r="B1931" s="566" t="s">
        <v>803</v>
      </c>
      <c r="C1931" s="567" t="s">
        <v>1730</v>
      </c>
      <c r="D1931" s="958">
        <v>1.1000000000000001</v>
      </c>
      <c r="E1931" s="959" t="s">
        <v>367</v>
      </c>
      <c r="F1931" s="558" t="s">
        <v>1488</v>
      </c>
      <c r="G1931" s="558">
        <v>694</v>
      </c>
      <c r="H1931" s="558">
        <v>21.3</v>
      </c>
      <c r="I1931" s="559" t="s">
        <v>906</v>
      </c>
      <c r="J1931" s="567" t="s">
        <v>1731</v>
      </c>
      <c r="K1931" s="961" t="s">
        <v>1373</v>
      </c>
      <c r="L1931" s="555" t="str">
        <f t="shared" ca="1" si="326"/>
        <v/>
      </c>
      <c r="M1931" s="494" t="s">
        <v>1609</v>
      </c>
      <c r="N1931" s="555" t="str">
        <f t="shared" ca="1" si="327"/>
        <v/>
      </c>
      <c r="O1931" s="494" t="s">
        <v>1732</v>
      </c>
      <c r="P1931" s="555" t="str">
        <f t="shared" ca="1" si="328"/>
        <v/>
      </c>
      <c r="Q1931" s="494" t="s">
        <v>1733</v>
      </c>
      <c r="R1931" s="494" t="str">
        <f t="shared" si="322"/>
        <v>H1931</v>
      </c>
      <c r="S1931" s="494" t="s">
        <v>1734</v>
      </c>
      <c r="T1931" s="494">
        <v>7</v>
      </c>
      <c r="U1931" s="556" t="str">
        <f t="shared" ca="1" si="324"/>
        <v/>
      </c>
      <c r="V1931" s="494">
        <v>8</v>
      </c>
      <c r="W1931" s="556" t="str">
        <f t="shared" ca="1" si="325"/>
        <v/>
      </c>
      <c r="X1931" s="557"/>
      <c r="Y1931" s="958"/>
      <c r="Z1931" s="958"/>
      <c r="AA1931" s="958"/>
      <c r="AB1931" s="958" t="s">
        <v>1735</v>
      </c>
      <c r="AC1931" s="547" t="str">
        <f t="shared" ca="1" si="330"/>
        <v/>
      </c>
      <c r="AD1931" s="494" t="s">
        <v>1736</v>
      </c>
      <c r="AE1931" s="547" t="str">
        <f t="shared" ca="1" si="329"/>
        <v/>
      </c>
    </row>
    <row r="1932" spans="1:31" ht="15" customHeight="1">
      <c r="A1932" s="957">
        <v>94</v>
      </c>
      <c r="B1932" s="566" t="s">
        <v>803</v>
      </c>
      <c r="C1932" s="567" t="s">
        <v>1730</v>
      </c>
      <c r="D1932" s="958">
        <v>1.1000000000000001</v>
      </c>
      <c r="E1932" s="959" t="s">
        <v>367</v>
      </c>
      <c r="F1932" s="558" t="s">
        <v>1488</v>
      </c>
      <c r="G1932" s="558">
        <v>695</v>
      </c>
      <c r="H1932" s="558">
        <v>22.1</v>
      </c>
      <c r="I1932" s="559" t="s">
        <v>909</v>
      </c>
      <c r="J1932" s="567" t="s">
        <v>1731</v>
      </c>
      <c r="K1932" s="961" t="s">
        <v>1373</v>
      </c>
      <c r="L1932" s="555" t="str">
        <f t="shared" ca="1" si="326"/>
        <v/>
      </c>
      <c r="M1932" s="494" t="s">
        <v>1609</v>
      </c>
      <c r="N1932" s="555" t="str">
        <f t="shared" ca="1" si="327"/>
        <v/>
      </c>
      <c r="O1932" s="494" t="s">
        <v>1732</v>
      </c>
      <c r="P1932" s="555" t="str">
        <f t="shared" ca="1" si="328"/>
        <v/>
      </c>
      <c r="Q1932" s="494" t="s">
        <v>1733</v>
      </c>
      <c r="R1932" s="494" t="str">
        <f t="shared" si="322"/>
        <v>H1932</v>
      </c>
      <c r="S1932" s="494" t="s">
        <v>1734</v>
      </c>
      <c r="T1932" s="494">
        <v>7</v>
      </c>
      <c r="U1932" s="556" t="str">
        <f t="shared" ca="1" si="324"/>
        <v/>
      </c>
      <c r="V1932" s="494">
        <v>8</v>
      </c>
      <c r="W1932" s="556" t="str">
        <f t="shared" ca="1" si="325"/>
        <v/>
      </c>
      <c r="X1932" s="557"/>
      <c r="Y1932" s="958"/>
      <c r="Z1932" s="958"/>
      <c r="AA1932" s="958"/>
      <c r="AB1932" s="958" t="s">
        <v>1735</v>
      </c>
      <c r="AC1932" s="547" t="str">
        <f t="shared" ca="1" si="330"/>
        <v/>
      </c>
      <c r="AD1932" s="494" t="s">
        <v>1736</v>
      </c>
      <c r="AE1932" s="547" t="str">
        <f t="shared" ca="1" si="329"/>
        <v/>
      </c>
    </row>
    <row r="1933" spans="1:31" ht="15" customHeight="1">
      <c r="A1933" s="957">
        <v>94</v>
      </c>
      <c r="B1933" s="566" t="s">
        <v>803</v>
      </c>
      <c r="C1933" s="567" t="s">
        <v>1730</v>
      </c>
      <c r="D1933" s="958">
        <v>1.1000000000000001</v>
      </c>
      <c r="E1933" s="959" t="s">
        <v>367</v>
      </c>
      <c r="F1933" s="558" t="s">
        <v>1488</v>
      </c>
      <c r="G1933" s="558">
        <v>696</v>
      </c>
      <c r="H1933" s="558">
        <v>22.2</v>
      </c>
      <c r="I1933" s="559" t="s">
        <v>910</v>
      </c>
      <c r="J1933" s="567" t="s">
        <v>1731</v>
      </c>
      <c r="K1933" s="961" t="s">
        <v>1373</v>
      </c>
      <c r="L1933" s="555" t="str">
        <f t="shared" ca="1" si="326"/>
        <v/>
      </c>
      <c r="M1933" s="494" t="s">
        <v>1609</v>
      </c>
      <c r="N1933" s="555" t="str">
        <f t="shared" ca="1" si="327"/>
        <v/>
      </c>
      <c r="O1933" s="494" t="s">
        <v>1732</v>
      </c>
      <c r="P1933" s="555" t="str">
        <f t="shared" ca="1" si="328"/>
        <v/>
      </c>
      <c r="Q1933" s="494" t="s">
        <v>1733</v>
      </c>
      <c r="R1933" s="494" t="str">
        <f t="shared" si="322"/>
        <v>H1933</v>
      </c>
      <c r="S1933" s="494" t="s">
        <v>1734</v>
      </c>
      <c r="T1933" s="494">
        <v>7</v>
      </c>
      <c r="U1933" s="556" t="str">
        <f t="shared" ca="1" si="324"/>
        <v/>
      </c>
      <c r="V1933" s="494">
        <v>8</v>
      </c>
      <c r="W1933" s="556" t="str">
        <f t="shared" ca="1" si="325"/>
        <v/>
      </c>
      <c r="X1933" s="557"/>
      <c r="Y1933" s="958"/>
      <c r="Z1933" s="958"/>
      <c r="AA1933" s="958"/>
      <c r="AB1933" s="958" t="s">
        <v>1735</v>
      </c>
      <c r="AC1933" s="547" t="str">
        <f t="shared" ca="1" si="330"/>
        <v/>
      </c>
      <c r="AD1933" s="494" t="s">
        <v>1736</v>
      </c>
      <c r="AE1933" s="547" t="str">
        <f t="shared" ca="1" si="329"/>
        <v/>
      </c>
    </row>
    <row r="1934" spans="1:31" ht="15" customHeight="1">
      <c r="A1934" s="957">
        <v>94</v>
      </c>
      <c r="B1934" s="566" t="s">
        <v>803</v>
      </c>
      <c r="C1934" s="567" t="s">
        <v>1730</v>
      </c>
      <c r="D1934" s="958">
        <v>1.1000000000000001</v>
      </c>
      <c r="E1934" s="959" t="s">
        <v>367</v>
      </c>
      <c r="F1934" s="558" t="s">
        <v>1488</v>
      </c>
      <c r="G1934" s="558">
        <v>697</v>
      </c>
      <c r="H1934" s="558">
        <v>23.1</v>
      </c>
      <c r="I1934" s="559" t="s">
        <v>913</v>
      </c>
      <c r="J1934" s="567" t="s">
        <v>1731</v>
      </c>
      <c r="K1934" s="961" t="s">
        <v>1373</v>
      </c>
      <c r="L1934" s="555" t="str">
        <f t="shared" ca="1" si="326"/>
        <v/>
      </c>
      <c r="M1934" s="494" t="s">
        <v>1609</v>
      </c>
      <c r="N1934" s="555" t="str">
        <f t="shared" ca="1" si="327"/>
        <v/>
      </c>
      <c r="O1934" s="494" t="s">
        <v>1732</v>
      </c>
      <c r="P1934" s="555" t="str">
        <f t="shared" ca="1" si="328"/>
        <v/>
      </c>
      <c r="Q1934" s="494" t="s">
        <v>1733</v>
      </c>
      <c r="R1934" s="494" t="str">
        <f t="shared" si="322"/>
        <v>H1934</v>
      </c>
      <c r="S1934" s="494" t="s">
        <v>1734</v>
      </c>
      <c r="T1934" s="494">
        <v>7</v>
      </c>
      <c r="U1934" s="556" t="str">
        <f t="shared" ca="1" si="324"/>
        <v/>
      </c>
      <c r="V1934" s="494">
        <v>8</v>
      </c>
      <c r="W1934" s="556" t="str">
        <f t="shared" ca="1" si="325"/>
        <v/>
      </c>
      <c r="X1934" s="557"/>
      <c r="Y1934" s="958"/>
      <c r="Z1934" s="958"/>
      <c r="AA1934" s="958"/>
      <c r="AB1934" s="958" t="s">
        <v>1735</v>
      </c>
      <c r="AC1934" s="547" t="str">
        <f t="shared" ca="1" si="330"/>
        <v/>
      </c>
      <c r="AD1934" s="494" t="s">
        <v>1736</v>
      </c>
      <c r="AE1934" s="547" t="str">
        <f t="shared" ca="1" si="329"/>
        <v/>
      </c>
    </row>
    <row r="1935" spans="1:31" ht="15" customHeight="1">
      <c r="A1935" s="957">
        <v>94</v>
      </c>
      <c r="B1935" s="566" t="s">
        <v>803</v>
      </c>
      <c r="C1935" s="567" t="s">
        <v>1730</v>
      </c>
      <c r="D1935" s="958">
        <v>1.1000000000000001</v>
      </c>
      <c r="E1935" s="959" t="s">
        <v>367</v>
      </c>
      <c r="F1935" s="558" t="s">
        <v>1488</v>
      </c>
      <c r="G1935" s="558">
        <v>698</v>
      </c>
      <c r="H1935" s="558">
        <v>23.2</v>
      </c>
      <c r="I1935" s="559" t="s">
        <v>914</v>
      </c>
      <c r="J1935" s="567" t="s">
        <v>1731</v>
      </c>
      <c r="K1935" s="961" t="s">
        <v>1373</v>
      </c>
      <c r="L1935" s="555" t="str">
        <f t="shared" ca="1" si="326"/>
        <v/>
      </c>
      <c r="M1935" s="494" t="s">
        <v>1609</v>
      </c>
      <c r="N1935" s="555" t="str">
        <f t="shared" ca="1" si="327"/>
        <v/>
      </c>
      <c r="O1935" s="494" t="s">
        <v>1732</v>
      </c>
      <c r="P1935" s="555" t="str">
        <f t="shared" ca="1" si="328"/>
        <v/>
      </c>
      <c r="Q1935" s="494" t="s">
        <v>1733</v>
      </c>
      <c r="R1935" s="494" t="str">
        <f t="shared" si="322"/>
        <v>H1935</v>
      </c>
      <c r="S1935" s="494" t="s">
        <v>1734</v>
      </c>
      <c r="T1935" s="494">
        <v>7</v>
      </c>
      <c r="U1935" s="556" t="str">
        <f t="shared" ca="1" si="324"/>
        <v/>
      </c>
      <c r="V1935" s="494">
        <v>8</v>
      </c>
      <c r="W1935" s="556" t="str">
        <f t="shared" ca="1" si="325"/>
        <v/>
      </c>
      <c r="X1935" s="557"/>
      <c r="Y1935" s="958"/>
      <c r="Z1935" s="958"/>
      <c r="AA1935" s="958"/>
      <c r="AB1935" s="958" t="s">
        <v>1735</v>
      </c>
      <c r="AC1935" s="547" t="str">
        <f t="shared" ca="1" si="330"/>
        <v/>
      </c>
      <c r="AD1935" s="494" t="s">
        <v>1736</v>
      </c>
      <c r="AE1935" s="547" t="str">
        <f t="shared" ca="1" si="329"/>
        <v/>
      </c>
    </row>
    <row r="1936" spans="1:31" ht="15" customHeight="1">
      <c r="A1936" s="957">
        <v>94</v>
      </c>
      <c r="B1936" s="566" t="s">
        <v>803</v>
      </c>
      <c r="C1936" s="567" t="s">
        <v>1730</v>
      </c>
      <c r="D1936" s="958">
        <v>1.1000000000000001</v>
      </c>
      <c r="E1936" s="959" t="s">
        <v>396</v>
      </c>
      <c r="F1936" s="558" t="s">
        <v>1498</v>
      </c>
      <c r="G1936" s="558">
        <v>700</v>
      </c>
      <c r="H1936" s="558">
        <v>24.1</v>
      </c>
      <c r="I1936" s="559" t="s">
        <v>916</v>
      </c>
      <c r="J1936" s="567" t="s">
        <v>1731</v>
      </c>
      <c r="K1936" s="961" t="s">
        <v>1373</v>
      </c>
      <c r="L1936" s="555" t="str">
        <f t="shared" ca="1" si="326"/>
        <v/>
      </c>
      <c r="M1936" s="494" t="s">
        <v>1609</v>
      </c>
      <c r="N1936" s="555" t="str">
        <f t="shared" ca="1" si="327"/>
        <v/>
      </c>
      <c r="O1936" s="494" t="s">
        <v>1732</v>
      </c>
      <c r="P1936" s="555" t="str">
        <f t="shared" ca="1" si="328"/>
        <v/>
      </c>
      <c r="Q1936" s="494" t="s">
        <v>1733</v>
      </c>
      <c r="R1936" s="494" t="str">
        <f t="shared" ref="R1936:R2004" si="331">CONCATENATE("H",ROW(J1936))</f>
        <v>H1936</v>
      </c>
      <c r="S1936" s="494" t="s">
        <v>1734</v>
      </c>
      <c r="T1936" s="494">
        <v>7</v>
      </c>
      <c r="U1936" s="556" t="str">
        <f t="shared" ca="1" si="324"/>
        <v/>
      </c>
      <c r="V1936" s="494">
        <v>8</v>
      </c>
      <c r="W1936" s="556" t="str">
        <f t="shared" ca="1" si="325"/>
        <v/>
      </c>
      <c r="X1936" s="557"/>
      <c r="Y1936" s="958"/>
      <c r="Z1936" s="958"/>
      <c r="AA1936" s="958"/>
      <c r="AB1936" s="958" t="s">
        <v>1735</v>
      </c>
      <c r="AC1936" s="547" t="str">
        <f t="shared" ca="1" si="330"/>
        <v/>
      </c>
      <c r="AD1936" s="494" t="s">
        <v>1736</v>
      </c>
      <c r="AE1936" s="547" t="str">
        <f t="shared" ca="1" si="329"/>
        <v/>
      </c>
    </row>
    <row r="1937" spans="1:31" ht="15" customHeight="1">
      <c r="A1937" s="957">
        <v>94</v>
      </c>
      <c r="B1937" s="566" t="s">
        <v>803</v>
      </c>
      <c r="C1937" s="567" t="s">
        <v>1730</v>
      </c>
      <c r="D1937" s="958">
        <v>1.1000000000000001</v>
      </c>
      <c r="E1937" s="959" t="s">
        <v>396</v>
      </c>
      <c r="F1937" s="558" t="s">
        <v>1498</v>
      </c>
      <c r="G1937" s="558">
        <v>701</v>
      </c>
      <c r="H1937" s="558">
        <v>24.2</v>
      </c>
      <c r="I1937" s="559" t="s">
        <v>917</v>
      </c>
      <c r="J1937" s="567" t="s">
        <v>1731</v>
      </c>
      <c r="K1937" s="961" t="s">
        <v>1373</v>
      </c>
      <c r="L1937" s="555" t="str">
        <f t="shared" ca="1" si="326"/>
        <v/>
      </c>
      <c r="M1937" s="494" t="s">
        <v>1609</v>
      </c>
      <c r="N1937" s="555" t="str">
        <f t="shared" ca="1" si="327"/>
        <v/>
      </c>
      <c r="O1937" s="494" t="s">
        <v>1732</v>
      </c>
      <c r="P1937" s="555" t="str">
        <f t="shared" ca="1" si="328"/>
        <v/>
      </c>
      <c r="Q1937" s="494" t="s">
        <v>1733</v>
      </c>
      <c r="R1937" s="494" t="str">
        <f t="shared" si="331"/>
        <v>H1937</v>
      </c>
      <c r="S1937" s="494" t="s">
        <v>1734</v>
      </c>
      <c r="T1937" s="494">
        <v>7</v>
      </c>
      <c r="U1937" s="556" t="str">
        <f t="shared" ca="1" si="324"/>
        <v/>
      </c>
      <c r="V1937" s="494">
        <v>8</v>
      </c>
      <c r="W1937" s="556" t="str">
        <f t="shared" ca="1" si="325"/>
        <v/>
      </c>
      <c r="X1937" s="557"/>
      <c r="Y1937" s="958"/>
      <c r="Z1937" s="958"/>
      <c r="AA1937" s="958"/>
      <c r="AB1937" s="958" t="s">
        <v>1735</v>
      </c>
      <c r="AC1937" s="547" t="str">
        <f t="shared" ca="1" si="330"/>
        <v/>
      </c>
      <c r="AD1937" s="494" t="s">
        <v>1736</v>
      </c>
      <c r="AE1937" s="547" t="str">
        <f t="shared" ca="1" si="329"/>
        <v/>
      </c>
    </row>
    <row r="1938" spans="1:31" ht="15" customHeight="1">
      <c r="A1938" s="957">
        <v>94</v>
      </c>
      <c r="B1938" s="566" t="s">
        <v>803</v>
      </c>
      <c r="C1938" s="567" t="s">
        <v>1730</v>
      </c>
      <c r="D1938" s="958">
        <v>1.1000000000000001</v>
      </c>
      <c r="E1938" s="959" t="s">
        <v>396</v>
      </c>
      <c r="F1938" s="558" t="s">
        <v>1498</v>
      </c>
      <c r="G1938" s="558">
        <v>702</v>
      </c>
      <c r="H1938" s="558">
        <v>25.1</v>
      </c>
      <c r="I1938" s="559" t="s">
        <v>920</v>
      </c>
      <c r="J1938" s="567" t="s">
        <v>1731</v>
      </c>
      <c r="K1938" s="961" t="s">
        <v>1373</v>
      </c>
      <c r="L1938" s="555" t="str">
        <f t="shared" ca="1" si="326"/>
        <v/>
      </c>
      <c r="M1938" s="494" t="s">
        <v>1609</v>
      </c>
      <c r="N1938" s="555" t="str">
        <f t="shared" ca="1" si="327"/>
        <v/>
      </c>
      <c r="O1938" s="494" t="s">
        <v>1732</v>
      </c>
      <c r="P1938" s="555" t="str">
        <f t="shared" ca="1" si="328"/>
        <v/>
      </c>
      <c r="Q1938" s="494" t="s">
        <v>1733</v>
      </c>
      <c r="R1938" s="494" t="str">
        <f t="shared" si="331"/>
        <v>H1938</v>
      </c>
      <c r="S1938" s="494" t="s">
        <v>1734</v>
      </c>
      <c r="T1938" s="494">
        <v>7</v>
      </c>
      <c r="U1938" s="556" t="str">
        <f t="shared" ca="1" si="324"/>
        <v/>
      </c>
      <c r="V1938" s="494">
        <v>8</v>
      </c>
      <c r="W1938" s="556" t="str">
        <f t="shared" ca="1" si="325"/>
        <v/>
      </c>
      <c r="X1938" s="557"/>
      <c r="Y1938" s="958"/>
      <c r="Z1938" s="958"/>
      <c r="AA1938" s="958"/>
      <c r="AB1938" s="958" t="s">
        <v>1735</v>
      </c>
      <c r="AC1938" s="547" t="str">
        <f t="shared" ca="1" si="330"/>
        <v/>
      </c>
      <c r="AD1938" s="494" t="s">
        <v>1736</v>
      </c>
      <c r="AE1938" s="547" t="str">
        <f t="shared" ca="1" si="329"/>
        <v/>
      </c>
    </row>
    <row r="1939" spans="1:31" ht="15" customHeight="1">
      <c r="A1939" s="957">
        <v>94</v>
      </c>
      <c r="B1939" s="566" t="s">
        <v>803</v>
      </c>
      <c r="C1939" s="567" t="s">
        <v>1730</v>
      </c>
      <c r="D1939" s="958">
        <v>1.1000000000000001</v>
      </c>
      <c r="E1939" s="959" t="s">
        <v>396</v>
      </c>
      <c r="F1939" s="558" t="s">
        <v>1498</v>
      </c>
      <c r="G1939" s="558">
        <v>703</v>
      </c>
      <c r="H1939" s="558">
        <v>25.2</v>
      </c>
      <c r="I1939" s="559" t="s">
        <v>921</v>
      </c>
      <c r="J1939" s="567" t="s">
        <v>1731</v>
      </c>
      <c r="K1939" s="961" t="s">
        <v>1373</v>
      </c>
      <c r="L1939" s="555" t="str">
        <f t="shared" ca="1" si="326"/>
        <v/>
      </c>
      <c r="M1939" s="494" t="s">
        <v>1609</v>
      </c>
      <c r="N1939" s="555" t="str">
        <f t="shared" ca="1" si="327"/>
        <v/>
      </c>
      <c r="O1939" s="494" t="s">
        <v>1732</v>
      </c>
      <c r="P1939" s="555" t="str">
        <f t="shared" ca="1" si="328"/>
        <v/>
      </c>
      <c r="Q1939" s="494" t="s">
        <v>1733</v>
      </c>
      <c r="R1939" s="494" t="str">
        <f t="shared" si="331"/>
        <v>H1939</v>
      </c>
      <c r="S1939" s="494" t="s">
        <v>1734</v>
      </c>
      <c r="T1939" s="494">
        <v>7</v>
      </c>
      <c r="U1939" s="556" t="str">
        <f t="shared" ca="1" si="324"/>
        <v/>
      </c>
      <c r="V1939" s="494">
        <v>8</v>
      </c>
      <c r="W1939" s="556" t="str">
        <f t="shared" ca="1" si="325"/>
        <v/>
      </c>
      <c r="X1939" s="557"/>
      <c r="Y1939" s="958"/>
      <c r="Z1939" s="958"/>
      <c r="AA1939" s="958"/>
      <c r="AB1939" s="958" t="s">
        <v>1735</v>
      </c>
      <c r="AC1939" s="547" t="str">
        <f t="shared" ca="1" si="330"/>
        <v/>
      </c>
      <c r="AD1939" s="494" t="s">
        <v>1736</v>
      </c>
      <c r="AE1939" s="547" t="str">
        <f t="shared" ca="1" si="329"/>
        <v/>
      </c>
    </row>
    <row r="1940" spans="1:31" ht="15" customHeight="1">
      <c r="A1940" s="957">
        <v>94</v>
      </c>
      <c r="B1940" s="566" t="s">
        <v>803</v>
      </c>
      <c r="C1940" s="567" t="s">
        <v>1730</v>
      </c>
      <c r="D1940" s="958">
        <v>1.1000000000000001</v>
      </c>
      <c r="E1940" s="959" t="s">
        <v>396</v>
      </c>
      <c r="F1940" s="558" t="s">
        <v>1498</v>
      </c>
      <c r="G1940" s="558">
        <v>704</v>
      </c>
      <c r="H1940" s="558">
        <v>25.3</v>
      </c>
      <c r="I1940" s="559" t="s">
        <v>922</v>
      </c>
      <c r="J1940" s="567" t="s">
        <v>1731</v>
      </c>
      <c r="K1940" s="961" t="s">
        <v>1373</v>
      </c>
      <c r="L1940" s="555" t="str">
        <f t="shared" ca="1" si="326"/>
        <v/>
      </c>
      <c r="M1940" s="494" t="s">
        <v>1609</v>
      </c>
      <c r="N1940" s="555" t="str">
        <f t="shared" ca="1" si="327"/>
        <v/>
      </c>
      <c r="O1940" s="494" t="s">
        <v>1732</v>
      </c>
      <c r="P1940" s="555" t="str">
        <f t="shared" ca="1" si="328"/>
        <v/>
      </c>
      <c r="Q1940" s="494" t="s">
        <v>1733</v>
      </c>
      <c r="R1940" s="494" t="str">
        <f t="shared" si="331"/>
        <v>H1940</v>
      </c>
      <c r="S1940" s="494" t="s">
        <v>1734</v>
      </c>
      <c r="T1940" s="494">
        <v>7</v>
      </c>
      <c r="U1940" s="556" t="str">
        <f t="shared" ca="1" si="324"/>
        <v/>
      </c>
      <c r="V1940" s="494">
        <v>8</v>
      </c>
      <c r="W1940" s="556" t="str">
        <f t="shared" ca="1" si="325"/>
        <v/>
      </c>
      <c r="X1940" s="557"/>
      <c r="Y1940" s="958"/>
      <c r="Z1940" s="958"/>
      <c r="AA1940" s="958"/>
      <c r="AB1940" s="958" t="s">
        <v>1735</v>
      </c>
      <c r="AC1940" s="547" t="str">
        <f t="shared" ca="1" si="330"/>
        <v/>
      </c>
      <c r="AD1940" s="494" t="s">
        <v>1736</v>
      </c>
      <c r="AE1940" s="547" t="str">
        <f t="shared" ca="1" si="329"/>
        <v/>
      </c>
    </row>
    <row r="1941" spans="1:31" ht="15" customHeight="1">
      <c r="A1941" s="957">
        <v>94</v>
      </c>
      <c r="B1941" s="566" t="s">
        <v>803</v>
      </c>
      <c r="C1941" s="567" t="s">
        <v>1730</v>
      </c>
      <c r="D1941" s="958">
        <v>1.1000000000000001</v>
      </c>
      <c r="E1941" s="959" t="s">
        <v>404</v>
      </c>
      <c r="F1941" s="558" t="s">
        <v>1499</v>
      </c>
      <c r="G1941" s="558">
        <v>705</v>
      </c>
      <c r="H1941" s="558">
        <v>26.1</v>
      </c>
      <c r="I1941" s="559" t="s">
        <v>924</v>
      </c>
      <c r="J1941" s="567" t="s">
        <v>1731</v>
      </c>
      <c r="K1941" s="961" t="s">
        <v>1373</v>
      </c>
      <c r="L1941" s="555" t="str">
        <f t="shared" ca="1" si="326"/>
        <v/>
      </c>
      <c r="M1941" s="494" t="s">
        <v>1609</v>
      </c>
      <c r="N1941" s="555" t="str">
        <f t="shared" ca="1" si="327"/>
        <v/>
      </c>
      <c r="O1941" s="494" t="s">
        <v>1732</v>
      </c>
      <c r="P1941" s="555" t="str">
        <f t="shared" ca="1" si="328"/>
        <v/>
      </c>
      <c r="Q1941" s="494" t="s">
        <v>1733</v>
      </c>
      <c r="R1941" s="494" t="str">
        <f t="shared" si="331"/>
        <v>H1941</v>
      </c>
      <c r="S1941" s="494" t="s">
        <v>1734</v>
      </c>
      <c r="T1941" s="494">
        <v>7</v>
      </c>
      <c r="U1941" s="556" t="str">
        <f t="shared" ca="1" si="324"/>
        <v/>
      </c>
      <c r="V1941" s="494">
        <v>8</v>
      </c>
      <c r="W1941" s="556" t="str">
        <f t="shared" ca="1" si="325"/>
        <v/>
      </c>
      <c r="X1941" s="557"/>
      <c r="Y1941" s="958"/>
      <c r="Z1941" s="958"/>
      <c r="AA1941" s="958"/>
      <c r="AB1941" s="958" t="s">
        <v>1735</v>
      </c>
      <c r="AC1941" s="547" t="str">
        <f t="shared" ca="1" si="330"/>
        <v/>
      </c>
      <c r="AD1941" s="494" t="s">
        <v>1736</v>
      </c>
      <c r="AE1941" s="547" t="str">
        <f t="shared" ca="1" si="329"/>
        <v/>
      </c>
    </row>
    <row r="1942" spans="1:31" ht="15" customHeight="1">
      <c r="A1942" s="957">
        <v>94</v>
      </c>
      <c r="B1942" s="566" t="s">
        <v>803</v>
      </c>
      <c r="C1942" s="567" t="s">
        <v>1730</v>
      </c>
      <c r="D1942" s="958">
        <v>1.1000000000000001</v>
      </c>
      <c r="E1942" s="959" t="s">
        <v>404</v>
      </c>
      <c r="F1942" s="558" t="s">
        <v>1499</v>
      </c>
      <c r="G1942" s="558">
        <v>706</v>
      </c>
      <c r="H1942" s="558">
        <v>26.2</v>
      </c>
      <c r="I1942" s="559" t="s">
        <v>925</v>
      </c>
      <c r="J1942" s="567" t="s">
        <v>1731</v>
      </c>
      <c r="K1942" s="961" t="s">
        <v>1373</v>
      </c>
      <c r="L1942" s="555" t="str">
        <f t="shared" ca="1" si="326"/>
        <v/>
      </c>
      <c r="M1942" s="494" t="s">
        <v>1609</v>
      </c>
      <c r="N1942" s="555" t="str">
        <f t="shared" ca="1" si="327"/>
        <v/>
      </c>
      <c r="O1942" s="494" t="s">
        <v>1732</v>
      </c>
      <c r="P1942" s="555" t="str">
        <f t="shared" ca="1" si="328"/>
        <v/>
      </c>
      <c r="Q1942" s="494" t="s">
        <v>1733</v>
      </c>
      <c r="R1942" s="494" t="str">
        <f t="shared" si="331"/>
        <v>H1942</v>
      </c>
      <c r="S1942" s="494" t="s">
        <v>1734</v>
      </c>
      <c r="T1942" s="494">
        <v>7</v>
      </c>
      <c r="U1942" s="556" t="str">
        <f t="shared" ca="1" si="324"/>
        <v/>
      </c>
      <c r="V1942" s="494">
        <v>8</v>
      </c>
      <c r="W1942" s="556" t="str">
        <f t="shared" ca="1" si="325"/>
        <v/>
      </c>
      <c r="X1942" s="557"/>
      <c r="Y1942" s="958"/>
      <c r="Z1942" s="958"/>
      <c r="AA1942" s="958"/>
      <c r="AB1942" s="958" t="s">
        <v>1735</v>
      </c>
      <c r="AC1942" s="547" t="str">
        <f t="shared" ca="1" si="330"/>
        <v/>
      </c>
      <c r="AD1942" s="494" t="s">
        <v>1736</v>
      </c>
      <c r="AE1942" s="547" t="str">
        <f t="shared" ca="1" si="329"/>
        <v/>
      </c>
    </row>
    <row r="1943" spans="1:31" ht="15" customHeight="1">
      <c r="A1943" s="957">
        <v>94</v>
      </c>
      <c r="B1943" s="566" t="s">
        <v>803</v>
      </c>
      <c r="C1943" s="567" t="s">
        <v>1730</v>
      </c>
      <c r="D1943" s="958">
        <v>1.1000000000000001</v>
      </c>
      <c r="E1943" s="959" t="s">
        <v>404</v>
      </c>
      <c r="F1943" s="558" t="s">
        <v>1499</v>
      </c>
      <c r="G1943" s="558">
        <v>707</v>
      </c>
      <c r="H1943" s="558">
        <v>27.1</v>
      </c>
      <c r="I1943" s="559" t="s">
        <v>927</v>
      </c>
      <c r="J1943" s="567" t="s">
        <v>1731</v>
      </c>
      <c r="K1943" s="961" t="s">
        <v>1373</v>
      </c>
      <c r="L1943" s="555" t="str">
        <f t="shared" ca="1" si="326"/>
        <v/>
      </c>
      <c r="M1943" s="494" t="s">
        <v>1609</v>
      </c>
      <c r="N1943" s="555" t="str">
        <f t="shared" ca="1" si="327"/>
        <v/>
      </c>
      <c r="O1943" s="494" t="s">
        <v>1732</v>
      </c>
      <c r="P1943" s="555" t="str">
        <f t="shared" ca="1" si="328"/>
        <v/>
      </c>
      <c r="Q1943" s="494" t="s">
        <v>1733</v>
      </c>
      <c r="R1943" s="494" t="str">
        <f t="shared" si="331"/>
        <v>H1943</v>
      </c>
      <c r="S1943" s="494" t="s">
        <v>1734</v>
      </c>
      <c r="T1943" s="494">
        <v>7</v>
      </c>
      <c r="U1943" s="556" t="str">
        <f t="shared" ca="1" si="324"/>
        <v/>
      </c>
      <c r="V1943" s="494">
        <v>8</v>
      </c>
      <c r="W1943" s="556" t="str">
        <f t="shared" ca="1" si="325"/>
        <v/>
      </c>
      <c r="X1943" s="557"/>
      <c r="Y1943" s="958"/>
      <c r="Z1943" s="958"/>
      <c r="AA1943" s="958"/>
      <c r="AB1943" s="958" t="s">
        <v>1735</v>
      </c>
      <c r="AC1943" s="547" t="str">
        <f t="shared" ca="1" si="330"/>
        <v/>
      </c>
      <c r="AD1943" s="494" t="s">
        <v>1736</v>
      </c>
      <c r="AE1943" s="547" t="str">
        <f t="shared" ca="1" si="329"/>
        <v/>
      </c>
    </row>
    <row r="1944" spans="1:31" ht="15" customHeight="1">
      <c r="A1944" s="957">
        <v>94</v>
      </c>
      <c r="B1944" s="566" t="s">
        <v>803</v>
      </c>
      <c r="C1944" s="567" t="s">
        <v>1730</v>
      </c>
      <c r="D1944" s="958">
        <v>1.1000000000000001</v>
      </c>
      <c r="E1944" s="959" t="s">
        <v>404</v>
      </c>
      <c r="F1944" s="558" t="s">
        <v>1499</v>
      </c>
      <c r="G1944" s="558">
        <v>708</v>
      </c>
      <c r="H1944" s="558">
        <v>27.2</v>
      </c>
      <c r="I1944" s="559" t="s">
        <v>928</v>
      </c>
      <c r="J1944" s="567" t="s">
        <v>1731</v>
      </c>
      <c r="K1944" s="961" t="s">
        <v>1373</v>
      </c>
      <c r="L1944" s="555" t="str">
        <f t="shared" ca="1" si="326"/>
        <v/>
      </c>
      <c r="M1944" s="494" t="s">
        <v>1609</v>
      </c>
      <c r="N1944" s="555" t="str">
        <f t="shared" ca="1" si="327"/>
        <v/>
      </c>
      <c r="O1944" s="494" t="s">
        <v>1732</v>
      </c>
      <c r="P1944" s="555" t="str">
        <f t="shared" ca="1" si="328"/>
        <v/>
      </c>
      <c r="Q1944" s="494" t="s">
        <v>1733</v>
      </c>
      <c r="R1944" s="494" t="str">
        <f t="shared" si="331"/>
        <v>H1944</v>
      </c>
      <c r="S1944" s="494" t="s">
        <v>1734</v>
      </c>
      <c r="T1944" s="494">
        <v>7</v>
      </c>
      <c r="U1944" s="556" t="str">
        <f t="shared" ca="1" si="324"/>
        <v/>
      </c>
      <c r="V1944" s="494">
        <v>8</v>
      </c>
      <c r="W1944" s="556" t="str">
        <f t="shared" ca="1" si="325"/>
        <v/>
      </c>
      <c r="X1944" s="557"/>
      <c r="Y1944" s="958"/>
      <c r="Z1944" s="958"/>
      <c r="AA1944" s="958"/>
      <c r="AB1944" s="958" t="s">
        <v>1735</v>
      </c>
      <c r="AC1944" s="547" t="str">
        <f t="shared" ca="1" si="330"/>
        <v/>
      </c>
      <c r="AD1944" s="494" t="s">
        <v>1736</v>
      </c>
      <c r="AE1944" s="547" t="str">
        <f t="shared" ca="1" si="329"/>
        <v/>
      </c>
    </row>
    <row r="1945" spans="1:31" ht="15" customHeight="1">
      <c r="A1945" s="957">
        <v>94</v>
      </c>
      <c r="B1945" s="566" t="s">
        <v>803</v>
      </c>
      <c r="C1945" s="567" t="s">
        <v>1730</v>
      </c>
      <c r="D1945" s="958">
        <v>1.1000000000000001</v>
      </c>
      <c r="E1945" s="959" t="s">
        <v>404</v>
      </c>
      <c r="F1945" s="558" t="s">
        <v>1499</v>
      </c>
      <c r="G1945" s="558">
        <v>709</v>
      </c>
      <c r="H1945" s="558">
        <v>28.1</v>
      </c>
      <c r="I1945" s="559" t="s">
        <v>416</v>
      </c>
      <c r="J1945" s="567" t="s">
        <v>1731</v>
      </c>
      <c r="K1945" s="961" t="s">
        <v>1373</v>
      </c>
      <c r="L1945" s="555" t="str">
        <f t="shared" ca="1" si="326"/>
        <v/>
      </c>
      <c r="M1945" s="494" t="s">
        <v>1609</v>
      </c>
      <c r="N1945" s="555" t="str">
        <f t="shared" ca="1" si="327"/>
        <v/>
      </c>
      <c r="O1945" s="494" t="s">
        <v>1732</v>
      </c>
      <c r="P1945" s="555" t="str">
        <f t="shared" ca="1" si="328"/>
        <v/>
      </c>
      <c r="Q1945" s="494" t="s">
        <v>1733</v>
      </c>
      <c r="R1945" s="494" t="str">
        <f t="shared" si="331"/>
        <v>H1945</v>
      </c>
      <c r="S1945" s="494" t="s">
        <v>1734</v>
      </c>
      <c r="T1945" s="494">
        <v>7</v>
      </c>
      <c r="U1945" s="556" t="str">
        <f t="shared" ca="1" si="324"/>
        <v/>
      </c>
      <c r="V1945" s="494">
        <v>8</v>
      </c>
      <c r="W1945" s="556" t="str">
        <f t="shared" ca="1" si="325"/>
        <v/>
      </c>
      <c r="X1945" s="557"/>
      <c r="Y1945" s="958"/>
      <c r="Z1945" s="958"/>
      <c r="AA1945" s="958"/>
      <c r="AB1945" s="958" t="s">
        <v>1735</v>
      </c>
      <c r="AC1945" s="547" t="str">
        <f t="shared" ca="1" si="330"/>
        <v/>
      </c>
      <c r="AD1945" s="494" t="s">
        <v>1736</v>
      </c>
      <c r="AE1945" s="547" t="str">
        <f t="shared" ca="1" si="329"/>
        <v/>
      </c>
    </row>
    <row r="1946" spans="1:31" ht="15" customHeight="1">
      <c r="A1946" s="957">
        <v>94</v>
      </c>
      <c r="B1946" s="566" t="s">
        <v>803</v>
      </c>
      <c r="C1946" s="567" t="s">
        <v>1730</v>
      </c>
      <c r="D1946" s="958">
        <v>1.1000000000000001</v>
      </c>
      <c r="E1946" s="959" t="s">
        <v>404</v>
      </c>
      <c r="F1946" s="558" t="s">
        <v>1499</v>
      </c>
      <c r="G1946" s="558">
        <v>710</v>
      </c>
      <c r="H1946" s="558">
        <v>29.1</v>
      </c>
      <c r="I1946" s="559" t="s">
        <v>413</v>
      </c>
      <c r="J1946" s="567" t="s">
        <v>1731</v>
      </c>
      <c r="K1946" s="961" t="s">
        <v>1373</v>
      </c>
      <c r="L1946" s="555" t="str">
        <f t="shared" ca="1" si="326"/>
        <v/>
      </c>
      <c r="M1946" s="494" t="s">
        <v>1609</v>
      </c>
      <c r="N1946" s="555" t="str">
        <f t="shared" ca="1" si="327"/>
        <v/>
      </c>
      <c r="O1946" s="494" t="s">
        <v>1732</v>
      </c>
      <c r="P1946" s="555" t="str">
        <f t="shared" ca="1" si="328"/>
        <v/>
      </c>
      <c r="Q1946" s="494" t="s">
        <v>1733</v>
      </c>
      <c r="R1946" s="494" t="str">
        <f t="shared" si="331"/>
        <v>H1946</v>
      </c>
      <c r="S1946" s="494" t="s">
        <v>1734</v>
      </c>
      <c r="T1946" s="494">
        <v>7</v>
      </c>
      <c r="U1946" s="556" t="str">
        <f t="shared" ca="1" si="324"/>
        <v/>
      </c>
      <c r="V1946" s="494">
        <v>8</v>
      </c>
      <c r="W1946" s="556" t="str">
        <f t="shared" ca="1" si="325"/>
        <v/>
      </c>
      <c r="X1946" s="557"/>
      <c r="Y1946" s="958"/>
      <c r="Z1946" s="958"/>
      <c r="AA1946" s="958"/>
      <c r="AB1946" s="958" t="s">
        <v>1735</v>
      </c>
      <c r="AC1946" s="547" t="str">
        <f t="shared" ca="1" si="330"/>
        <v/>
      </c>
      <c r="AD1946" s="494" t="s">
        <v>1736</v>
      </c>
      <c r="AE1946" s="547" t="str">
        <f t="shared" ca="1" si="329"/>
        <v/>
      </c>
    </row>
    <row r="1947" spans="1:31" ht="15" customHeight="1">
      <c r="A1947" s="957">
        <v>94</v>
      </c>
      <c r="B1947" s="566" t="s">
        <v>803</v>
      </c>
      <c r="C1947" s="567" t="s">
        <v>1730</v>
      </c>
      <c r="D1947" s="958">
        <v>1.1000000000000001</v>
      </c>
      <c r="E1947" s="959" t="s">
        <v>419</v>
      </c>
      <c r="F1947" s="558" t="s">
        <v>1501</v>
      </c>
      <c r="G1947" s="558">
        <v>739</v>
      </c>
      <c r="H1947" s="558" t="s">
        <v>522</v>
      </c>
      <c r="I1947" s="559" t="s">
        <v>420</v>
      </c>
      <c r="J1947" s="567" t="s">
        <v>1731</v>
      </c>
      <c r="K1947" s="961" t="s">
        <v>1373</v>
      </c>
      <c r="L1947" s="555" t="str">
        <f t="shared" ca="1" si="326"/>
        <v/>
      </c>
      <c r="M1947" s="494" t="s">
        <v>1609</v>
      </c>
      <c r="N1947" s="555" t="str">
        <f t="shared" ca="1" si="327"/>
        <v/>
      </c>
      <c r="O1947" s="494" t="s">
        <v>1732</v>
      </c>
      <c r="P1947" s="555" t="str">
        <f t="shared" ca="1" si="328"/>
        <v/>
      </c>
      <c r="Q1947" s="494" t="s">
        <v>1733</v>
      </c>
      <c r="R1947" s="494" t="str">
        <f>CONCATENATE("H",ROW(J1947))</f>
        <v>H1947</v>
      </c>
      <c r="S1947" s="494" t="s">
        <v>1734</v>
      </c>
      <c r="T1947" s="494">
        <v>7</v>
      </c>
      <c r="U1947" s="556" t="str">
        <f t="shared" ca="1" si="324"/>
        <v/>
      </c>
      <c r="V1947" s="494">
        <v>8</v>
      </c>
      <c r="W1947" s="556" t="str">
        <f t="shared" ca="1" si="325"/>
        <v/>
      </c>
      <c r="X1947" s="557"/>
      <c r="Y1947" s="958"/>
      <c r="Z1947" s="958"/>
      <c r="AA1947" s="958"/>
      <c r="AB1947" s="958" t="s">
        <v>1735</v>
      </c>
      <c r="AC1947" s="547" t="str">
        <f t="shared" ca="1" si="330"/>
        <v/>
      </c>
      <c r="AD1947" s="494" t="s">
        <v>1736</v>
      </c>
      <c r="AE1947" s="547" t="str">
        <f t="shared" ca="1" si="329"/>
        <v/>
      </c>
    </row>
    <row r="1948" spans="1:31" ht="15" customHeight="1">
      <c r="A1948" s="957">
        <v>94</v>
      </c>
      <c r="B1948" s="566" t="s">
        <v>803</v>
      </c>
      <c r="C1948" s="567" t="s">
        <v>1730</v>
      </c>
      <c r="D1948" s="958">
        <v>1.1000000000000001</v>
      </c>
      <c r="E1948" s="959" t="s">
        <v>419</v>
      </c>
      <c r="F1948" s="558" t="s">
        <v>1501</v>
      </c>
      <c r="G1948" s="558">
        <v>740</v>
      </c>
      <c r="H1948" s="558" t="s">
        <v>524</v>
      </c>
      <c r="I1948" s="559" t="s">
        <v>422</v>
      </c>
      <c r="J1948" s="567" t="s">
        <v>1731</v>
      </c>
      <c r="K1948" s="961" t="s">
        <v>1373</v>
      </c>
      <c r="L1948" s="555" t="str">
        <f t="shared" ca="1" si="326"/>
        <v/>
      </c>
      <c r="M1948" s="494" t="s">
        <v>1609</v>
      </c>
      <c r="N1948" s="555" t="str">
        <f t="shared" ca="1" si="327"/>
        <v/>
      </c>
      <c r="O1948" s="494" t="s">
        <v>1732</v>
      </c>
      <c r="P1948" s="555" t="str">
        <f t="shared" ca="1" si="328"/>
        <v/>
      </c>
      <c r="Q1948" s="494" t="s">
        <v>1733</v>
      </c>
      <c r="R1948" s="494" t="str">
        <f>CONCATENATE("H",ROW(J1948))</f>
        <v>H1948</v>
      </c>
      <c r="S1948" s="494" t="s">
        <v>1734</v>
      </c>
      <c r="T1948" s="494">
        <v>7</v>
      </c>
      <c r="U1948" s="556" t="str">
        <f t="shared" ca="1" si="324"/>
        <v/>
      </c>
      <c r="V1948" s="494">
        <v>8</v>
      </c>
      <c r="W1948" s="556" t="str">
        <f t="shared" ca="1" si="325"/>
        <v/>
      </c>
      <c r="X1948" s="557"/>
      <c r="Y1948" s="958"/>
      <c r="Z1948" s="958"/>
      <c r="AA1948" s="958"/>
      <c r="AB1948" s="958" t="s">
        <v>1735</v>
      </c>
      <c r="AC1948" s="547" t="str">
        <f t="shared" ca="1" si="330"/>
        <v/>
      </c>
      <c r="AD1948" s="494" t="s">
        <v>1736</v>
      </c>
      <c r="AE1948" s="547" t="str">
        <f t="shared" ca="1" si="329"/>
        <v/>
      </c>
    </row>
    <row r="1949" spans="1:31" ht="15" customHeight="1">
      <c r="A1949" s="957">
        <v>94</v>
      </c>
      <c r="B1949" s="566" t="s">
        <v>803</v>
      </c>
      <c r="C1949" s="567" t="s">
        <v>1730</v>
      </c>
      <c r="D1949" s="958">
        <v>1.1000000000000001</v>
      </c>
      <c r="E1949" s="959" t="s">
        <v>419</v>
      </c>
      <c r="F1949" s="558" t="s">
        <v>1501</v>
      </c>
      <c r="G1949" s="558">
        <v>741</v>
      </c>
      <c r="H1949" s="558" t="s">
        <v>526</v>
      </c>
      <c r="I1949" s="559" t="s">
        <v>424</v>
      </c>
      <c r="J1949" s="567" t="s">
        <v>1731</v>
      </c>
      <c r="K1949" s="961" t="s">
        <v>1373</v>
      </c>
      <c r="L1949" s="555" t="str">
        <f t="shared" ca="1" si="326"/>
        <v/>
      </c>
      <c r="M1949" s="494" t="s">
        <v>1609</v>
      </c>
      <c r="N1949" s="555" t="str">
        <f t="shared" ca="1" si="327"/>
        <v/>
      </c>
      <c r="O1949" s="494" t="s">
        <v>1732</v>
      </c>
      <c r="P1949" s="555" t="str">
        <f t="shared" ca="1" si="328"/>
        <v/>
      </c>
      <c r="Q1949" s="494" t="s">
        <v>1733</v>
      </c>
      <c r="R1949" s="494" t="str">
        <f>CONCATENATE("H",ROW(J1949))</f>
        <v>H1949</v>
      </c>
      <c r="S1949" s="494" t="s">
        <v>1734</v>
      </c>
      <c r="T1949" s="494">
        <v>7</v>
      </c>
      <c r="U1949" s="556" t="str">
        <f t="shared" ca="1" si="324"/>
        <v/>
      </c>
      <c r="V1949" s="494">
        <v>8</v>
      </c>
      <c r="W1949" s="556" t="str">
        <f t="shared" ca="1" si="325"/>
        <v/>
      </c>
      <c r="X1949" s="557"/>
      <c r="Y1949" s="958"/>
      <c r="Z1949" s="958"/>
      <c r="AA1949" s="958"/>
      <c r="AB1949" s="958" t="s">
        <v>1735</v>
      </c>
      <c r="AC1949" s="547" t="str">
        <f t="shared" ca="1" si="330"/>
        <v/>
      </c>
      <c r="AD1949" s="494" t="s">
        <v>1736</v>
      </c>
      <c r="AE1949" s="547" t="str">
        <f t="shared" ca="1" si="329"/>
        <v/>
      </c>
    </row>
    <row r="1950" spans="1:31" ht="15" customHeight="1">
      <c r="A1950" s="957">
        <v>94</v>
      </c>
      <c r="B1950" s="566" t="s">
        <v>803</v>
      </c>
      <c r="C1950" s="567" t="s">
        <v>1730</v>
      </c>
      <c r="D1950" s="958">
        <v>1.1000000000000001</v>
      </c>
      <c r="E1950" s="959" t="s">
        <v>419</v>
      </c>
      <c r="F1950" s="558" t="s">
        <v>1501</v>
      </c>
      <c r="G1950" s="558">
        <v>742</v>
      </c>
      <c r="H1950" s="558" t="s">
        <v>528</v>
      </c>
      <c r="I1950" s="559" t="s">
        <v>932</v>
      </c>
      <c r="J1950" s="567" t="s">
        <v>1731</v>
      </c>
      <c r="K1950" s="961" t="s">
        <v>1373</v>
      </c>
      <c r="L1950" s="555" t="str">
        <f t="shared" ca="1" si="326"/>
        <v/>
      </c>
      <c r="M1950" s="494" t="s">
        <v>1609</v>
      </c>
      <c r="N1950" s="555" t="str">
        <f t="shared" ca="1" si="327"/>
        <v/>
      </c>
      <c r="O1950" s="494" t="s">
        <v>1732</v>
      </c>
      <c r="P1950" s="555" t="str">
        <f t="shared" ca="1" si="328"/>
        <v/>
      </c>
      <c r="Q1950" s="494" t="s">
        <v>1733</v>
      </c>
      <c r="R1950" s="494" t="str">
        <f>CONCATENATE("H",ROW(J1950))</f>
        <v>H1950</v>
      </c>
      <c r="S1950" s="494" t="s">
        <v>1734</v>
      </c>
      <c r="T1950" s="494">
        <v>7</v>
      </c>
      <c r="U1950" s="556" t="str">
        <f t="shared" ca="1" si="324"/>
        <v/>
      </c>
      <c r="V1950" s="494">
        <v>8</v>
      </c>
      <c r="W1950" s="556" t="str">
        <f t="shared" ca="1" si="325"/>
        <v/>
      </c>
      <c r="X1950" s="557"/>
      <c r="Y1950" s="958"/>
      <c r="Z1950" s="958"/>
      <c r="AA1950" s="958"/>
      <c r="AB1950" s="958" t="s">
        <v>1735</v>
      </c>
      <c r="AC1950" s="547" t="str">
        <f t="shared" ca="1" si="330"/>
        <v/>
      </c>
      <c r="AD1950" s="494" t="s">
        <v>1736</v>
      </c>
      <c r="AE1950" s="547" t="str">
        <f t="shared" ca="1" si="329"/>
        <v/>
      </c>
    </row>
    <row r="1951" spans="1:31" ht="15" customHeight="1">
      <c r="A1951" s="957">
        <v>94</v>
      </c>
      <c r="B1951" s="566" t="s">
        <v>803</v>
      </c>
      <c r="C1951" s="567" t="s">
        <v>1730</v>
      </c>
      <c r="D1951" s="958">
        <v>1.1000000000000001</v>
      </c>
      <c r="E1951" s="959" t="s">
        <v>419</v>
      </c>
      <c r="F1951" s="558" t="s">
        <v>1501</v>
      </c>
      <c r="G1951" s="558">
        <v>744</v>
      </c>
      <c r="H1951" s="558" t="s">
        <v>530</v>
      </c>
      <c r="I1951" s="559" t="s">
        <v>428</v>
      </c>
      <c r="J1951" s="567" t="s">
        <v>1731</v>
      </c>
      <c r="K1951" s="961" t="s">
        <v>1373</v>
      </c>
      <c r="L1951" s="555" t="str">
        <f t="shared" ca="1" si="326"/>
        <v/>
      </c>
      <c r="M1951" s="494" t="s">
        <v>1609</v>
      </c>
      <c r="N1951" s="555" t="str">
        <f t="shared" ca="1" si="327"/>
        <v/>
      </c>
      <c r="O1951" s="494" t="s">
        <v>1732</v>
      </c>
      <c r="P1951" s="555" t="str">
        <f t="shared" ca="1" si="328"/>
        <v/>
      </c>
      <c r="Q1951" s="494" t="s">
        <v>1733</v>
      </c>
      <c r="R1951" s="494" t="str">
        <f>CONCATENATE("H",ROW(J1951))</f>
        <v>H1951</v>
      </c>
      <c r="S1951" s="494" t="s">
        <v>1734</v>
      </c>
      <c r="T1951" s="494">
        <v>7</v>
      </c>
      <c r="U1951" s="556" t="str">
        <f t="shared" ca="1" si="324"/>
        <v/>
      </c>
      <c r="V1951" s="494">
        <v>8</v>
      </c>
      <c r="W1951" s="556" t="str">
        <f t="shared" ca="1" si="325"/>
        <v/>
      </c>
      <c r="X1951" s="557"/>
      <c r="Y1951" s="958"/>
      <c r="Z1951" s="958"/>
      <c r="AA1951" s="958"/>
      <c r="AB1951" s="958" t="s">
        <v>1735</v>
      </c>
      <c r="AC1951" s="547" t="str">
        <f t="shared" ca="1" si="330"/>
        <v/>
      </c>
      <c r="AD1951" s="494" t="s">
        <v>1736</v>
      </c>
      <c r="AE1951" s="547" t="str">
        <f t="shared" ca="1" si="329"/>
        <v/>
      </c>
    </row>
    <row r="1952" spans="1:31" ht="15" customHeight="1">
      <c r="A1952" s="957">
        <v>101</v>
      </c>
      <c r="B1952" s="566" t="s">
        <v>801</v>
      </c>
      <c r="C1952" s="567" t="s">
        <v>1730</v>
      </c>
      <c r="D1952" s="958">
        <v>1.2</v>
      </c>
      <c r="E1952" s="959" t="s">
        <v>254</v>
      </c>
      <c r="F1952" s="558" t="s">
        <v>1444</v>
      </c>
      <c r="G1952" s="558">
        <v>642</v>
      </c>
      <c r="H1952" s="558">
        <v>1.1000000000000001</v>
      </c>
      <c r="I1952" s="559" t="s">
        <v>812</v>
      </c>
      <c r="J1952" s="567" t="s">
        <v>1731</v>
      </c>
      <c r="K1952" s="961" t="s">
        <v>1373</v>
      </c>
      <c r="L1952" s="555" t="str">
        <f t="shared" ca="1" si="326"/>
        <v/>
      </c>
      <c r="M1952" s="494" t="s">
        <v>1609</v>
      </c>
      <c r="N1952" s="555" t="str">
        <f t="shared" ca="1" si="327"/>
        <v/>
      </c>
      <c r="O1952" s="494" t="s">
        <v>1732</v>
      </c>
      <c r="P1952" s="555" t="str">
        <f t="shared" ca="1" si="328"/>
        <v/>
      </c>
      <c r="Q1952" s="494" t="s">
        <v>1733</v>
      </c>
      <c r="R1952" s="494" t="str">
        <f t="shared" si="331"/>
        <v>H1952</v>
      </c>
      <c r="S1952" s="494" t="s">
        <v>1734</v>
      </c>
      <c r="T1952" s="494">
        <v>7</v>
      </c>
      <c r="U1952" s="556" t="str">
        <f t="shared" ca="1" si="324"/>
        <v/>
      </c>
      <c r="V1952" s="494">
        <v>8</v>
      </c>
      <c r="W1952" s="556" t="str">
        <f t="shared" ca="1" si="325"/>
        <v/>
      </c>
      <c r="X1952" s="557"/>
      <c r="Y1952" s="958"/>
      <c r="Z1952" s="958"/>
      <c r="AA1952" s="958"/>
      <c r="AB1952" s="958" t="s">
        <v>1735</v>
      </c>
      <c r="AC1952" s="547" t="str">
        <f t="shared" ca="1" si="330"/>
        <v/>
      </c>
      <c r="AD1952" s="494" t="s">
        <v>1736</v>
      </c>
      <c r="AE1952" s="547" t="str">
        <f t="shared" ca="1" si="329"/>
        <v/>
      </c>
    </row>
    <row r="1953" spans="1:31" ht="15" customHeight="1">
      <c r="A1953" s="957">
        <v>101</v>
      </c>
      <c r="B1953" s="566" t="s">
        <v>801</v>
      </c>
      <c r="C1953" s="567" t="s">
        <v>1730</v>
      </c>
      <c r="D1953" s="958">
        <v>1.2</v>
      </c>
      <c r="E1953" s="959" t="s">
        <v>254</v>
      </c>
      <c r="F1953" s="558" t="s">
        <v>1444</v>
      </c>
      <c r="G1953" s="558">
        <v>643</v>
      </c>
      <c r="H1953" s="558">
        <v>2.1</v>
      </c>
      <c r="I1953" s="559" t="s">
        <v>814</v>
      </c>
      <c r="J1953" s="567" t="s">
        <v>1731</v>
      </c>
      <c r="K1953" s="961" t="s">
        <v>1373</v>
      </c>
      <c r="L1953" s="555" t="str">
        <f t="shared" ca="1" si="326"/>
        <v/>
      </c>
      <c r="M1953" s="494" t="s">
        <v>1609</v>
      </c>
      <c r="N1953" s="555" t="str">
        <f t="shared" ca="1" si="327"/>
        <v/>
      </c>
      <c r="O1953" s="494" t="s">
        <v>1732</v>
      </c>
      <c r="P1953" s="555" t="str">
        <f t="shared" ca="1" si="328"/>
        <v/>
      </c>
      <c r="Q1953" s="494" t="s">
        <v>1733</v>
      </c>
      <c r="R1953" s="494" t="str">
        <f t="shared" si="331"/>
        <v>H1953</v>
      </c>
      <c r="S1953" s="494" t="s">
        <v>1734</v>
      </c>
      <c r="T1953" s="494">
        <v>7</v>
      </c>
      <c r="U1953" s="556" t="str">
        <f t="shared" ca="1" si="324"/>
        <v/>
      </c>
      <c r="V1953" s="494">
        <v>8</v>
      </c>
      <c r="W1953" s="556" t="str">
        <f t="shared" ca="1" si="325"/>
        <v/>
      </c>
      <c r="X1953" s="557"/>
      <c r="Y1953" s="958"/>
      <c r="Z1953" s="958"/>
      <c r="AA1953" s="958"/>
      <c r="AB1953" s="958" t="s">
        <v>1735</v>
      </c>
      <c r="AC1953" s="547" t="str">
        <f t="shared" ca="1" si="330"/>
        <v/>
      </c>
      <c r="AD1953" s="494" t="s">
        <v>1736</v>
      </c>
      <c r="AE1953" s="547" t="str">
        <f t="shared" ca="1" si="329"/>
        <v/>
      </c>
    </row>
    <row r="1954" spans="1:31" ht="15" customHeight="1">
      <c r="A1954" s="957">
        <v>101</v>
      </c>
      <c r="B1954" s="566" t="s">
        <v>801</v>
      </c>
      <c r="C1954" s="567" t="s">
        <v>1730</v>
      </c>
      <c r="D1954" s="958">
        <v>1.2</v>
      </c>
      <c r="E1954" s="959" t="s">
        <v>254</v>
      </c>
      <c r="F1954" s="558" t="s">
        <v>1444</v>
      </c>
      <c r="G1954" s="558">
        <v>644</v>
      </c>
      <c r="H1954" s="558">
        <v>2.2000000000000002</v>
      </c>
      <c r="I1954" s="559" t="s">
        <v>815</v>
      </c>
      <c r="J1954" s="567" t="s">
        <v>1731</v>
      </c>
      <c r="K1954" s="961" t="s">
        <v>1373</v>
      </c>
      <c r="L1954" s="555" t="str">
        <f t="shared" ca="1" si="326"/>
        <v/>
      </c>
      <c r="M1954" s="494" t="s">
        <v>1609</v>
      </c>
      <c r="N1954" s="555" t="str">
        <f t="shared" ca="1" si="327"/>
        <v/>
      </c>
      <c r="O1954" s="494" t="s">
        <v>1732</v>
      </c>
      <c r="P1954" s="555" t="str">
        <f t="shared" ca="1" si="328"/>
        <v/>
      </c>
      <c r="Q1954" s="494" t="s">
        <v>1733</v>
      </c>
      <c r="R1954" s="494" t="str">
        <f t="shared" si="331"/>
        <v>H1954</v>
      </c>
      <c r="S1954" s="494" t="s">
        <v>1734</v>
      </c>
      <c r="T1954" s="494">
        <v>7</v>
      </c>
      <c r="U1954" s="556" t="str">
        <f t="shared" ca="1" si="324"/>
        <v/>
      </c>
      <c r="V1954" s="494">
        <v>8</v>
      </c>
      <c r="W1954" s="556" t="str">
        <f t="shared" ca="1" si="325"/>
        <v/>
      </c>
      <c r="X1954" s="557"/>
      <c r="Y1954" s="958"/>
      <c r="Z1954" s="958"/>
      <c r="AA1954" s="958"/>
      <c r="AB1954" s="958" t="s">
        <v>1735</v>
      </c>
      <c r="AC1954" s="547" t="str">
        <f t="shared" ca="1" si="330"/>
        <v/>
      </c>
      <c r="AD1954" s="494" t="s">
        <v>1736</v>
      </c>
      <c r="AE1954" s="547" t="str">
        <f t="shared" ca="1" si="329"/>
        <v/>
      </c>
    </row>
    <row r="1955" spans="1:31" ht="15" customHeight="1">
      <c r="A1955" s="957">
        <v>101</v>
      </c>
      <c r="B1955" s="566" t="s">
        <v>801</v>
      </c>
      <c r="C1955" s="567" t="s">
        <v>1730</v>
      </c>
      <c r="D1955" s="958">
        <v>1.2</v>
      </c>
      <c r="E1955" s="959" t="s">
        <v>254</v>
      </c>
      <c r="F1955" s="558" t="s">
        <v>1444</v>
      </c>
      <c r="G1955" s="558">
        <v>645</v>
      </c>
      <c r="H1955" s="558">
        <v>3.1</v>
      </c>
      <c r="I1955" s="559" t="s">
        <v>294</v>
      </c>
      <c r="J1955" s="567" t="s">
        <v>1731</v>
      </c>
      <c r="K1955" s="961" t="s">
        <v>1373</v>
      </c>
      <c r="L1955" s="555" t="str">
        <f t="shared" ca="1" si="326"/>
        <v/>
      </c>
      <c r="M1955" s="494" t="s">
        <v>1609</v>
      </c>
      <c r="N1955" s="555" t="str">
        <f t="shared" ca="1" si="327"/>
        <v/>
      </c>
      <c r="O1955" s="494" t="s">
        <v>1732</v>
      </c>
      <c r="P1955" s="555" t="str">
        <f t="shared" ca="1" si="328"/>
        <v/>
      </c>
      <c r="Q1955" s="494" t="s">
        <v>1733</v>
      </c>
      <c r="R1955" s="494" t="str">
        <f t="shared" si="331"/>
        <v>H1955</v>
      </c>
      <c r="S1955" s="494" t="s">
        <v>1734</v>
      </c>
      <c r="T1955" s="494">
        <v>7</v>
      </c>
      <c r="U1955" s="556" t="str">
        <f t="shared" ca="1" si="324"/>
        <v/>
      </c>
      <c r="V1955" s="494">
        <v>8</v>
      </c>
      <c r="W1955" s="556" t="str">
        <f t="shared" ca="1" si="325"/>
        <v/>
      </c>
      <c r="X1955" s="557"/>
      <c r="Y1955" s="958"/>
      <c r="Z1955" s="958"/>
      <c r="AA1955" s="958"/>
      <c r="AB1955" s="958" t="s">
        <v>1735</v>
      </c>
      <c r="AC1955" s="547" t="str">
        <f t="shared" ca="1" si="330"/>
        <v/>
      </c>
      <c r="AD1955" s="494" t="s">
        <v>1736</v>
      </c>
      <c r="AE1955" s="547" t="str">
        <f t="shared" ca="1" si="329"/>
        <v/>
      </c>
    </row>
    <row r="1956" spans="1:31" ht="15" customHeight="1">
      <c r="A1956" s="957">
        <v>101</v>
      </c>
      <c r="B1956" s="566" t="s">
        <v>801</v>
      </c>
      <c r="C1956" s="567" t="s">
        <v>1730</v>
      </c>
      <c r="D1956" s="958">
        <v>1.2</v>
      </c>
      <c r="E1956" s="959" t="s">
        <v>254</v>
      </c>
      <c r="F1956" s="558" t="s">
        <v>1444</v>
      </c>
      <c r="G1956" s="558">
        <v>646</v>
      </c>
      <c r="H1956" s="558">
        <v>3.2</v>
      </c>
      <c r="I1956" s="559" t="s">
        <v>295</v>
      </c>
      <c r="J1956" s="567" t="s">
        <v>1731</v>
      </c>
      <c r="K1956" s="961" t="s">
        <v>1373</v>
      </c>
      <c r="L1956" s="555" t="str">
        <f t="shared" ca="1" si="326"/>
        <v/>
      </c>
      <c r="M1956" s="494" t="s">
        <v>1609</v>
      </c>
      <c r="N1956" s="555" t="str">
        <f t="shared" ca="1" si="327"/>
        <v/>
      </c>
      <c r="O1956" s="494" t="s">
        <v>1732</v>
      </c>
      <c r="P1956" s="555" t="str">
        <f t="shared" ca="1" si="328"/>
        <v/>
      </c>
      <c r="Q1956" s="494" t="s">
        <v>1733</v>
      </c>
      <c r="R1956" s="494" t="str">
        <f t="shared" si="331"/>
        <v>H1956</v>
      </c>
      <c r="S1956" s="494" t="s">
        <v>1734</v>
      </c>
      <c r="T1956" s="494">
        <v>7</v>
      </c>
      <c r="U1956" s="556" t="str">
        <f t="shared" ca="1" si="324"/>
        <v/>
      </c>
      <c r="V1956" s="494">
        <v>8</v>
      </c>
      <c r="W1956" s="556" t="str">
        <f t="shared" ca="1" si="325"/>
        <v/>
      </c>
      <c r="X1956" s="557"/>
      <c r="Y1956" s="958"/>
      <c r="Z1956" s="958"/>
      <c r="AA1956" s="958"/>
      <c r="AB1956" s="958" t="s">
        <v>1735</v>
      </c>
      <c r="AC1956" s="547" t="str">
        <f t="shared" ca="1" si="330"/>
        <v/>
      </c>
      <c r="AD1956" s="494" t="s">
        <v>1736</v>
      </c>
      <c r="AE1956" s="547" t="str">
        <f t="shared" ca="1" si="329"/>
        <v/>
      </c>
    </row>
    <row r="1957" spans="1:31" ht="15" customHeight="1">
      <c r="A1957" s="957">
        <v>101</v>
      </c>
      <c r="B1957" s="566" t="s">
        <v>801</v>
      </c>
      <c r="C1957" s="567" t="s">
        <v>1730</v>
      </c>
      <c r="D1957" s="958">
        <v>1.2</v>
      </c>
      <c r="E1957" s="959" t="s">
        <v>254</v>
      </c>
      <c r="F1957" s="558" t="s">
        <v>1444</v>
      </c>
      <c r="G1957" s="558">
        <v>647</v>
      </c>
      <c r="H1957" s="558">
        <v>4.0999999999999996</v>
      </c>
      <c r="I1957" s="559" t="s">
        <v>820</v>
      </c>
      <c r="J1957" s="567" t="s">
        <v>1731</v>
      </c>
      <c r="K1957" s="961" t="s">
        <v>1373</v>
      </c>
      <c r="L1957" s="555" t="str">
        <f t="shared" ca="1" si="326"/>
        <v/>
      </c>
      <c r="M1957" s="494" t="s">
        <v>1609</v>
      </c>
      <c r="N1957" s="555" t="str">
        <f t="shared" ca="1" si="327"/>
        <v/>
      </c>
      <c r="O1957" s="494" t="s">
        <v>1732</v>
      </c>
      <c r="P1957" s="555" t="str">
        <f t="shared" ca="1" si="328"/>
        <v/>
      </c>
      <c r="Q1957" s="494" t="s">
        <v>1733</v>
      </c>
      <c r="R1957" s="494" t="str">
        <f t="shared" si="331"/>
        <v>H1957</v>
      </c>
      <c r="S1957" s="494" t="s">
        <v>1734</v>
      </c>
      <c r="T1957" s="494">
        <v>7</v>
      </c>
      <c r="U1957" s="556" t="str">
        <f t="shared" ca="1" si="324"/>
        <v/>
      </c>
      <c r="V1957" s="494">
        <v>8</v>
      </c>
      <c r="W1957" s="556" t="str">
        <f t="shared" ca="1" si="325"/>
        <v/>
      </c>
      <c r="X1957" s="557"/>
      <c r="Y1957" s="958"/>
      <c r="Z1957" s="958"/>
      <c r="AA1957" s="958"/>
      <c r="AB1957" s="958" t="s">
        <v>1735</v>
      </c>
      <c r="AC1957" s="547" t="str">
        <f t="shared" ca="1" si="330"/>
        <v/>
      </c>
      <c r="AD1957" s="494" t="s">
        <v>1736</v>
      </c>
      <c r="AE1957" s="547" t="str">
        <f t="shared" ca="1" si="329"/>
        <v/>
      </c>
    </row>
    <row r="1958" spans="1:31" ht="15" customHeight="1">
      <c r="A1958" s="957">
        <v>101</v>
      </c>
      <c r="B1958" s="566" t="s">
        <v>801</v>
      </c>
      <c r="C1958" s="567" t="s">
        <v>1730</v>
      </c>
      <c r="D1958" s="958">
        <v>1.2</v>
      </c>
      <c r="E1958" s="959" t="s">
        <v>254</v>
      </c>
      <c r="F1958" s="558" t="s">
        <v>1444</v>
      </c>
      <c r="G1958" s="558">
        <v>648</v>
      </c>
      <c r="H1958" s="558">
        <v>4.2</v>
      </c>
      <c r="I1958" s="559" t="s">
        <v>821</v>
      </c>
      <c r="J1958" s="567" t="s">
        <v>1731</v>
      </c>
      <c r="K1958" s="961" t="s">
        <v>1373</v>
      </c>
      <c r="L1958" s="555" t="str">
        <f t="shared" ca="1" si="326"/>
        <v/>
      </c>
      <c r="M1958" s="494" t="s">
        <v>1609</v>
      </c>
      <c r="N1958" s="555" t="str">
        <f t="shared" ca="1" si="327"/>
        <v/>
      </c>
      <c r="O1958" s="494" t="s">
        <v>1732</v>
      </c>
      <c r="P1958" s="555" t="str">
        <f t="shared" ca="1" si="328"/>
        <v/>
      </c>
      <c r="Q1958" s="494" t="s">
        <v>1733</v>
      </c>
      <c r="R1958" s="494" t="str">
        <f t="shared" si="331"/>
        <v>H1958</v>
      </c>
      <c r="S1958" s="494" t="s">
        <v>1734</v>
      </c>
      <c r="T1958" s="494">
        <v>7</v>
      </c>
      <c r="U1958" s="556" t="str">
        <f t="shared" ca="1" si="324"/>
        <v/>
      </c>
      <c r="V1958" s="494">
        <v>8</v>
      </c>
      <c r="W1958" s="556" t="str">
        <f t="shared" ca="1" si="325"/>
        <v/>
      </c>
      <c r="X1958" s="557"/>
      <c r="Y1958" s="958"/>
      <c r="Z1958" s="958"/>
      <c r="AA1958" s="958"/>
      <c r="AB1958" s="958" t="s">
        <v>1735</v>
      </c>
      <c r="AC1958" s="547" t="str">
        <f t="shared" ca="1" si="330"/>
        <v/>
      </c>
      <c r="AD1958" s="494" t="s">
        <v>1736</v>
      </c>
      <c r="AE1958" s="547" t="str">
        <f t="shared" ca="1" si="329"/>
        <v/>
      </c>
    </row>
    <row r="1959" spans="1:31" ht="15" customHeight="1">
      <c r="A1959" s="957">
        <v>101</v>
      </c>
      <c r="B1959" s="566" t="s">
        <v>801</v>
      </c>
      <c r="C1959" s="567" t="s">
        <v>1730</v>
      </c>
      <c r="D1959" s="958">
        <v>1.2</v>
      </c>
      <c r="E1959" s="959" t="s">
        <v>254</v>
      </c>
      <c r="F1959" s="558" t="s">
        <v>1444</v>
      </c>
      <c r="G1959" s="558">
        <v>649</v>
      </c>
      <c r="H1959" s="558">
        <v>5.0999999999999996</v>
      </c>
      <c r="I1959" s="559" t="s">
        <v>298</v>
      </c>
      <c r="J1959" s="567" t="s">
        <v>1731</v>
      </c>
      <c r="K1959" s="961" t="s">
        <v>1373</v>
      </c>
      <c r="L1959" s="555" t="str">
        <f t="shared" ca="1" si="326"/>
        <v/>
      </c>
      <c r="M1959" s="494" t="s">
        <v>1609</v>
      </c>
      <c r="N1959" s="555" t="str">
        <f t="shared" ca="1" si="327"/>
        <v/>
      </c>
      <c r="O1959" s="494" t="s">
        <v>1732</v>
      </c>
      <c r="P1959" s="555" t="str">
        <f t="shared" ca="1" si="328"/>
        <v/>
      </c>
      <c r="Q1959" s="494" t="s">
        <v>1733</v>
      </c>
      <c r="R1959" s="494" t="str">
        <f t="shared" si="331"/>
        <v>H1959</v>
      </c>
      <c r="S1959" s="494" t="s">
        <v>1734</v>
      </c>
      <c r="T1959" s="494">
        <v>7</v>
      </c>
      <c r="U1959" s="556" t="str">
        <f t="shared" ca="1" si="324"/>
        <v/>
      </c>
      <c r="V1959" s="494">
        <v>8</v>
      </c>
      <c r="W1959" s="556" t="str">
        <f t="shared" ca="1" si="325"/>
        <v/>
      </c>
      <c r="X1959" s="557"/>
      <c r="Y1959" s="958"/>
      <c r="Z1959" s="958"/>
      <c r="AA1959" s="958"/>
      <c r="AB1959" s="958" t="s">
        <v>1735</v>
      </c>
      <c r="AC1959" s="547" t="str">
        <f t="shared" ca="1" si="330"/>
        <v/>
      </c>
      <c r="AD1959" s="494" t="s">
        <v>1736</v>
      </c>
      <c r="AE1959" s="547" t="str">
        <f t="shared" ca="1" si="329"/>
        <v/>
      </c>
    </row>
    <row r="1960" spans="1:31" ht="15" customHeight="1">
      <c r="A1960" s="957">
        <v>101</v>
      </c>
      <c r="B1960" s="566" t="s">
        <v>801</v>
      </c>
      <c r="C1960" s="567" t="s">
        <v>1730</v>
      </c>
      <c r="D1960" s="958">
        <v>1.2</v>
      </c>
      <c r="E1960" s="959" t="s">
        <v>254</v>
      </c>
      <c r="F1960" s="558" t="s">
        <v>1444</v>
      </c>
      <c r="G1960" s="558">
        <v>650</v>
      </c>
      <c r="H1960" s="558">
        <v>5.2</v>
      </c>
      <c r="I1960" s="559" t="s">
        <v>824</v>
      </c>
      <c r="J1960" s="567" t="s">
        <v>1731</v>
      </c>
      <c r="K1960" s="961" t="s">
        <v>1373</v>
      </c>
      <c r="L1960" s="555" t="str">
        <f t="shared" ca="1" si="326"/>
        <v/>
      </c>
      <c r="M1960" s="494" t="s">
        <v>1609</v>
      </c>
      <c r="N1960" s="555" t="str">
        <f t="shared" ca="1" si="327"/>
        <v/>
      </c>
      <c r="O1960" s="494" t="s">
        <v>1732</v>
      </c>
      <c r="P1960" s="555" t="str">
        <f t="shared" ca="1" si="328"/>
        <v/>
      </c>
      <c r="Q1960" s="494" t="s">
        <v>1733</v>
      </c>
      <c r="R1960" s="494" t="str">
        <f t="shared" si="331"/>
        <v>H1960</v>
      </c>
      <c r="S1960" s="494" t="s">
        <v>1734</v>
      </c>
      <c r="T1960" s="494">
        <v>7</v>
      </c>
      <c r="U1960" s="556" t="str">
        <f t="shared" ca="1" si="324"/>
        <v/>
      </c>
      <c r="V1960" s="494">
        <v>8</v>
      </c>
      <c r="W1960" s="556" t="str">
        <f t="shared" ca="1" si="325"/>
        <v/>
      </c>
      <c r="X1960" s="557"/>
      <c r="Y1960" s="958"/>
      <c r="Z1960" s="958"/>
      <c r="AA1960" s="958"/>
      <c r="AB1960" s="958" t="s">
        <v>1735</v>
      </c>
      <c r="AC1960" s="547" t="str">
        <f t="shared" ca="1" si="330"/>
        <v/>
      </c>
      <c r="AD1960" s="494" t="s">
        <v>1736</v>
      </c>
      <c r="AE1960" s="547" t="str">
        <f t="shared" ca="1" si="329"/>
        <v/>
      </c>
    </row>
    <row r="1961" spans="1:31" ht="15" customHeight="1">
      <c r="A1961" s="957">
        <v>101</v>
      </c>
      <c r="B1961" s="566" t="s">
        <v>801</v>
      </c>
      <c r="C1961" s="567" t="s">
        <v>1730</v>
      </c>
      <c r="D1961" s="958">
        <v>1.2</v>
      </c>
      <c r="E1961" s="959" t="s">
        <v>254</v>
      </c>
      <c r="F1961" s="558" t="s">
        <v>1444</v>
      </c>
      <c r="G1961" s="558">
        <v>651</v>
      </c>
      <c r="H1961" s="558">
        <v>5.3</v>
      </c>
      <c r="I1961" s="559" t="s">
        <v>825</v>
      </c>
      <c r="J1961" s="567" t="s">
        <v>1731</v>
      </c>
      <c r="K1961" s="961" t="s">
        <v>1373</v>
      </c>
      <c r="L1961" s="555" t="str">
        <f t="shared" ca="1" si="326"/>
        <v/>
      </c>
      <c r="M1961" s="494" t="s">
        <v>1609</v>
      </c>
      <c r="N1961" s="555" t="str">
        <f t="shared" ca="1" si="327"/>
        <v/>
      </c>
      <c r="O1961" s="494" t="s">
        <v>1732</v>
      </c>
      <c r="P1961" s="555" t="str">
        <f t="shared" ca="1" si="328"/>
        <v/>
      </c>
      <c r="Q1961" s="494" t="s">
        <v>1733</v>
      </c>
      <c r="R1961" s="494" t="str">
        <f t="shared" si="331"/>
        <v>H1961</v>
      </c>
      <c r="S1961" s="494" t="s">
        <v>1734</v>
      </c>
      <c r="T1961" s="494">
        <v>7</v>
      </c>
      <c r="U1961" s="556" t="str">
        <f t="shared" ca="1" si="324"/>
        <v/>
      </c>
      <c r="V1961" s="494">
        <v>8</v>
      </c>
      <c r="W1961" s="556" t="str">
        <f t="shared" ca="1" si="325"/>
        <v/>
      </c>
      <c r="X1961" s="557"/>
      <c r="Y1961" s="958"/>
      <c r="Z1961" s="958"/>
      <c r="AA1961" s="958"/>
      <c r="AB1961" s="958" t="s">
        <v>1735</v>
      </c>
      <c r="AC1961" s="547" t="str">
        <f t="shared" ca="1" si="330"/>
        <v/>
      </c>
      <c r="AD1961" s="494" t="s">
        <v>1736</v>
      </c>
      <c r="AE1961" s="547" t="str">
        <f t="shared" ca="1" si="329"/>
        <v/>
      </c>
    </row>
    <row r="1962" spans="1:31" ht="15" customHeight="1">
      <c r="A1962" s="957">
        <v>101</v>
      </c>
      <c r="B1962" s="566" t="s">
        <v>801</v>
      </c>
      <c r="C1962" s="567" t="s">
        <v>1730</v>
      </c>
      <c r="D1962" s="958">
        <v>1.2</v>
      </c>
      <c r="E1962" s="959" t="s">
        <v>254</v>
      </c>
      <c r="F1962" s="558" t="s">
        <v>1444</v>
      </c>
      <c r="G1962" s="558">
        <v>652</v>
      </c>
      <c r="H1962" s="558">
        <v>6.1</v>
      </c>
      <c r="I1962" s="559" t="s">
        <v>828</v>
      </c>
      <c r="J1962" s="567" t="s">
        <v>1731</v>
      </c>
      <c r="K1962" s="961" t="s">
        <v>1373</v>
      </c>
      <c r="L1962" s="555" t="str">
        <f t="shared" ca="1" si="326"/>
        <v/>
      </c>
      <c r="M1962" s="494" t="s">
        <v>1609</v>
      </c>
      <c r="N1962" s="555" t="str">
        <f t="shared" ca="1" si="327"/>
        <v/>
      </c>
      <c r="O1962" s="494" t="s">
        <v>1732</v>
      </c>
      <c r="P1962" s="555" t="str">
        <f t="shared" ca="1" si="328"/>
        <v/>
      </c>
      <c r="Q1962" s="494" t="s">
        <v>1733</v>
      </c>
      <c r="R1962" s="494" t="str">
        <f t="shared" si="331"/>
        <v>H1962</v>
      </c>
      <c r="S1962" s="494" t="s">
        <v>1734</v>
      </c>
      <c r="T1962" s="494">
        <v>7</v>
      </c>
      <c r="U1962" s="556" t="str">
        <f t="shared" ca="1" si="324"/>
        <v/>
      </c>
      <c r="V1962" s="494">
        <v>8</v>
      </c>
      <c r="W1962" s="556" t="str">
        <f t="shared" ca="1" si="325"/>
        <v/>
      </c>
      <c r="X1962" s="557"/>
      <c r="Y1962" s="958"/>
      <c r="Z1962" s="958"/>
      <c r="AA1962" s="958"/>
      <c r="AB1962" s="958" t="s">
        <v>1735</v>
      </c>
      <c r="AC1962" s="547" t="str">
        <f t="shared" ca="1" si="330"/>
        <v/>
      </c>
      <c r="AD1962" s="494" t="s">
        <v>1736</v>
      </c>
      <c r="AE1962" s="547" t="str">
        <f t="shared" ca="1" si="329"/>
        <v/>
      </c>
    </row>
    <row r="1963" spans="1:31" ht="15" customHeight="1">
      <c r="A1963" s="957">
        <v>101</v>
      </c>
      <c r="B1963" s="566" t="s">
        <v>801</v>
      </c>
      <c r="C1963" s="567" t="s">
        <v>1730</v>
      </c>
      <c r="D1963" s="958">
        <v>1.2</v>
      </c>
      <c r="E1963" s="959" t="s">
        <v>254</v>
      </c>
      <c r="F1963" s="558" t="s">
        <v>1444</v>
      </c>
      <c r="G1963" s="558">
        <v>653</v>
      </c>
      <c r="H1963" s="558">
        <v>6.2</v>
      </c>
      <c r="I1963" s="559" t="s">
        <v>829</v>
      </c>
      <c r="J1963" s="567" t="s">
        <v>1731</v>
      </c>
      <c r="K1963" s="961" t="s">
        <v>1373</v>
      </c>
      <c r="L1963" s="555" t="str">
        <f t="shared" ca="1" si="326"/>
        <v/>
      </c>
      <c r="M1963" s="494" t="s">
        <v>1609</v>
      </c>
      <c r="N1963" s="555" t="str">
        <f t="shared" ca="1" si="327"/>
        <v/>
      </c>
      <c r="O1963" s="494" t="s">
        <v>1732</v>
      </c>
      <c r="P1963" s="555" t="str">
        <f t="shared" ca="1" si="328"/>
        <v/>
      </c>
      <c r="Q1963" s="494" t="s">
        <v>1733</v>
      </c>
      <c r="R1963" s="494" t="str">
        <f t="shared" si="331"/>
        <v>H1963</v>
      </c>
      <c r="S1963" s="494" t="s">
        <v>1734</v>
      </c>
      <c r="T1963" s="494">
        <v>7</v>
      </c>
      <c r="U1963" s="556" t="str">
        <f t="shared" ca="1" si="324"/>
        <v/>
      </c>
      <c r="V1963" s="494">
        <v>8</v>
      </c>
      <c r="W1963" s="556" t="str">
        <f t="shared" ca="1" si="325"/>
        <v/>
      </c>
      <c r="X1963" s="557"/>
      <c r="Y1963" s="958"/>
      <c r="Z1963" s="958"/>
      <c r="AA1963" s="958"/>
      <c r="AB1963" s="958" t="s">
        <v>1735</v>
      </c>
      <c r="AC1963" s="547" t="str">
        <f t="shared" ca="1" si="330"/>
        <v/>
      </c>
      <c r="AD1963" s="494" t="s">
        <v>1736</v>
      </c>
      <c r="AE1963" s="547" t="str">
        <f t="shared" ca="1" si="329"/>
        <v/>
      </c>
    </row>
    <row r="1964" spans="1:31" ht="15" customHeight="1">
      <c r="A1964" s="957">
        <v>101</v>
      </c>
      <c r="B1964" s="566" t="s">
        <v>801</v>
      </c>
      <c r="C1964" s="567" t="s">
        <v>1730</v>
      </c>
      <c r="D1964" s="958">
        <v>1.2</v>
      </c>
      <c r="E1964" s="959" t="s">
        <v>254</v>
      </c>
      <c r="F1964" s="558" t="s">
        <v>1444</v>
      </c>
      <c r="G1964" s="558">
        <v>654</v>
      </c>
      <c r="H1964" s="558">
        <v>6.3</v>
      </c>
      <c r="I1964" s="559" t="s">
        <v>830</v>
      </c>
      <c r="J1964" s="567" t="s">
        <v>1731</v>
      </c>
      <c r="K1964" s="961" t="s">
        <v>1373</v>
      </c>
      <c r="L1964" s="555" t="str">
        <f t="shared" ca="1" si="326"/>
        <v/>
      </c>
      <c r="M1964" s="494" t="s">
        <v>1609</v>
      </c>
      <c r="N1964" s="555" t="str">
        <f t="shared" ca="1" si="327"/>
        <v/>
      </c>
      <c r="O1964" s="494" t="s">
        <v>1732</v>
      </c>
      <c r="P1964" s="555" t="str">
        <f t="shared" ca="1" si="328"/>
        <v/>
      </c>
      <c r="Q1964" s="494" t="s">
        <v>1733</v>
      </c>
      <c r="R1964" s="494" t="str">
        <f t="shared" si="331"/>
        <v>H1964</v>
      </c>
      <c r="S1964" s="494" t="s">
        <v>1734</v>
      </c>
      <c r="T1964" s="494">
        <v>7</v>
      </c>
      <c r="U1964" s="556" t="str">
        <f t="shared" ca="1" si="324"/>
        <v/>
      </c>
      <c r="V1964" s="494">
        <v>8</v>
      </c>
      <c r="W1964" s="556" t="str">
        <f t="shared" ca="1" si="325"/>
        <v/>
      </c>
      <c r="X1964" s="557"/>
      <c r="Y1964" s="958"/>
      <c r="Z1964" s="958"/>
      <c r="AA1964" s="958"/>
      <c r="AB1964" s="958" t="s">
        <v>1735</v>
      </c>
      <c r="AC1964" s="547" t="str">
        <f t="shared" ca="1" si="330"/>
        <v/>
      </c>
      <c r="AD1964" s="494" t="s">
        <v>1736</v>
      </c>
      <c r="AE1964" s="547" t="str">
        <f t="shared" ca="1" si="329"/>
        <v/>
      </c>
    </row>
    <row r="1965" spans="1:31" ht="15" customHeight="1">
      <c r="A1965" s="957">
        <v>101</v>
      </c>
      <c r="B1965" s="566" t="s">
        <v>801</v>
      </c>
      <c r="C1965" s="567" t="s">
        <v>1730</v>
      </c>
      <c r="D1965" s="958">
        <v>1.2</v>
      </c>
      <c r="E1965" s="959" t="s">
        <v>254</v>
      </c>
      <c r="F1965" s="558" t="s">
        <v>1444</v>
      </c>
      <c r="G1965" s="558">
        <v>655</v>
      </c>
      <c r="H1965" s="558">
        <v>7.1</v>
      </c>
      <c r="I1965" s="559" t="s">
        <v>290</v>
      </c>
      <c r="J1965" s="567" t="s">
        <v>1731</v>
      </c>
      <c r="K1965" s="961" t="s">
        <v>1373</v>
      </c>
      <c r="L1965" s="555" t="str">
        <f t="shared" ca="1" si="326"/>
        <v/>
      </c>
      <c r="M1965" s="494" t="s">
        <v>1609</v>
      </c>
      <c r="N1965" s="555" t="str">
        <f t="shared" ca="1" si="327"/>
        <v/>
      </c>
      <c r="O1965" s="494" t="s">
        <v>1732</v>
      </c>
      <c r="P1965" s="555" t="str">
        <f t="shared" ca="1" si="328"/>
        <v/>
      </c>
      <c r="Q1965" s="494" t="s">
        <v>1733</v>
      </c>
      <c r="R1965" s="494" t="str">
        <f t="shared" si="331"/>
        <v>H1965</v>
      </c>
      <c r="S1965" s="494" t="s">
        <v>1734</v>
      </c>
      <c r="T1965" s="494">
        <v>7</v>
      </c>
      <c r="U1965" s="556" t="str">
        <f t="shared" ca="1" si="324"/>
        <v/>
      </c>
      <c r="V1965" s="494">
        <v>8</v>
      </c>
      <c r="W1965" s="556" t="str">
        <f t="shared" ca="1" si="325"/>
        <v/>
      </c>
      <c r="X1965" s="557"/>
      <c r="Y1965" s="958"/>
      <c r="Z1965" s="958"/>
      <c r="AA1965" s="958"/>
      <c r="AB1965" s="958" t="s">
        <v>1735</v>
      </c>
      <c r="AC1965" s="547" t="str">
        <f t="shared" ca="1" si="330"/>
        <v/>
      </c>
      <c r="AD1965" s="494" t="s">
        <v>1736</v>
      </c>
      <c r="AE1965" s="547" t="str">
        <f t="shared" ca="1" si="329"/>
        <v/>
      </c>
    </row>
    <row r="1966" spans="1:31" ht="15" customHeight="1">
      <c r="A1966" s="957">
        <v>101</v>
      </c>
      <c r="B1966" s="566" t="s">
        <v>801</v>
      </c>
      <c r="C1966" s="567" t="s">
        <v>1730</v>
      </c>
      <c r="D1966" s="958">
        <v>1.2</v>
      </c>
      <c r="E1966" s="959" t="s">
        <v>254</v>
      </c>
      <c r="F1966" s="558" t="s">
        <v>1444</v>
      </c>
      <c r="G1966" s="558">
        <v>656</v>
      </c>
      <c r="H1966" s="558">
        <v>7.2</v>
      </c>
      <c r="I1966" s="559" t="s">
        <v>832</v>
      </c>
      <c r="J1966" s="567" t="s">
        <v>1731</v>
      </c>
      <c r="K1966" s="961" t="s">
        <v>1373</v>
      </c>
      <c r="L1966" s="555" t="str">
        <f t="shared" ca="1" si="326"/>
        <v/>
      </c>
      <c r="M1966" s="494" t="s">
        <v>1609</v>
      </c>
      <c r="N1966" s="555" t="str">
        <f t="shared" ca="1" si="327"/>
        <v/>
      </c>
      <c r="O1966" s="494" t="s">
        <v>1732</v>
      </c>
      <c r="P1966" s="555" t="str">
        <f t="shared" ca="1" si="328"/>
        <v/>
      </c>
      <c r="Q1966" s="494" t="s">
        <v>1733</v>
      </c>
      <c r="R1966" s="494" t="str">
        <f t="shared" si="331"/>
        <v>H1966</v>
      </c>
      <c r="S1966" s="494" t="s">
        <v>1734</v>
      </c>
      <c r="T1966" s="494">
        <v>7</v>
      </c>
      <c r="U1966" s="556" t="str">
        <f t="shared" ca="1" si="324"/>
        <v/>
      </c>
      <c r="V1966" s="494">
        <v>8</v>
      </c>
      <c r="W1966" s="556" t="str">
        <f t="shared" ca="1" si="325"/>
        <v/>
      </c>
      <c r="X1966" s="557"/>
      <c r="Y1966" s="958"/>
      <c r="Z1966" s="958"/>
      <c r="AA1966" s="958"/>
      <c r="AB1966" s="958" t="s">
        <v>1735</v>
      </c>
      <c r="AC1966" s="547" t="str">
        <f t="shared" ca="1" si="330"/>
        <v/>
      </c>
      <c r="AD1966" s="494" t="s">
        <v>1736</v>
      </c>
      <c r="AE1966" s="547" t="str">
        <f t="shared" ca="1" si="329"/>
        <v/>
      </c>
    </row>
    <row r="1967" spans="1:31" ht="15" customHeight="1">
      <c r="A1967" s="957">
        <v>101</v>
      </c>
      <c r="B1967" s="566" t="s">
        <v>801</v>
      </c>
      <c r="C1967" s="567" t="s">
        <v>1730</v>
      </c>
      <c r="D1967" s="958">
        <v>1.2</v>
      </c>
      <c r="E1967" s="959" t="s">
        <v>254</v>
      </c>
      <c r="F1967" s="558" t="s">
        <v>1444</v>
      </c>
      <c r="G1967" s="558">
        <v>657</v>
      </c>
      <c r="H1967" s="558">
        <v>7.3</v>
      </c>
      <c r="I1967" s="559" t="s">
        <v>833</v>
      </c>
      <c r="J1967" s="567" t="s">
        <v>1731</v>
      </c>
      <c r="K1967" s="961" t="s">
        <v>1373</v>
      </c>
      <c r="L1967" s="555" t="str">
        <f t="shared" ca="1" si="326"/>
        <v/>
      </c>
      <c r="M1967" s="494" t="s">
        <v>1609</v>
      </c>
      <c r="N1967" s="555" t="str">
        <f t="shared" ca="1" si="327"/>
        <v/>
      </c>
      <c r="O1967" s="494" t="s">
        <v>1732</v>
      </c>
      <c r="P1967" s="555" t="str">
        <f t="shared" ca="1" si="328"/>
        <v/>
      </c>
      <c r="Q1967" s="494" t="s">
        <v>1733</v>
      </c>
      <c r="R1967" s="494" t="str">
        <f t="shared" si="331"/>
        <v>H1967</v>
      </c>
      <c r="S1967" s="494" t="s">
        <v>1734</v>
      </c>
      <c r="T1967" s="494">
        <v>7</v>
      </c>
      <c r="U1967" s="556" t="str">
        <f t="shared" ca="1" si="324"/>
        <v/>
      </c>
      <c r="V1967" s="494">
        <v>8</v>
      </c>
      <c r="W1967" s="556" t="str">
        <f t="shared" ca="1" si="325"/>
        <v/>
      </c>
      <c r="X1967" s="557"/>
      <c r="Y1967" s="958"/>
      <c r="Z1967" s="958"/>
      <c r="AA1967" s="958"/>
      <c r="AB1967" s="958" t="s">
        <v>1735</v>
      </c>
      <c r="AC1967" s="547" t="str">
        <f t="shared" ca="1" si="330"/>
        <v/>
      </c>
      <c r="AD1967" s="494" t="s">
        <v>1736</v>
      </c>
      <c r="AE1967" s="547" t="str">
        <f t="shared" ca="1" si="329"/>
        <v/>
      </c>
    </row>
    <row r="1968" spans="1:31" ht="15" customHeight="1">
      <c r="A1968" s="957">
        <v>101</v>
      </c>
      <c r="B1968" s="566" t="s">
        <v>801</v>
      </c>
      <c r="C1968" s="567" t="s">
        <v>1730</v>
      </c>
      <c r="D1968" s="958">
        <v>1.2</v>
      </c>
      <c r="E1968" s="959" t="s">
        <v>306</v>
      </c>
      <c r="F1968" s="558" t="s">
        <v>1454</v>
      </c>
      <c r="G1968" s="558">
        <v>658</v>
      </c>
      <c r="H1968" s="558">
        <v>8.1</v>
      </c>
      <c r="I1968" s="559" t="s">
        <v>835</v>
      </c>
      <c r="J1968" s="567" t="s">
        <v>1731</v>
      </c>
      <c r="K1968" s="961" t="s">
        <v>1373</v>
      </c>
      <c r="L1968" s="555" t="str">
        <f t="shared" ca="1" si="326"/>
        <v/>
      </c>
      <c r="M1968" s="494" t="s">
        <v>1609</v>
      </c>
      <c r="N1968" s="555" t="str">
        <f t="shared" ca="1" si="327"/>
        <v/>
      </c>
      <c r="O1968" s="494" t="s">
        <v>1732</v>
      </c>
      <c r="P1968" s="555" t="str">
        <f t="shared" ca="1" si="328"/>
        <v/>
      </c>
      <c r="Q1968" s="494" t="s">
        <v>1733</v>
      </c>
      <c r="R1968" s="494" t="str">
        <f t="shared" si="331"/>
        <v>H1968</v>
      </c>
      <c r="S1968" s="494" t="s">
        <v>1734</v>
      </c>
      <c r="T1968" s="494">
        <v>7</v>
      </c>
      <c r="U1968" s="556" t="str">
        <f t="shared" ca="1" si="324"/>
        <v/>
      </c>
      <c r="V1968" s="494">
        <v>8</v>
      </c>
      <c r="W1968" s="556" t="str">
        <f t="shared" ca="1" si="325"/>
        <v/>
      </c>
      <c r="X1968" s="557"/>
      <c r="Y1968" s="958"/>
      <c r="Z1968" s="958"/>
      <c r="AA1968" s="958"/>
      <c r="AB1968" s="958" t="s">
        <v>1735</v>
      </c>
      <c r="AC1968" s="547" t="str">
        <f t="shared" ca="1" si="330"/>
        <v/>
      </c>
      <c r="AD1968" s="494" t="s">
        <v>1736</v>
      </c>
      <c r="AE1968" s="547" t="str">
        <f t="shared" ca="1" si="329"/>
        <v/>
      </c>
    </row>
    <row r="1969" spans="1:31" ht="15" customHeight="1">
      <c r="A1969" s="957">
        <v>101</v>
      </c>
      <c r="B1969" s="566" t="s">
        <v>801</v>
      </c>
      <c r="C1969" s="567" t="s">
        <v>1730</v>
      </c>
      <c r="D1969" s="958">
        <v>1.2</v>
      </c>
      <c r="E1969" s="959" t="s">
        <v>306</v>
      </c>
      <c r="F1969" s="558" t="s">
        <v>1454</v>
      </c>
      <c r="G1969" s="558">
        <v>659</v>
      </c>
      <c r="H1969" s="558">
        <v>8.1999999999999993</v>
      </c>
      <c r="I1969" s="559" t="s">
        <v>836</v>
      </c>
      <c r="J1969" s="567" t="s">
        <v>1731</v>
      </c>
      <c r="K1969" s="961" t="s">
        <v>1373</v>
      </c>
      <c r="L1969" s="555" t="str">
        <f t="shared" ca="1" si="326"/>
        <v/>
      </c>
      <c r="M1969" s="494" t="s">
        <v>1609</v>
      </c>
      <c r="N1969" s="555" t="str">
        <f t="shared" ca="1" si="327"/>
        <v/>
      </c>
      <c r="O1969" s="494" t="s">
        <v>1732</v>
      </c>
      <c r="P1969" s="555" t="str">
        <f t="shared" ca="1" si="328"/>
        <v/>
      </c>
      <c r="Q1969" s="494" t="s">
        <v>1733</v>
      </c>
      <c r="R1969" s="494" t="str">
        <f t="shared" si="331"/>
        <v>H1969</v>
      </c>
      <c r="S1969" s="494" t="s">
        <v>1734</v>
      </c>
      <c r="T1969" s="494">
        <v>7</v>
      </c>
      <c r="U1969" s="556" t="str">
        <f t="shared" ca="1" si="324"/>
        <v/>
      </c>
      <c r="V1969" s="494">
        <v>8</v>
      </c>
      <c r="W1969" s="556" t="str">
        <f t="shared" ca="1" si="325"/>
        <v/>
      </c>
      <c r="X1969" s="557"/>
      <c r="Y1969" s="958"/>
      <c r="Z1969" s="958"/>
      <c r="AA1969" s="958"/>
      <c r="AB1969" s="958" t="s">
        <v>1735</v>
      </c>
      <c r="AC1969" s="547" t="str">
        <f t="shared" ca="1" si="330"/>
        <v/>
      </c>
      <c r="AD1969" s="494" t="s">
        <v>1736</v>
      </c>
      <c r="AE1969" s="547" t="str">
        <f t="shared" ca="1" si="329"/>
        <v/>
      </c>
    </row>
    <row r="1970" spans="1:31" ht="15" customHeight="1">
      <c r="A1970" s="957">
        <v>101</v>
      </c>
      <c r="B1970" s="566" t="s">
        <v>801</v>
      </c>
      <c r="C1970" s="567" t="s">
        <v>1730</v>
      </c>
      <c r="D1970" s="958">
        <v>1.2</v>
      </c>
      <c r="E1970" s="959" t="s">
        <v>306</v>
      </c>
      <c r="F1970" s="558" t="s">
        <v>1454</v>
      </c>
      <c r="G1970" s="558">
        <v>660</v>
      </c>
      <c r="H1970" s="558">
        <v>8.3000000000000007</v>
      </c>
      <c r="I1970" s="559" t="s">
        <v>838</v>
      </c>
      <c r="J1970" s="567" t="s">
        <v>1731</v>
      </c>
      <c r="K1970" s="961" t="s">
        <v>1373</v>
      </c>
      <c r="L1970" s="555" t="str">
        <f t="shared" ca="1" si="326"/>
        <v/>
      </c>
      <c r="M1970" s="494" t="s">
        <v>1609</v>
      </c>
      <c r="N1970" s="555" t="str">
        <f t="shared" ca="1" si="327"/>
        <v/>
      </c>
      <c r="O1970" s="494" t="s">
        <v>1732</v>
      </c>
      <c r="P1970" s="555" t="str">
        <f t="shared" ca="1" si="328"/>
        <v/>
      </c>
      <c r="Q1970" s="494" t="s">
        <v>1733</v>
      </c>
      <c r="R1970" s="494" t="str">
        <f t="shared" si="331"/>
        <v>H1970</v>
      </c>
      <c r="S1970" s="494" t="s">
        <v>1734</v>
      </c>
      <c r="T1970" s="494">
        <v>7</v>
      </c>
      <c r="U1970" s="556" t="str">
        <f t="shared" ca="1" si="324"/>
        <v/>
      </c>
      <c r="V1970" s="494">
        <v>8</v>
      </c>
      <c r="W1970" s="556" t="str">
        <f t="shared" ca="1" si="325"/>
        <v/>
      </c>
      <c r="X1970" s="557"/>
      <c r="Y1970" s="958"/>
      <c r="Z1970" s="958"/>
      <c r="AA1970" s="958"/>
      <c r="AB1970" s="958" t="s">
        <v>1735</v>
      </c>
      <c r="AC1970" s="547" t="str">
        <f t="shared" ca="1" si="330"/>
        <v/>
      </c>
      <c r="AD1970" s="494" t="s">
        <v>1736</v>
      </c>
      <c r="AE1970" s="547" t="str">
        <f t="shared" ca="1" si="329"/>
        <v/>
      </c>
    </row>
    <row r="1971" spans="1:31" ht="15" customHeight="1">
      <c r="A1971" s="957">
        <v>101</v>
      </c>
      <c r="B1971" s="566" t="s">
        <v>801</v>
      </c>
      <c r="C1971" s="567" t="s">
        <v>1730</v>
      </c>
      <c r="D1971" s="958">
        <v>1.2</v>
      </c>
      <c r="E1971" s="959" t="s">
        <v>306</v>
      </c>
      <c r="F1971" s="558" t="s">
        <v>1454</v>
      </c>
      <c r="G1971" s="558">
        <v>661</v>
      </c>
      <c r="H1971" s="558">
        <v>9.1</v>
      </c>
      <c r="I1971" s="559" t="s">
        <v>840</v>
      </c>
      <c r="J1971" s="567" t="s">
        <v>1731</v>
      </c>
      <c r="K1971" s="961" t="s">
        <v>1373</v>
      </c>
      <c r="L1971" s="555" t="str">
        <f t="shared" ca="1" si="326"/>
        <v/>
      </c>
      <c r="M1971" s="494" t="s">
        <v>1609</v>
      </c>
      <c r="N1971" s="555" t="str">
        <f t="shared" ca="1" si="327"/>
        <v/>
      </c>
      <c r="O1971" s="494" t="s">
        <v>1732</v>
      </c>
      <c r="P1971" s="555" t="str">
        <f t="shared" ca="1" si="328"/>
        <v/>
      </c>
      <c r="Q1971" s="494" t="s">
        <v>1733</v>
      </c>
      <c r="R1971" s="494" t="str">
        <f t="shared" si="331"/>
        <v>H1971</v>
      </c>
      <c r="S1971" s="494" t="s">
        <v>1734</v>
      </c>
      <c r="T1971" s="494">
        <v>7</v>
      </c>
      <c r="U1971" s="556" t="str">
        <f t="shared" ca="1" si="324"/>
        <v/>
      </c>
      <c r="V1971" s="494">
        <v>8</v>
      </c>
      <c r="W1971" s="556" t="str">
        <f t="shared" ca="1" si="325"/>
        <v/>
      </c>
      <c r="X1971" s="557"/>
      <c r="Y1971" s="958"/>
      <c r="Z1971" s="958"/>
      <c r="AA1971" s="958"/>
      <c r="AB1971" s="958" t="s">
        <v>1735</v>
      </c>
      <c r="AC1971" s="547" t="str">
        <f t="shared" ca="1" si="330"/>
        <v/>
      </c>
      <c r="AD1971" s="494" t="s">
        <v>1736</v>
      </c>
      <c r="AE1971" s="547" t="str">
        <f t="shared" ca="1" si="329"/>
        <v/>
      </c>
    </row>
    <row r="1972" spans="1:31" ht="15" customHeight="1">
      <c r="A1972" s="957">
        <v>101</v>
      </c>
      <c r="B1972" s="566" t="s">
        <v>801</v>
      </c>
      <c r="C1972" s="567" t="s">
        <v>1730</v>
      </c>
      <c r="D1972" s="958">
        <v>1.2</v>
      </c>
      <c r="E1972" s="959" t="s">
        <v>306</v>
      </c>
      <c r="F1972" s="558" t="s">
        <v>1454</v>
      </c>
      <c r="G1972" s="558">
        <v>662</v>
      </c>
      <c r="H1972" s="558">
        <v>9.1999999999999993</v>
      </c>
      <c r="I1972" s="559" t="s">
        <v>841</v>
      </c>
      <c r="J1972" s="567" t="s">
        <v>1731</v>
      </c>
      <c r="K1972" s="961" t="s">
        <v>1373</v>
      </c>
      <c r="L1972" s="555" t="str">
        <f t="shared" ca="1" si="326"/>
        <v/>
      </c>
      <c r="M1972" s="494" t="s">
        <v>1609</v>
      </c>
      <c r="N1972" s="555" t="str">
        <f t="shared" ca="1" si="327"/>
        <v/>
      </c>
      <c r="O1972" s="494" t="s">
        <v>1732</v>
      </c>
      <c r="P1972" s="555" t="str">
        <f t="shared" ca="1" si="328"/>
        <v/>
      </c>
      <c r="Q1972" s="494" t="s">
        <v>1733</v>
      </c>
      <c r="R1972" s="494" t="str">
        <f t="shared" si="331"/>
        <v>H1972</v>
      </c>
      <c r="S1972" s="494" t="s">
        <v>1734</v>
      </c>
      <c r="T1972" s="494">
        <v>7</v>
      </c>
      <c r="U1972" s="556" t="str">
        <f t="shared" ca="1" si="324"/>
        <v/>
      </c>
      <c r="V1972" s="494">
        <v>8</v>
      </c>
      <c r="W1972" s="556" t="str">
        <f t="shared" ca="1" si="325"/>
        <v/>
      </c>
      <c r="X1972" s="557"/>
      <c r="Y1972" s="958"/>
      <c r="Z1972" s="958"/>
      <c r="AA1972" s="958"/>
      <c r="AB1972" s="958" t="s">
        <v>1735</v>
      </c>
      <c r="AC1972" s="547" t="str">
        <f t="shared" ca="1" si="330"/>
        <v/>
      </c>
      <c r="AD1972" s="494" t="s">
        <v>1736</v>
      </c>
      <c r="AE1972" s="547" t="str">
        <f t="shared" ca="1" si="329"/>
        <v/>
      </c>
    </row>
    <row r="1973" spans="1:31" ht="15" customHeight="1">
      <c r="A1973" s="957">
        <v>101</v>
      </c>
      <c r="B1973" s="566" t="s">
        <v>801</v>
      </c>
      <c r="C1973" s="567" t="s">
        <v>1730</v>
      </c>
      <c r="D1973" s="958">
        <v>1.2</v>
      </c>
      <c r="E1973" s="959" t="s">
        <v>306</v>
      </c>
      <c r="F1973" s="558" t="s">
        <v>1454</v>
      </c>
      <c r="G1973" s="558">
        <v>663</v>
      </c>
      <c r="H1973" s="558">
        <v>10.1</v>
      </c>
      <c r="I1973" s="559" t="s">
        <v>843</v>
      </c>
      <c r="J1973" s="567" t="s">
        <v>1731</v>
      </c>
      <c r="K1973" s="961" t="s">
        <v>1373</v>
      </c>
      <c r="L1973" s="555" t="str">
        <f t="shared" ca="1" si="326"/>
        <v/>
      </c>
      <c r="M1973" s="494" t="s">
        <v>1609</v>
      </c>
      <c r="N1973" s="555" t="str">
        <f t="shared" ca="1" si="327"/>
        <v/>
      </c>
      <c r="O1973" s="494" t="s">
        <v>1732</v>
      </c>
      <c r="P1973" s="555" t="str">
        <f t="shared" ca="1" si="328"/>
        <v/>
      </c>
      <c r="Q1973" s="494" t="s">
        <v>1733</v>
      </c>
      <c r="R1973" s="494" t="str">
        <f t="shared" si="331"/>
        <v>H1973</v>
      </c>
      <c r="S1973" s="494" t="s">
        <v>1734</v>
      </c>
      <c r="T1973" s="494">
        <v>7</v>
      </c>
      <c r="U1973" s="556" t="str">
        <f t="shared" ca="1" si="324"/>
        <v/>
      </c>
      <c r="V1973" s="494">
        <v>8</v>
      </c>
      <c r="W1973" s="556" t="str">
        <f t="shared" ca="1" si="325"/>
        <v/>
      </c>
      <c r="X1973" s="557"/>
      <c r="Y1973" s="958"/>
      <c r="Z1973" s="958"/>
      <c r="AA1973" s="958"/>
      <c r="AB1973" s="958" t="s">
        <v>1735</v>
      </c>
      <c r="AC1973" s="547" t="str">
        <f t="shared" ca="1" si="330"/>
        <v/>
      </c>
      <c r="AD1973" s="494" t="s">
        <v>1736</v>
      </c>
      <c r="AE1973" s="547" t="str">
        <f t="shared" ca="1" si="329"/>
        <v/>
      </c>
    </row>
    <row r="1974" spans="1:31" ht="15" customHeight="1">
      <c r="A1974" s="957">
        <v>101</v>
      </c>
      <c r="B1974" s="566" t="s">
        <v>801</v>
      </c>
      <c r="C1974" s="567" t="s">
        <v>1730</v>
      </c>
      <c r="D1974" s="958">
        <v>1.2</v>
      </c>
      <c r="E1974" s="959" t="s">
        <v>306</v>
      </c>
      <c r="F1974" s="558" t="s">
        <v>1454</v>
      </c>
      <c r="G1974" s="558">
        <v>664</v>
      </c>
      <c r="H1974" s="558">
        <v>10.199999999999999</v>
      </c>
      <c r="I1974" s="559" t="s">
        <v>844</v>
      </c>
      <c r="J1974" s="567" t="s">
        <v>1731</v>
      </c>
      <c r="K1974" s="961" t="s">
        <v>1373</v>
      </c>
      <c r="L1974" s="555" t="str">
        <f t="shared" ca="1" si="326"/>
        <v/>
      </c>
      <c r="M1974" s="494" t="s">
        <v>1609</v>
      </c>
      <c r="N1974" s="555" t="str">
        <f t="shared" ca="1" si="327"/>
        <v/>
      </c>
      <c r="O1974" s="494" t="s">
        <v>1732</v>
      </c>
      <c r="P1974" s="555" t="str">
        <f t="shared" ca="1" si="328"/>
        <v/>
      </c>
      <c r="Q1974" s="494" t="s">
        <v>1733</v>
      </c>
      <c r="R1974" s="494" t="str">
        <f t="shared" si="331"/>
        <v>H1974</v>
      </c>
      <c r="S1974" s="494" t="s">
        <v>1734</v>
      </c>
      <c r="T1974" s="494">
        <v>7</v>
      </c>
      <c r="U1974" s="556" t="str">
        <f t="shared" ca="1" si="324"/>
        <v/>
      </c>
      <c r="V1974" s="494">
        <v>8</v>
      </c>
      <c r="W1974" s="556" t="str">
        <f t="shared" ca="1" si="325"/>
        <v/>
      </c>
      <c r="X1974" s="557"/>
      <c r="Y1974" s="958"/>
      <c r="Z1974" s="958"/>
      <c r="AA1974" s="958"/>
      <c r="AB1974" s="958" t="s">
        <v>1735</v>
      </c>
      <c r="AC1974" s="547" t="str">
        <f t="shared" ca="1" si="330"/>
        <v/>
      </c>
      <c r="AD1974" s="494" t="s">
        <v>1736</v>
      </c>
      <c r="AE1974" s="547" t="str">
        <f t="shared" ca="1" si="329"/>
        <v/>
      </c>
    </row>
    <row r="1975" spans="1:31" ht="15" customHeight="1">
      <c r="A1975" s="957">
        <v>101</v>
      </c>
      <c r="B1975" s="566" t="s">
        <v>801</v>
      </c>
      <c r="C1975" s="567" t="s">
        <v>1730</v>
      </c>
      <c r="D1975" s="958">
        <v>1.2</v>
      </c>
      <c r="E1975" s="959" t="s">
        <v>306</v>
      </c>
      <c r="F1975" s="558" t="s">
        <v>1454</v>
      </c>
      <c r="G1975" s="558">
        <v>665</v>
      </c>
      <c r="H1975" s="558">
        <v>11.1</v>
      </c>
      <c r="I1975" s="559" t="s">
        <v>847</v>
      </c>
      <c r="J1975" s="567" t="s">
        <v>1731</v>
      </c>
      <c r="K1975" s="961" t="s">
        <v>1373</v>
      </c>
      <c r="L1975" s="555" t="str">
        <f t="shared" ca="1" si="326"/>
        <v/>
      </c>
      <c r="M1975" s="494" t="s">
        <v>1609</v>
      </c>
      <c r="N1975" s="555" t="str">
        <f t="shared" ca="1" si="327"/>
        <v/>
      </c>
      <c r="O1975" s="494" t="s">
        <v>1732</v>
      </c>
      <c r="P1975" s="555" t="str">
        <f t="shared" ca="1" si="328"/>
        <v/>
      </c>
      <c r="Q1975" s="494" t="s">
        <v>1733</v>
      </c>
      <c r="R1975" s="494" t="str">
        <f t="shared" si="331"/>
        <v>H1975</v>
      </c>
      <c r="S1975" s="494" t="s">
        <v>1734</v>
      </c>
      <c r="T1975" s="494">
        <v>7</v>
      </c>
      <c r="U1975" s="556" t="str">
        <f t="shared" ca="1" si="324"/>
        <v/>
      </c>
      <c r="V1975" s="494">
        <v>8</v>
      </c>
      <c r="W1975" s="556" t="str">
        <f t="shared" ca="1" si="325"/>
        <v/>
      </c>
      <c r="X1975" s="557"/>
      <c r="Y1975" s="958"/>
      <c r="Z1975" s="958"/>
      <c r="AA1975" s="958"/>
      <c r="AB1975" s="958" t="s">
        <v>1735</v>
      </c>
      <c r="AC1975" s="547" t="str">
        <f t="shared" ca="1" si="330"/>
        <v/>
      </c>
      <c r="AD1975" s="494" t="s">
        <v>1736</v>
      </c>
      <c r="AE1975" s="547" t="str">
        <f t="shared" ca="1" si="329"/>
        <v/>
      </c>
    </row>
    <row r="1976" spans="1:31" ht="15" customHeight="1">
      <c r="A1976" s="957">
        <v>101</v>
      </c>
      <c r="B1976" s="566" t="s">
        <v>801</v>
      </c>
      <c r="C1976" s="567" t="s">
        <v>1730</v>
      </c>
      <c r="D1976" s="958">
        <v>1.2</v>
      </c>
      <c r="E1976" s="959" t="s">
        <v>306</v>
      </c>
      <c r="F1976" s="558" t="s">
        <v>1454</v>
      </c>
      <c r="G1976" s="558">
        <v>666</v>
      </c>
      <c r="H1976" s="558">
        <v>11.2</v>
      </c>
      <c r="I1976" s="559" t="s">
        <v>848</v>
      </c>
      <c r="J1976" s="567" t="s">
        <v>1731</v>
      </c>
      <c r="K1976" s="961" t="s">
        <v>1373</v>
      </c>
      <c r="L1976" s="555" t="str">
        <f t="shared" ca="1" si="326"/>
        <v/>
      </c>
      <c r="M1976" s="494" t="s">
        <v>1609</v>
      </c>
      <c r="N1976" s="555" t="str">
        <f t="shared" ca="1" si="327"/>
        <v/>
      </c>
      <c r="O1976" s="494" t="s">
        <v>1732</v>
      </c>
      <c r="P1976" s="555" t="str">
        <f t="shared" ca="1" si="328"/>
        <v/>
      </c>
      <c r="Q1976" s="494" t="s">
        <v>1733</v>
      </c>
      <c r="R1976" s="494" t="str">
        <f t="shared" si="331"/>
        <v>H1976</v>
      </c>
      <c r="S1976" s="494" t="s">
        <v>1734</v>
      </c>
      <c r="T1976" s="494">
        <v>7</v>
      </c>
      <c r="U1976" s="556" t="str">
        <f t="shared" ca="1" si="324"/>
        <v/>
      </c>
      <c r="V1976" s="494">
        <v>8</v>
      </c>
      <c r="W1976" s="556" t="str">
        <f t="shared" ca="1" si="325"/>
        <v/>
      </c>
      <c r="X1976" s="557"/>
      <c r="Y1976" s="958"/>
      <c r="Z1976" s="958"/>
      <c r="AA1976" s="958"/>
      <c r="AB1976" s="958" t="s">
        <v>1735</v>
      </c>
      <c r="AC1976" s="547" t="str">
        <f t="shared" ca="1" si="330"/>
        <v/>
      </c>
      <c r="AD1976" s="494" t="s">
        <v>1736</v>
      </c>
      <c r="AE1976" s="547" t="str">
        <f t="shared" ca="1" si="329"/>
        <v/>
      </c>
    </row>
    <row r="1977" spans="1:31" ht="15" customHeight="1">
      <c r="A1977" s="957">
        <v>101</v>
      </c>
      <c r="B1977" s="566" t="s">
        <v>801</v>
      </c>
      <c r="C1977" s="567" t="s">
        <v>1730</v>
      </c>
      <c r="D1977" s="958">
        <v>1.2</v>
      </c>
      <c r="E1977" s="959" t="s">
        <v>306</v>
      </c>
      <c r="F1977" s="558" t="s">
        <v>1454</v>
      </c>
      <c r="G1977" s="558">
        <v>712</v>
      </c>
      <c r="H1977" s="558" t="s">
        <v>850</v>
      </c>
      <c r="I1977" s="559" t="s">
        <v>851</v>
      </c>
      <c r="J1977" s="567" t="s">
        <v>1731</v>
      </c>
      <c r="K1977" s="961" t="s">
        <v>1373</v>
      </c>
      <c r="L1977" s="555" t="str">
        <f t="shared" ca="1" si="326"/>
        <v/>
      </c>
      <c r="M1977" s="494" t="s">
        <v>1609</v>
      </c>
      <c r="N1977" s="555" t="str">
        <f t="shared" ca="1" si="327"/>
        <v/>
      </c>
      <c r="O1977" s="494" t="s">
        <v>1732</v>
      </c>
      <c r="P1977" s="555" t="str">
        <f t="shared" ca="1" si="328"/>
        <v/>
      </c>
      <c r="Q1977" s="494" t="s">
        <v>1733</v>
      </c>
      <c r="R1977" s="494" t="str">
        <f>CONCATENATE("H",ROW(J1977))</f>
        <v>H1977</v>
      </c>
      <c r="S1977" s="494" t="s">
        <v>1734</v>
      </c>
      <c r="T1977" s="494">
        <v>7</v>
      </c>
      <c r="U1977" s="556" t="str">
        <f t="shared" ca="1" si="324"/>
        <v/>
      </c>
      <c r="V1977" s="494">
        <v>8</v>
      </c>
      <c r="W1977" s="556" t="str">
        <f t="shared" ca="1" si="325"/>
        <v/>
      </c>
      <c r="X1977" s="557"/>
      <c r="Y1977" s="958"/>
      <c r="Z1977" s="958"/>
      <c r="AA1977" s="958"/>
      <c r="AB1977" s="958" t="s">
        <v>1735</v>
      </c>
      <c r="AC1977" s="547" t="str">
        <f ca="1">IF(AND(INDIRECT(CONCATENATE($J1981,$K1981,"5"))=$B1981,ISBLANK(INDIRECT(CONCATENATE($J1981,AB1977)))=FALSE),INDIRECT(CONCATENATE($J1981,AB1977)),"")</f>
        <v/>
      </c>
      <c r="AD1977" s="494" t="s">
        <v>1736</v>
      </c>
      <c r="AE1977" s="547" t="str">
        <f t="shared" ca="1" si="329"/>
        <v/>
      </c>
    </row>
    <row r="1978" spans="1:31" ht="15" customHeight="1">
      <c r="A1978" s="957">
        <v>101</v>
      </c>
      <c r="B1978" s="566" t="s">
        <v>801</v>
      </c>
      <c r="C1978" s="567" t="s">
        <v>1730</v>
      </c>
      <c r="D1978" s="958">
        <v>1.2</v>
      </c>
      <c r="E1978" s="959" t="s">
        <v>306</v>
      </c>
      <c r="F1978" s="558" t="s">
        <v>1454</v>
      </c>
      <c r="G1978" s="558">
        <v>712</v>
      </c>
      <c r="H1978" s="558" t="s">
        <v>853</v>
      </c>
      <c r="I1978" s="559" t="s">
        <v>854</v>
      </c>
      <c r="J1978" s="567" t="s">
        <v>1731</v>
      </c>
      <c r="K1978" s="961" t="s">
        <v>1373</v>
      </c>
      <c r="L1978" s="555" t="str">
        <f t="shared" ca="1" si="326"/>
        <v/>
      </c>
      <c r="M1978" s="494" t="s">
        <v>1609</v>
      </c>
      <c r="N1978" s="555" t="str">
        <f t="shared" ca="1" si="327"/>
        <v/>
      </c>
      <c r="O1978" s="494" t="s">
        <v>1732</v>
      </c>
      <c r="P1978" s="555" t="str">
        <f t="shared" ca="1" si="328"/>
        <v/>
      </c>
      <c r="Q1978" s="494" t="s">
        <v>1733</v>
      </c>
      <c r="R1978" s="494" t="str">
        <f>CONCATENATE("H",ROW(J1978))</f>
        <v>H1978</v>
      </c>
      <c r="S1978" s="494" t="s">
        <v>1734</v>
      </c>
      <c r="T1978" s="494">
        <v>7</v>
      </c>
      <c r="U1978" s="556" t="str">
        <f t="shared" ca="1" si="324"/>
        <v/>
      </c>
      <c r="V1978" s="494">
        <v>8</v>
      </c>
      <c r="W1978" s="556" t="str">
        <f t="shared" ca="1" si="325"/>
        <v/>
      </c>
      <c r="X1978" s="557"/>
      <c r="Y1978" s="958"/>
      <c r="Z1978" s="958"/>
      <c r="AA1978" s="958"/>
      <c r="AB1978" s="958" t="s">
        <v>1735</v>
      </c>
      <c r="AC1978" s="547" t="str">
        <f ca="1">IF(AND(INDIRECT(CONCATENATE($J1982,$K1982,"5"))=$B1982,ISBLANK(INDIRECT(CONCATENATE($J1982,AB1978)))=FALSE),INDIRECT(CONCATENATE($J1982,AB1978)),"")</f>
        <v/>
      </c>
      <c r="AD1978" s="494" t="s">
        <v>1736</v>
      </c>
      <c r="AE1978" s="547" t="str">
        <f t="shared" ca="1" si="329"/>
        <v/>
      </c>
    </row>
    <row r="1979" spans="1:31" ht="15" customHeight="1">
      <c r="A1979" s="957">
        <v>101</v>
      </c>
      <c r="B1979" s="566" t="s">
        <v>801</v>
      </c>
      <c r="C1979" s="567" t="s">
        <v>1730</v>
      </c>
      <c r="D1979" s="958">
        <v>1.2</v>
      </c>
      <c r="E1979" s="959" t="s">
        <v>306</v>
      </c>
      <c r="F1979" s="558" t="s">
        <v>1454</v>
      </c>
      <c r="G1979" s="558">
        <v>712</v>
      </c>
      <c r="H1979" s="558" t="s">
        <v>855</v>
      </c>
      <c r="I1979" s="559" t="s">
        <v>856</v>
      </c>
      <c r="J1979" s="567" t="s">
        <v>1731</v>
      </c>
      <c r="K1979" s="961" t="s">
        <v>1373</v>
      </c>
      <c r="L1979" s="555" t="str">
        <f t="shared" ca="1" si="326"/>
        <v/>
      </c>
      <c r="M1979" s="494" t="s">
        <v>1609</v>
      </c>
      <c r="N1979" s="555" t="str">
        <f t="shared" ca="1" si="327"/>
        <v/>
      </c>
      <c r="O1979" s="494" t="s">
        <v>1732</v>
      </c>
      <c r="P1979" s="555" t="str">
        <f t="shared" ca="1" si="328"/>
        <v/>
      </c>
      <c r="Q1979" s="494" t="s">
        <v>1733</v>
      </c>
      <c r="R1979" s="494" t="str">
        <f>CONCATENATE("H",ROW(J1979))</f>
        <v>H1979</v>
      </c>
      <c r="S1979" s="494" t="s">
        <v>1734</v>
      </c>
      <c r="T1979" s="494">
        <v>7</v>
      </c>
      <c r="U1979" s="556" t="str">
        <f t="shared" ca="1" si="324"/>
        <v/>
      </c>
      <c r="V1979" s="494">
        <v>8</v>
      </c>
      <c r="W1979" s="556" t="str">
        <f t="shared" ca="1" si="325"/>
        <v/>
      </c>
      <c r="X1979" s="557"/>
      <c r="Y1979" s="958"/>
      <c r="Z1979" s="958"/>
      <c r="AA1979" s="958"/>
      <c r="AB1979" s="958" t="s">
        <v>1735</v>
      </c>
      <c r="AC1979" s="547" t="str">
        <f ca="1">IF(AND(INDIRECT(CONCATENATE($J1983,$K1983,"5"))=$B1983,ISBLANK(INDIRECT(CONCATENATE($J1983,AB1979)))=FALSE),INDIRECT(CONCATENATE($J1983,AB1979)),"")</f>
        <v/>
      </c>
      <c r="AD1979" s="494" t="s">
        <v>1736</v>
      </c>
      <c r="AE1979" s="547" t="str">
        <f t="shared" ca="1" si="329"/>
        <v/>
      </c>
    </row>
    <row r="1980" spans="1:31" ht="15" customHeight="1">
      <c r="A1980" s="957">
        <v>101</v>
      </c>
      <c r="B1980" s="566" t="s">
        <v>801</v>
      </c>
      <c r="C1980" s="567" t="s">
        <v>1730</v>
      </c>
      <c r="D1980" s="958">
        <v>1.2</v>
      </c>
      <c r="E1980" s="959" t="s">
        <v>306</v>
      </c>
      <c r="F1980" s="558" t="s">
        <v>1454</v>
      </c>
      <c r="G1980" s="558">
        <v>712</v>
      </c>
      <c r="H1980" s="558" t="s">
        <v>857</v>
      </c>
      <c r="I1980" s="559" t="s">
        <v>858</v>
      </c>
      <c r="J1980" s="567" t="s">
        <v>1731</v>
      </c>
      <c r="K1980" s="961" t="s">
        <v>1373</v>
      </c>
      <c r="L1980" s="555" t="str">
        <f t="shared" ca="1" si="326"/>
        <v/>
      </c>
      <c r="M1980" s="494" t="s">
        <v>1609</v>
      </c>
      <c r="N1980" s="555" t="str">
        <f t="shared" ca="1" si="327"/>
        <v/>
      </c>
      <c r="O1980" s="494" t="s">
        <v>1732</v>
      </c>
      <c r="P1980" s="555" t="str">
        <f t="shared" ca="1" si="328"/>
        <v/>
      </c>
      <c r="Q1980" s="494" t="s">
        <v>1733</v>
      </c>
      <c r="R1980" s="494" t="str">
        <f>CONCATENATE("H",ROW(J1980))</f>
        <v>H1980</v>
      </c>
      <c r="S1980" s="494" t="s">
        <v>1734</v>
      </c>
      <c r="T1980" s="494">
        <v>7</v>
      </c>
      <c r="U1980" s="556" t="str">
        <f t="shared" ca="1" si="324"/>
        <v/>
      </c>
      <c r="V1980" s="494">
        <v>8</v>
      </c>
      <c r="W1980" s="556" t="str">
        <f t="shared" ca="1" si="325"/>
        <v/>
      </c>
      <c r="X1980" s="557"/>
      <c r="Y1980" s="958"/>
      <c r="Z1980" s="958"/>
      <c r="AA1980" s="958"/>
      <c r="AB1980" s="958" t="s">
        <v>1735</v>
      </c>
      <c r="AC1980" s="547" t="str">
        <f ca="1">IF(AND(INDIRECT(CONCATENATE($J1977,$K1977,"5"))=$B1977,ISBLANK(INDIRECT(CONCATENATE($J1977,AB1980)))=FALSE),INDIRECT(CONCATENATE($J1977,AB1980)),"")</f>
        <v/>
      </c>
      <c r="AD1980" s="494" t="s">
        <v>1736</v>
      </c>
      <c r="AE1980" s="547" t="str">
        <f t="shared" ca="1" si="329"/>
        <v/>
      </c>
    </row>
    <row r="1981" spans="1:31" ht="15" customHeight="1">
      <c r="A1981" s="957">
        <v>101</v>
      </c>
      <c r="B1981" s="566" t="s">
        <v>801</v>
      </c>
      <c r="C1981" s="567" t="s">
        <v>1730</v>
      </c>
      <c r="D1981" s="958">
        <v>1.2</v>
      </c>
      <c r="E1981" s="959" t="s">
        <v>306</v>
      </c>
      <c r="F1981" s="558" t="s">
        <v>1454</v>
      </c>
      <c r="G1981" s="558">
        <v>671</v>
      </c>
      <c r="H1981" s="558">
        <v>13.1</v>
      </c>
      <c r="I1981" s="559" t="s">
        <v>314</v>
      </c>
      <c r="J1981" s="567" t="s">
        <v>1731</v>
      </c>
      <c r="K1981" s="961" t="s">
        <v>1373</v>
      </c>
      <c r="L1981" s="555" t="str">
        <f t="shared" ca="1" si="326"/>
        <v/>
      </c>
      <c r="M1981" s="494" t="s">
        <v>1609</v>
      </c>
      <c r="N1981" s="555" t="str">
        <f t="shared" ca="1" si="327"/>
        <v/>
      </c>
      <c r="O1981" s="494" t="s">
        <v>1732</v>
      </c>
      <c r="P1981" s="555" t="str">
        <f t="shared" ca="1" si="328"/>
        <v/>
      </c>
      <c r="Q1981" s="494" t="s">
        <v>1733</v>
      </c>
      <c r="R1981" s="494" t="str">
        <f t="shared" si="331"/>
        <v>H1981</v>
      </c>
      <c r="S1981" s="494" t="s">
        <v>1734</v>
      </c>
      <c r="T1981" s="494">
        <v>7</v>
      </c>
      <c r="U1981" s="556" t="str">
        <f t="shared" ca="1" si="324"/>
        <v/>
      </c>
      <c r="V1981" s="494">
        <v>8</v>
      </c>
      <c r="W1981" s="556" t="str">
        <f t="shared" ca="1" si="325"/>
        <v/>
      </c>
      <c r="X1981" s="557"/>
      <c r="Y1981" s="958"/>
      <c r="Z1981" s="958"/>
      <c r="AA1981" s="958"/>
      <c r="AB1981" s="958" t="s">
        <v>1735</v>
      </c>
      <c r="AC1981" s="547" t="str">
        <f ca="1">IF(AND(INDIRECT(CONCATENATE($J1978,$K1978,"5"))=$B1978,ISBLANK(INDIRECT(CONCATENATE($J1978,AB1981)))=FALSE),INDIRECT(CONCATENATE($J1978,AB1981)),"")</f>
        <v/>
      </c>
      <c r="AD1981" s="494" t="s">
        <v>1736</v>
      </c>
      <c r="AE1981" s="547" t="str">
        <f t="shared" ca="1" si="329"/>
        <v/>
      </c>
    </row>
    <row r="1982" spans="1:31" ht="15" customHeight="1">
      <c r="A1982" s="957">
        <v>101</v>
      </c>
      <c r="B1982" s="566" t="s">
        <v>801</v>
      </c>
      <c r="C1982" s="567" t="s">
        <v>1730</v>
      </c>
      <c r="D1982" s="958">
        <v>1.2</v>
      </c>
      <c r="E1982" s="959" t="s">
        <v>306</v>
      </c>
      <c r="F1982" s="558" t="s">
        <v>1454</v>
      </c>
      <c r="G1982" s="558">
        <v>672</v>
      </c>
      <c r="H1982" s="558">
        <v>14.1</v>
      </c>
      <c r="I1982" s="559" t="s">
        <v>862</v>
      </c>
      <c r="J1982" s="567" t="s">
        <v>1731</v>
      </c>
      <c r="K1982" s="961" t="s">
        <v>1373</v>
      </c>
      <c r="L1982" s="555" t="str">
        <f t="shared" ca="1" si="326"/>
        <v/>
      </c>
      <c r="M1982" s="494" t="s">
        <v>1609</v>
      </c>
      <c r="N1982" s="555" t="str">
        <f t="shared" ca="1" si="327"/>
        <v/>
      </c>
      <c r="O1982" s="494" t="s">
        <v>1732</v>
      </c>
      <c r="P1982" s="555" t="str">
        <f t="shared" ca="1" si="328"/>
        <v/>
      </c>
      <c r="Q1982" s="494" t="s">
        <v>1733</v>
      </c>
      <c r="R1982" s="494" t="str">
        <f t="shared" si="331"/>
        <v>H1982</v>
      </c>
      <c r="S1982" s="494" t="s">
        <v>1734</v>
      </c>
      <c r="T1982" s="494">
        <v>7</v>
      </c>
      <c r="U1982" s="556" t="str">
        <f t="shared" ca="1" si="324"/>
        <v/>
      </c>
      <c r="V1982" s="494">
        <v>8</v>
      </c>
      <c r="W1982" s="556" t="str">
        <f t="shared" ca="1" si="325"/>
        <v/>
      </c>
      <c r="X1982" s="557"/>
      <c r="Y1982" s="958"/>
      <c r="Z1982" s="958"/>
      <c r="AA1982" s="958"/>
      <c r="AB1982" s="958" t="s">
        <v>1735</v>
      </c>
      <c r="AC1982" s="547" t="str">
        <f ca="1">IF(AND(INDIRECT(CONCATENATE($J1979,$K1979,"5"))=$B1979,ISBLANK(INDIRECT(CONCATENATE($J1979,AB1982)))=FALSE),INDIRECT(CONCATENATE($J1979,AB1982)),"")</f>
        <v/>
      </c>
      <c r="AD1982" s="494" t="s">
        <v>1736</v>
      </c>
      <c r="AE1982" s="547" t="str">
        <f t="shared" ca="1" si="329"/>
        <v/>
      </c>
    </row>
    <row r="1983" spans="1:31" ht="15" customHeight="1">
      <c r="A1983" s="957">
        <v>101</v>
      </c>
      <c r="B1983" s="566" t="s">
        <v>801</v>
      </c>
      <c r="C1983" s="567" t="s">
        <v>1730</v>
      </c>
      <c r="D1983" s="958">
        <v>1.2</v>
      </c>
      <c r="E1983" s="959" t="s">
        <v>306</v>
      </c>
      <c r="F1983" s="558" t="s">
        <v>1454</v>
      </c>
      <c r="G1983" s="558">
        <v>673</v>
      </c>
      <c r="H1983" s="558">
        <v>14.2</v>
      </c>
      <c r="I1983" s="559" t="s">
        <v>863</v>
      </c>
      <c r="J1983" s="567" t="s">
        <v>1731</v>
      </c>
      <c r="K1983" s="961" t="s">
        <v>1373</v>
      </c>
      <c r="L1983" s="555" t="str">
        <f t="shared" ca="1" si="326"/>
        <v/>
      </c>
      <c r="M1983" s="494" t="s">
        <v>1609</v>
      </c>
      <c r="N1983" s="555" t="str">
        <f t="shared" ca="1" si="327"/>
        <v/>
      </c>
      <c r="O1983" s="494" t="s">
        <v>1732</v>
      </c>
      <c r="P1983" s="555" t="str">
        <f t="shared" ca="1" si="328"/>
        <v/>
      </c>
      <c r="Q1983" s="494" t="s">
        <v>1733</v>
      </c>
      <c r="R1983" s="494" t="str">
        <f t="shared" si="331"/>
        <v>H1983</v>
      </c>
      <c r="S1983" s="494" t="s">
        <v>1734</v>
      </c>
      <c r="T1983" s="494">
        <v>7</v>
      </c>
      <c r="U1983" s="556" t="str">
        <f t="shared" ref="U1983:U2046" ca="1" si="332">IF(AND($B1983=INDIRECT(CONCATENATE($J1983,$K1983,5)),ISBLANK(INDEX(INDIRECT(CONCATENATE($J1983,$Q1983)),MATCH(INDIRECT($R1983),INDIRECT(CONCATENATE($J1983,$S1983)),0),T1983))=FALSE),INDEX(INDIRECT(CONCATENATE($J1983,$Q1983)),MATCH(INDIRECT($R1983),INDIRECT(CONCATENATE($J1983,$S1983)),0),T1983),"")</f>
        <v/>
      </c>
      <c r="V1983" s="494">
        <v>8</v>
      </c>
      <c r="W1983" s="556" t="str">
        <f t="shared" ref="W1983:W2046" ca="1" si="333">IF(AND($B1983=INDIRECT(CONCATENATE($J1983,$K1983,5)),ISBLANK(INDEX(INDIRECT(CONCATENATE($J1983,$Q1983)),MATCH(INDIRECT($R1983),INDIRECT(CONCATENATE($J1983,$S1983)),0),V1983))=FALSE),INDEX(INDIRECT(CONCATENATE($J1983,$Q1983)),MATCH(INDIRECT($R1983),INDIRECT(CONCATENATE($J1983,$S1983)),0),V1983),"")</f>
        <v/>
      </c>
      <c r="X1983" s="557"/>
      <c r="Y1983" s="958"/>
      <c r="Z1983" s="958"/>
      <c r="AA1983" s="958"/>
      <c r="AB1983" s="958" t="s">
        <v>1735</v>
      </c>
      <c r="AC1983" s="547" t="str">
        <f ca="1">IF(AND(INDIRECT(CONCATENATE($J1980,$K1980,"5"))=$B1980,ISBLANK(INDIRECT(CONCATENATE($J1980,AB1983)))=FALSE),INDIRECT(CONCATENATE($J1980,AB1983)),"")</f>
        <v/>
      </c>
      <c r="AD1983" s="494" t="s">
        <v>1736</v>
      </c>
      <c r="AE1983" s="547" t="str">
        <f t="shared" ca="1" si="329"/>
        <v/>
      </c>
    </row>
    <row r="1984" spans="1:31" ht="15" customHeight="1">
      <c r="A1984" s="957">
        <v>101</v>
      </c>
      <c r="B1984" s="566" t="s">
        <v>801</v>
      </c>
      <c r="C1984" s="567" t="s">
        <v>1730</v>
      </c>
      <c r="D1984" s="958">
        <v>1.2</v>
      </c>
      <c r="E1984" s="959" t="s">
        <v>335</v>
      </c>
      <c r="F1984" s="558" t="s">
        <v>1455</v>
      </c>
      <c r="G1984" s="558">
        <v>674</v>
      </c>
      <c r="H1984" s="558" t="s">
        <v>865</v>
      </c>
      <c r="I1984" s="559" t="s">
        <v>866</v>
      </c>
      <c r="J1984" s="567" t="s">
        <v>1731</v>
      </c>
      <c r="K1984" s="961" t="s">
        <v>1373</v>
      </c>
      <c r="L1984" s="555" t="str">
        <f t="shared" ca="1" si="326"/>
        <v/>
      </c>
      <c r="M1984" s="494" t="s">
        <v>1609</v>
      </c>
      <c r="N1984" s="555" t="str">
        <f t="shared" ca="1" si="327"/>
        <v/>
      </c>
      <c r="O1984" s="494" t="s">
        <v>1732</v>
      </c>
      <c r="P1984" s="555" t="str">
        <f t="shared" ca="1" si="328"/>
        <v/>
      </c>
      <c r="Q1984" s="494" t="s">
        <v>1733</v>
      </c>
      <c r="R1984" s="494" t="str">
        <f t="shared" si="331"/>
        <v>H1984</v>
      </c>
      <c r="S1984" s="494" t="s">
        <v>1734</v>
      </c>
      <c r="T1984" s="494">
        <v>7</v>
      </c>
      <c r="U1984" s="556" t="str">
        <f t="shared" ca="1" si="332"/>
        <v/>
      </c>
      <c r="V1984" s="494">
        <v>8</v>
      </c>
      <c r="W1984" s="556" t="str">
        <f t="shared" ca="1" si="333"/>
        <v/>
      </c>
      <c r="X1984" s="557"/>
      <c r="Y1984" s="958"/>
      <c r="Z1984" s="958"/>
      <c r="AA1984" s="958"/>
      <c r="AB1984" s="958" t="s">
        <v>1735</v>
      </c>
      <c r="AC1984" s="547" t="str">
        <f t="shared" ref="AC1984:AC1996" ca="1" si="334">IF(AND(INDIRECT(CONCATENATE($J1984,$K1984,"5"))=$B1984,ISBLANK(INDIRECT(CONCATENATE($J1984,AB1984)))=FALSE),INDIRECT(CONCATENATE($J1984,AB1984)),"")</f>
        <v/>
      </c>
      <c r="AD1984" s="494" t="s">
        <v>1736</v>
      </c>
      <c r="AE1984" s="547" t="str">
        <f t="shared" ca="1" si="329"/>
        <v/>
      </c>
    </row>
    <row r="1985" spans="1:31" ht="15" customHeight="1">
      <c r="A1985" s="957">
        <v>101</v>
      </c>
      <c r="B1985" s="566" t="s">
        <v>801</v>
      </c>
      <c r="C1985" s="567" t="s">
        <v>1730</v>
      </c>
      <c r="D1985" s="958">
        <v>1.2</v>
      </c>
      <c r="E1985" s="959" t="s">
        <v>335</v>
      </c>
      <c r="F1985" s="558" t="s">
        <v>1455</v>
      </c>
      <c r="G1985" s="558">
        <v>674</v>
      </c>
      <c r="H1985" s="558" t="s">
        <v>868</v>
      </c>
      <c r="I1985" s="559" t="s">
        <v>1742</v>
      </c>
      <c r="J1985" s="567" t="s">
        <v>1731</v>
      </c>
      <c r="K1985" s="961" t="s">
        <v>1373</v>
      </c>
      <c r="L1985" s="555" t="str">
        <f t="shared" ca="1" si="326"/>
        <v/>
      </c>
      <c r="M1985" s="494" t="s">
        <v>1609</v>
      </c>
      <c r="N1985" s="555" t="str">
        <f t="shared" ca="1" si="327"/>
        <v/>
      </c>
      <c r="O1985" s="494" t="s">
        <v>1732</v>
      </c>
      <c r="P1985" s="555" t="str">
        <f t="shared" ca="1" si="328"/>
        <v/>
      </c>
      <c r="Q1985" s="494" t="s">
        <v>1733</v>
      </c>
      <c r="R1985" s="494" t="str">
        <f t="shared" si="331"/>
        <v>H1985</v>
      </c>
      <c r="S1985" s="494" t="s">
        <v>1734</v>
      </c>
      <c r="T1985" s="494">
        <v>7</v>
      </c>
      <c r="U1985" s="556" t="str">
        <f t="shared" ca="1" si="332"/>
        <v/>
      </c>
      <c r="V1985" s="494">
        <v>8</v>
      </c>
      <c r="W1985" s="556" t="str">
        <f t="shared" ca="1" si="333"/>
        <v/>
      </c>
      <c r="X1985" s="557"/>
      <c r="Y1985" s="958"/>
      <c r="Z1985" s="958"/>
      <c r="AA1985" s="958"/>
      <c r="AB1985" s="958" t="s">
        <v>1735</v>
      </c>
      <c r="AC1985" s="547" t="str">
        <f t="shared" ca="1" si="334"/>
        <v/>
      </c>
      <c r="AD1985" s="494" t="s">
        <v>1736</v>
      </c>
      <c r="AE1985" s="547" t="str">
        <f t="shared" ca="1" si="329"/>
        <v/>
      </c>
    </row>
    <row r="1986" spans="1:31" ht="15" customHeight="1">
      <c r="A1986" s="957">
        <v>101</v>
      </c>
      <c r="B1986" s="566" t="s">
        <v>801</v>
      </c>
      <c r="C1986" s="567" t="s">
        <v>1730</v>
      </c>
      <c r="D1986" s="958">
        <v>1.2</v>
      </c>
      <c r="E1986" s="959" t="s">
        <v>335</v>
      </c>
      <c r="F1986" s="558" t="s">
        <v>1455</v>
      </c>
      <c r="G1986" s="558">
        <v>674</v>
      </c>
      <c r="H1986" s="558" t="s">
        <v>29</v>
      </c>
      <c r="I1986" s="559" t="s">
        <v>869</v>
      </c>
      <c r="J1986" s="567" t="s">
        <v>1731</v>
      </c>
      <c r="K1986" s="961" t="s">
        <v>1373</v>
      </c>
      <c r="L1986" s="555" t="str">
        <f t="shared" ref="L1986:L2049" ca="1" si="335">IF(AND(INDIRECT(CONCATENATE($J1986,$K1986,5))=$B1986,ISNUMBER(SEARCH("Please",INDIRECT(CONCATENATE($J1986,$K1986,2)),1))=FALSE),SUMPRODUCT(MID(0&amp;INDIRECT(CONCATENATE($J1986,$K1986,2)), LARGE(INDEX(ISNUMBER(--MID(INDIRECT(CONCATENATE($J1986,$K1986,2)), ROW(INDIRECT("1:"&amp;LEN(INDIRECT(CONCATENATE($J1986,$K1986,2))))),1))*ROW(INDIRECT("1:"&amp;LEN(INDIRECT(CONCATENATE($J1986,$K1986,2))))),0), ROW(INDIRECT("1:"&amp;LEN(INDIRECT(CONCATENATE($J1986,$K1986,2))))))+1,1)*10^ROW(INDIRECT("1:"&amp;LEN(INDIRECT(CONCATENATE($J1986,$K1986,2)))))/10),"")</f>
        <v/>
      </c>
      <c r="M1986" s="494" t="s">
        <v>1609</v>
      </c>
      <c r="N1986" s="555" t="str">
        <f t="shared" ca="1" si="327"/>
        <v/>
      </c>
      <c r="O1986" s="494" t="s">
        <v>1732</v>
      </c>
      <c r="P1986" s="555" t="str">
        <f t="shared" ca="1" si="328"/>
        <v/>
      </c>
      <c r="Q1986" s="494" t="s">
        <v>1733</v>
      </c>
      <c r="R1986" s="494" t="str">
        <f t="shared" si="331"/>
        <v>H1986</v>
      </c>
      <c r="S1986" s="494" t="s">
        <v>1734</v>
      </c>
      <c r="T1986" s="494">
        <v>7</v>
      </c>
      <c r="U1986" s="556" t="str">
        <f t="shared" ca="1" si="332"/>
        <v/>
      </c>
      <c r="V1986" s="494">
        <v>8</v>
      </c>
      <c r="W1986" s="556" t="str">
        <f t="shared" ca="1" si="333"/>
        <v/>
      </c>
      <c r="X1986" s="557"/>
      <c r="Y1986" s="958"/>
      <c r="Z1986" s="958"/>
      <c r="AA1986" s="958"/>
      <c r="AB1986" s="958" t="s">
        <v>1735</v>
      </c>
      <c r="AC1986" s="547" t="str">
        <f t="shared" ca="1" si="334"/>
        <v/>
      </c>
      <c r="AD1986" s="494" t="s">
        <v>1736</v>
      </c>
      <c r="AE1986" s="547" t="str">
        <f t="shared" ca="1" si="329"/>
        <v/>
      </c>
    </row>
    <row r="1987" spans="1:31" ht="15" customHeight="1">
      <c r="A1987" s="957">
        <v>101</v>
      </c>
      <c r="B1987" s="566" t="s">
        <v>801</v>
      </c>
      <c r="C1987" s="567" t="s">
        <v>1730</v>
      </c>
      <c r="D1987" s="958">
        <v>1.2</v>
      </c>
      <c r="E1987" s="959" t="s">
        <v>335</v>
      </c>
      <c r="F1987" s="558" t="s">
        <v>1455</v>
      </c>
      <c r="G1987" s="558">
        <v>674</v>
      </c>
      <c r="H1987" s="558" t="s">
        <v>871</v>
      </c>
      <c r="I1987" s="559" t="s">
        <v>872</v>
      </c>
      <c r="J1987" s="567" t="s">
        <v>1731</v>
      </c>
      <c r="K1987" s="961" t="s">
        <v>1373</v>
      </c>
      <c r="L1987" s="555" t="str">
        <f t="shared" ca="1" si="335"/>
        <v/>
      </c>
      <c r="M1987" s="494" t="s">
        <v>1609</v>
      </c>
      <c r="N1987" s="555" t="str">
        <f t="shared" ca="1" si="327"/>
        <v/>
      </c>
      <c r="O1987" s="494" t="s">
        <v>1732</v>
      </c>
      <c r="P1987" s="555" t="str">
        <f t="shared" ca="1" si="328"/>
        <v/>
      </c>
      <c r="Q1987" s="494" t="s">
        <v>1733</v>
      </c>
      <c r="R1987" s="494" t="str">
        <f t="shared" si="331"/>
        <v>H1987</v>
      </c>
      <c r="S1987" s="494" t="s">
        <v>1734</v>
      </c>
      <c r="T1987" s="494">
        <v>7</v>
      </c>
      <c r="U1987" s="556" t="str">
        <f t="shared" ca="1" si="332"/>
        <v/>
      </c>
      <c r="V1987" s="494">
        <v>8</v>
      </c>
      <c r="W1987" s="556" t="str">
        <f t="shared" ca="1" si="333"/>
        <v/>
      </c>
      <c r="X1987" s="557"/>
      <c r="Y1987" s="958"/>
      <c r="Z1987" s="958"/>
      <c r="AA1987" s="958"/>
      <c r="AB1987" s="958" t="s">
        <v>1735</v>
      </c>
      <c r="AC1987" s="547" t="str">
        <f t="shared" ca="1" si="334"/>
        <v/>
      </c>
      <c r="AD1987" s="494" t="s">
        <v>1736</v>
      </c>
      <c r="AE1987" s="547" t="str">
        <f t="shared" ca="1" si="329"/>
        <v/>
      </c>
    </row>
    <row r="1988" spans="1:31" ht="15" customHeight="1">
      <c r="A1988" s="957">
        <v>101</v>
      </c>
      <c r="B1988" s="566" t="s">
        <v>801</v>
      </c>
      <c r="C1988" s="567" t="s">
        <v>1730</v>
      </c>
      <c r="D1988" s="958">
        <v>1.2</v>
      </c>
      <c r="E1988" s="959" t="s">
        <v>335</v>
      </c>
      <c r="F1988" s="558" t="s">
        <v>1455</v>
      </c>
      <c r="G1988" s="558">
        <v>678</v>
      </c>
      <c r="H1988" s="558" t="s">
        <v>341</v>
      </c>
      <c r="I1988" s="559" t="s">
        <v>876</v>
      </c>
      <c r="J1988" s="567" t="s">
        <v>1731</v>
      </c>
      <c r="K1988" s="961" t="s">
        <v>1373</v>
      </c>
      <c r="L1988" s="555" t="str">
        <f t="shared" ca="1" si="335"/>
        <v/>
      </c>
      <c r="M1988" s="494" t="s">
        <v>1609</v>
      </c>
      <c r="N1988" s="555" t="str">
        <f t="shared" ca="1" si="327"/>
        <v/>
      </c>
      <c r="O1988" s="494" t="s">
        <v>1732</v>
      </c>
      <c r="P1988" s="555" t="str">
        <f t="shared" ca="1" si="328"/>
        <v/>
      </c>
      <c r="Q1988" s="494" t="s">
        <v>1733</v>
      </c>
      <c r="R1988" s="494" t="str">
        <f t="shared" si="331"/>
        <v>H1988</v>
      </c>
      <c r="S1988" s="494" t="s">
        <v>1734</v>
      </c>
      <c r="T1988" s="494">
        <v>7</v>
      </c>
      <c r="U1988" s="556" t="str">
        <f t="shared" ca="1" si="332"/>
        <v/>
      </c>
      <c r="V1988" s="494">
        <v>8</v>
      </c>
      <c r="W1988" s="556" t="str">
        <f t="shared" ca="1" si="333"/>
        <v/>
      </c>
      <c r="X1988" s="557"/>
      <c r="Y1988" s="958"/>
      <c r="Z1988" s="958"/>
      <c r="AA1988" s="958"/>
      <c r="AB1988" s="958" t="s">
        <v>1735</v>
      </c>
      <c r="AC1988" s="547" t="str">
        <f t="shared" ca="1" si="334"/>
        <v/>
      </c>
      <c r="AD1988" s="494" t="s">
        <v>1736</v>
      </c>
      <c r="AE1988" s="547" t="str">
        <f t="shared" ca="1" si="329"/>
        <v/>
      </c>
    </row>
    <row r="1989" spans="1:31" ht="15" customHeight="1">
      <c r="A1989" s="957">
        <v>101</v>
      </c>
      <c r="B1989" s="566" t="s">
        <v>801</v>
      </c>
      <c r="C1989" s="567" t="s">
        <v>1730</v>
      </c>
      <c r="D1989" s="958">
        <v>1.2</v>
      </c>
      <c r="E1989" s="959" t="s">
        <v>335</v>
      </c>
      <c r="F1989" s="558" t="s">
        <v>1455</v>
      </c>
      <c r="G1989" s="558">
        <v>678</v>
      </c>
      <c r="H1989" s="558" t="s">
        <v>343</v>
      </c>
      <c r="I1989" s="559" t="s">
        <v>877</v>
      </c>
      <c r="J1989" s="567" t="s">
        <v>1731</v>
      </c>
      <c r="K1989" s="961" t="s">
        <v>1373</v>
      </c>
      <c r="L1989" s="555" t="str">
        <f t="shared" ca="1" si="335"/>
        <v/>
      </c>
      <c r="M1989" s="494" t="s">
        <v>1609</v>
      </c>
      <c r="N1989" s="555" t="str">
        <f t="shared" ref="N1989:N2025" ca="1" si="336">IF(AND(INDIRECT(CONCATENATE($J1989,$K1989,5))=$B1989,ISNUMBER(SEARCH("Select",INDIRECT(CONCATENATE($J1989,$M1989,7)),1))=FALSE),INDIRECT(CONCATENATE($J1989,$M1989,7)),"")</f>
        <v/>
      </c>
      <c r="O1989" s="494" t="s">
        <v>1732</v>
      </c>
      <c r="P1989" s="555" t="str">
        <f t="shared" ref="P1989:P2025" ca="1" si="337">IF(AND(INDIRECT(CONCATENATE($J1989,$K1989,5))=$B1989,ISNUMBER(SEARCH("Select",INDIRECT(CONCATENATE($J1989,$O1989,7)),1))=FALSE),INDIRECT(CONCATENATE($J1989,$O1989,7)),"")</f>
        <v/>
      </c>
      <c r="Q1989" s="494" t="s">
        <v>1733</v>
      </c>
      <c r="R1989" s="494" t="str">
        <f t="shared" si="331"/>
        <v>H1989</v>
      </c>
      <c r="S1989" s="494" t="s">
        <v>1734</v>
      </c>
      <c r="T1989" s="494">
        <v>7</v>
      </c>
      <c r="U1989" s="556" t="str">
        <f t="shared" ca="1" si="332"/>
        <v/>
      </c>
      <c r="V1989" s="494">
        <v>8</v>
      </c>
      <c r="W1989" s="556" t="str">
        <f t="shared" ca="1" si="333"/>
        <v/>
      </c>
      <c r="X1989" s="557"/>
      <c r="Y1989" s="958"/>
      <c r="Z1989" s="958"/>
      <c r="AA1989" s="958"/>
      <c r="AB1989" s="958" t="s">
        <v>1735</v>
      </c>
      <c r="AC1989" s="547" t="str">
        <f t="shared" ca="1" si="334"/>
        <v/>
      </c>
      <c r="AD1989" s="494" t="s">
        <v>1736</v>
      </c>
      <c r="AE1989" s="547" t="str">
        <f t="shared" ref="AE1989:AE2025" ca="1" si="338">IF(AND(INDIRECT(CONCATENATE($J1989,$K1989,"5"))=$B1989,ISBLANK(INDIRECT(CONCATENATE($J1989,AD1989)))=FALSE),INDIRECT(CONCATENATE($J1989,AD1989)),"")</f>
        <v/>
      </c>
    </row>
    <row r="1990" spans="1:31" ht="15" customHeight="1">
      <c r="A1990" s="957">
        <v>101</v>
      </c>
      <c r="B1990" s="566" t="s">
        <v>801</v>
      </c>
      <c r="C1990" s="567" t="s">
        <v>1730</v>
      </c>
      <c r="D1990" s="958">
        <v>1.2</v>
      </c>
      <c r="E1990" s="959" t="s">
        <v>335</v>
      </c>
      <c r="F1990" s="558" t="s">
        <v>1455</v>
      </c>
      <c r="G1990" s="558">
        <v>678</v>
      </c>
      <c r="H1990" s="558" t="s">
        <v>1743</v>
      </c>
      <c r="I1990" s="559" t="s">
        <v>1744</v>
      </c>
      <c r="J1990" s="567" t="s">
        <v>1731</v>
      </c>
      <c r="K1990" s="961" t="s">
        <v>1373</v>
      </c>
      <c r="L1990" s="555" t="str">
        <f t="shared" ca="1" si="335"/>
        <v/>
      </c>
      <c r="M1990" s="494" t="s">
        <v>1609</v>
      </c>
      <c r="N1990" s="555" t="str">
        <f t="shared" ca="1" si="336"/>
        <v/>
      </c>
      <c r="O1990" s="494" t="s">
        <v>1732</v>
      </c>
      <c r="P1990" s="555" t="str">
        <f t="shared" ca="1" si="337"/>
        <v/>
      </c>
      <c r="Q1990" s="494" t="s">
        <v>1733</v>
      </c>
      <c r="R1990" s="494" t="str">
        <f t="shared" si="331"/>
        <v>H1990</v>
      </c>
      <c r="S1990" s="494" t="s">
        <v>1734</v>
      </c>
      <c r="T1990" s="494">
        <v>7</v>
      </c>
      <c r="U1990" s="556" t="str">
        <f t="shared" ca="1" si="332"/>
        <v/>
      </c>
      <c r="V1990" s="494">
        <v>8</v>
      </c>
      <c r="W1990" s="556" t="str">
        <f t="shared" ca="1" si="333"/>
        <v/>
      </c>
      <c r="X1990" s="557"/>
      <c r="Y1990" s="958"/>
      <c r="Z1990" s="958"/>
      <c r="AA1990" s="958"/>
      <c r="AB1990" s="958" t="s">
        <v>1735</v>
      </c>
      <c r="AC1990" s="547" t="str">
        <f t="shared" ca="1" si="334"/>
        <v/>
      </c>
      <c r="AD1990" s="494" t="s">
        <v>1736</v>
      </c>
      <c r="AE1990" s="547" t="str">
        <f t="shared" ca="1" si="338"/>
        <v/>
      </c>
    </row>
    <row r="1991" spans="1:31" ht="15" customHeight="1">
      <c r="A1991" s="957">
        <v>101</v>
      </c>
      <c r="B1991" s="566" t="s">
        <v>801</v>
      </c>
      <c r="C1991" s="567" t="s">
        <v>1730</v>
      </c>
      <c r="D1991" s="958">
        <v>1.2</v>
      </c>
      <c r="E1991" s="959" t="s">
        <v>345</v>
      </c>
      <c r="F1991" s="558" t="s">
        <v>1484</v>
      </c>
      <c r="G1991" s="558">
        <v>680</v>
      </c>
      <c r="H1991" s="558">
        <v>17.100000000000001</v>
      </c>
      <c r="I1991" s="559" t="s">
        <v>881</v>
      </c>
      <c r="J1991" s="567" t="s">
        <v>1731</v>
      </c>
      <c r="K1991" s="961" t="s">
        <v>1373</v>
      </c>
      <c r="L1991" s="555" t="str">
        <f t="shared" ca="1" si="335"/>
        <v/>
      </c>
      <c r="M1991" s="494" t="s">
        <v>1609</v>
      </c>
      <c r="N1991" s="555" t="str">
        <f t="shared" ca="1" si="336"/>
        <v/>
      </c>
      <c r="O1991" s="494" t="s">
        <v>1732</v>
      </c>
      <c r="P1991" s="555" t="str">
        <f t="shared" ca="1" si="337"/>
        <v/>
      </c>
      <c r="Q1991" s="494" t="s">
        <v>1733</v>
      </c>
      <c r="R1991" s="494" t="str">
        <f t="shared" si="331"/>
        <v>H1991</v>
      </c>
      <c r="S1991" s="494" t="s">
        <v>1734</v>
      </c>
      <c r="T1991" s="494">
        <v>7</v>
      </c>
      <c r="U1991" s="556" t="str">
        <f t="shared" ca="1" si="332"/>
        <v/>
      </c>
      <c r="V1991" s="494">
        <v>8</v>
      </c>
      <c r="W1991" s="556" t="str">
        <f t="shared" ca="1" si="333"/>
        <v/>
      </c>
      <c r="X1991" s="557"/>
      <c r="Y1991" s="958"/>
      <c r="Z1991" s="958"/>
      <c r="AA1991" s="958"/>
      <c r="AB1991" s="958" t="s">
        <v>1735</v>
      </c>
      <c r="AC1991" s="547" t="str">
        <f t="shared" ca="1" si="334"/>
        <v/>
      </c>
      <c r="AD1991" s="494" t="s">
        <v>1736</v>
      </c>
      <c r="AE1991" s="547" t="str">
        <f t="shared" ca="1" si="338"/>
        <v/>
      </c>
    </row>
    <row r="1992" spans="1:31" ht="15" customHeight="1">
      <c r="A1992" s="957">
        <v>101</v>
      </c>
      <c r="B1992" s="566" t="s">
        <v>801</v>
      </c>
      <c r="C1992" s="567" t="s">
        <v>1730</v>
      </c>
      <c r="D1992" s="958">
        <v>1.2</v>
      </c>
      <c r="E1992" s="959" t="s">
        <v>345</v>
      </c>
      <c r="F1992" s="558" t="s">
        <v>1484</v>
      </c>
      <c r="G1992" s="558">
        <v>681</v>
      </c>
      <c r="H1992" s="558">
        <v>17.2</v>
      </c>
      <c r="I1992" s="559" t="s">
        <v>882</v>
      </c>
      <c r="J1992" s="567" t="s">
        <v>1731</v>
      </c>
      <c r="K1992" s="961" t="s">
        <v>1373</v>
      </c>
      <c r="L1992" s="555" t="str">
        <f t="shared" ca="1" si="335"/>
        <v/>
      </c>
      <c r="M1992" s="494" t="s">
        <v>1609</v>
      </c>
      <c r="N1992" s="555" t="str">
        <f t="shared" ca="1" si="336"/>
        <v/>
      </c>
      <c r="O1992" s="494" t="s">
        <v>1732</v>
      </c>
      <c r="P1992" s="555" t="str">
        <f t="shared" ca="1" si="337"/>
        <v/>
      </c>
      <c r="Q1992" s="494" t="s">
        <v>1733</v>
      </c>
      <c r="R1992" s="494" t="str">
        <f t="shared" si="331"/>
        <v>H1992</v>
      </c>
      <c r="S1992" s="494" t="s">
        <v>1734</v>
      </c>
      <c r="T1992" s="494">
        <v>7</v>
      </c>
      <c r="U1992" s="556" t="str">
        <f t="shared" ca="1" si="332"/>
        <v/>
      </c>
      <c r="V1992" s="494">
        <v>8</v>
      </c>
      <c r="W1992" s="556" t="str">
        <f t="shared" ca="1" si="333"/>
        <v/>
      </c>
      <c r="X1992" s="557"/>
      <c r="Y1992" s="958"/>
      <c r="Z1992" s="958"/>
      <c r="AA1992" s="958"/>
      <c r="AB1992" s="958" t="s">
        <v>1735</v>
      </c>
      <c r="AC1992" s="547" t="str">
        <f t="shared" ca="1" si="334"/>
        <v/>
      </c>
      <c r="AD1992" s="494" t="s">
        <v>1736</v>
      </c>
      <c r="AE1992" s="547" t="str">
        <f t="shared" ca="1" si="338"/>
        <v/>
      </c>
    </row>
    <row r="1993" spans="1:31" ht="15" customHeight="1">
      <c r="A1993" s="957">
        <v>101</v>
      </c>
      <c r="B1993" s="566" t="s">
        <v>801</v>
      </c>
      <c r="C1993" s="567" t="s">
        <v>1730</v>
      </c>
      <c r="D1993" s="958">
        <v>1.2</v>
      </c>
      <c r="E1993" s="959" t="s">
        <v>345</v>
      </c>
      <c r="F1993" s="558" t="s">
        <v>1484</v>
      </c>
      <c r="G1993" s="558">
        <v>682</v>
      </c>
      <c r="H1993" s="558">
        <v>17.3</v>
      </c>
      <c r="I1993" s="559" t="s">
        <v>883</v>
      </c>
      <c r="J1993" s="567" t="s">
        <v>1731</v>
      </c>
      <c r="K1993" s="961" t="s">
        <v>1373</v>
      </c>
      <c r="L1993" s="555" t="str">
        <f t="shared" ca="1" si="335"/>
        <v/>
      </c>
      <c r="M1993" s="494" t="s">
        <v>1609</v>
      </c>
      <c r="N1993" s="555" t="str">
        <f t="shared" ca="1" si="336"/>
        <v/>
      </c>
      <c r="O1993" s="494" t="s">
        <v>1732</v>
      </c>
      <c r="P1993" s="555" t="str">
        <f t="shared" ca="1" si="337"/>
        <v/>
      </c>
      <c r="Q1993" s="494" t="s">
        <v>1733</v>
      </c>
      <c r="R1993" s="494" t="str">
        <f t="shared" si="331"/>
        <v>H1993</v>
      </c>
      <c r="S1993" s="494" t="s">
        <v>1734</v>
      </c>
      <c r="T1993" s="494">
        <v>7</v>
      </c>
      <c r="U1993" s="556" t="str">
        <f t="shared" ca="1" si="332"/>
        <v/>
      </c>
      <c r="V1993" s="494">
        <v>8</v>
      </c>
      <c r="W1993" s="556" t="str">
        <f t="shared" ca="1" si="333"/>
        <v/>
      </c>
      <c r="X1993" s="557"/>
      <c r="Y1993" s="958"/>
      <c r="Z1993" s="958"/>
      <c r="AA1993" s="958"/>
      <c r="AB1993" s="958" t="s">
        <v>1735</v>
      </c>
      <c r="AC1993" s="547" t="str">
        <f t="shared" ca="1" si="334"/>
        <v/>
      </c>
      <c r="AD1993" s="494" t="s">
        <v>1736</v>
      </c>
      <c r="AE1993" s="547" t="str">
        <f t="shared" ca="1" si="338"/>
        <v/>
      </c>
    </row>
    <row r="1994" spans="1:31" ht="15" customHeight="1">
      <c r="A1994" s="957">
        <v>101</v>
      </c>
      <c r="B1994" s="566" t="s">
        <v>801</v>
      </c>
      <c r="C1994" s="567" t="s">
        <v>1730</v>
      </c>
      <c r="D1994" s="958">
        <v>1.2</v>
      </c>
      <c r="E1994" s="959" t="s">
        <v>345</v>
      </c>
      <c r="F1994" s="558" t="s">
        <v>1484</v>
      </c>
      <c r="G1994" s="558">
        <v>683</v>
      </c>
      <c r="H1994" s="558">
        <v>17.399999999999999</v>
      </c>
      <c r="I1994" s="559" t="s">
        <v>884</v>
      </c>
      <c r="J1994" s="567" t="s">
        <v>1731</v>
      </c>
      <c r="K1994" s="961" t="s">
        <v>1373</v>
      </c>
      <c r="L1994" s="555" t="str">
        <f t="shared" ca="1" si="335"/>
        <v/>
      </c>
      <c r="M1994" s="494" t="s">
        <v>1609</v>
      </c>
      <c r="N1994" s="555" t="str">
        <f t="shared" ca="1" si="336"/>
        <v/>
      </c>
      <c r="O1994" s="494" t="s">
        <v>1732</v>
      </c>
      <c r="P1994" s="555" t="str">
        <f t="shared" ca="1" si="337"/>
        <v/>
      </c>
      <c r="Q1994" s="494" t="s">
        <v>1733</v>
      </c>
      <c r="R1994" s="494" t="str">
        <f t="shared" si="331"/>
        <v>H1994</v>
      </c>
      <c r="S1994" s="494" t="s">
        <v>1734</v>
      </c>
      <c r="T1994" s="494">
        <v>7</v>
      </c>
      <c r="U1994" s="556" t="str">
        <f t="shared" ca="1" si="332"/>
        <v/>
      </c>
      <c r="V1994" s="494">
        <v>8</v>
      </c>
      <c r="W1994" s="556" t="str">
        <f t="shared" ca="1" si="333"/>
        <v/>
      </c>
      <c r="X1994" s="557"/>
      <c r="Y1994" s="958"/>
      <c r="Z1994" s="958"/>
      <c r="AA1994" s="958"/>
      <c r="AB1994" s="958" t="s">
        <v>1735</v>
      </c>
      <c r="AC1994" s="547" t="str">
        <f t="shared" ca="1" si="334"/>
        <v/>
      </c>
      <c r="AD1994" s="494" t="s">
        <v>1736</v>
      </c>
      <c r="AE1994" s="547" t="str">
        <f t="shared" ca="1" si="338"/>
        <v/>
      </c>
    </row>
    <row r="1995" spans="1:31" ht="15" customHeight="1">
      <c r="A1995" s="957">
        <v>101</v>
      </c>
      <c r="B1995" s="566" t="s">
        <v>801</v>
      </c>
      <c r="C1995" s="567" t="s">
        <v>1730</v>
      </c>
      <c r="D1995" s="958">
        <v>1.2</v>
      </c>
      <c r="E1995" s="959" t="s">
        <v>345</v>
      </c>
      <c r="F1995" s="558" t="s">
        <v>1484</v>
      </c>
      <c r="G1995" s="558">
        <v>684</v>
      </c>
      <c r="H1995" s="558">
        <v>18.100000000000001</v>
      </c>
      <c r="I1995" s="559" t="s">
        <v>887</v>
      </c>
      <c r="J1995" s="567" t="s">
        <v>1731</v>
      </c>
      <c r="K1995" s="961" t="s">
        <v>1373</v>
      </c>
      <c r="L1995" s="555" t="str">
        <f t="shared" ca="1" si="335"/>
        <v/>
      </c>
      <c r="M1995" s="494" t="s">
        <v>1609</v>
      </c>
      <c r="N1995" s="555" t="str">
        <f t="shared" ca="1" si="336"/>
        <v/>
      </c>
      <c r="O1995" s="494" t="s">
        <v>1732</v>
      </c>
      <c r="P1995" s="555" t="str">
        <f t="shared" ca="1" si="337"/>
        <v/>
      </c>
      <c r="Q1995" s="494" t="s">
        <v>1733</v>
      </c>
      <c r="R1995" s="494" t="str">
        <f t="shared" si="331"/>
        <v>H1995</v>
      </c>
      <c r="S1995" s="494" t="s">
        <v>1734</v>
      </c>
      <c r="T1995" s="494">
        <v>7</v>
      </c>
      <c r="U1995" s="556" t="str">
        <f t="shared" ca="1" si="332"/>
        <v/>
      </c>
      <c r="V1995" s="494">
        <v>8</v>
      </c>
      <c r="W1995" s="556" t="str">
        <f t="shared" ca="1" si="333"/>
        <v/>
      </c>
      <c r="X1995" s="557"/>
      <c r="Y1995" s="958"/>
      <c r="Z1995" s="958"/>
      <c r="AA1995" s="958"/>
      <c r="AB1995" s="958" t="s">
        <v>1735</v>
      </c>
      <c r="AC1995" s="547" t="str">
        <f t="shared" ca="1" si="334"/>
        <v/>
      </c>
      <c r="AD1995" s="494" t="s">
        <v>1736</v>
      </c>
      <c r="AE1995" s="547" t="str">
        <f t="shared" ca="1" si="338"/>
        <v/>
      </c>
    </row>
    <row r="1996" spans="1:31" ht="15" customHeight="1">
      <c r="A1996" s="957">
        <v>101</v>
      </c>
      <c r="B1996" s="566" t="s">
        <v>801</v>
      </c>
      <c r="C1996" s="567" t="s">
        <v>1730</v>
      </c>
      <c r="D1996" s="958">
        <v>1.2</v>
      </c>
      <c r="E1996" s="959" t="s">
        <v>345</v>
      </c>
      <c r="F1996" s="558" t="s">
        <v>1484</v>
      </c>
      <c r="G1996" s="558">
        <v>685</v>
      </c>
      <c r="H1996" s="558">
        <v>18.2</v>
      </c>
      <c r="I1996" s="559" t="s">
        <v>888</v>
      </c>
      <c r="J1996" s="567" t="s">
        <v>1731</v>
      </c>
      <c r="K1996" s="961" t="s">
        <v>1373</v>
      </c>
      <c r="L1996" s="555" t="str">
        <f t="shared" ca="1" si="335"/>
        <v/>
      </c>
      <c r="M1996" s="494" t="s">
        <v>1609</v>
      </c>
      <c r="N1996" s="555" t="str">
        <f t="shared" ca="1" si="336"/>
        <v/>
      </c>
      <c r="O1996" s="494" t="s">
        <v>1732</v>
      </c>
      <c r="P1996" s="555" t="str">
        <f t="shared" ca="1" si="337"/>
        <v/>
      </c>
      <c r="Q1996" s="494" t="s">
        <v>1733</v>
      </c>
      <c r="R1996" s="494" t="str">
        <f t="shared" si="331"/>
        <v>H1996</v>
      </c>
      <c r="S1996" s="494" t="s">
        <v>1734</v>
      </c>
      <c r="T1996" s="494">
        <v>7</v>
      </c>
      <c r="U1996" s="556" t="str">
        <f t="shared" ca="1" si="332"/>
        <v/>
      </c>
      <c r="V1996" s="494">
        <v>8</v>
      </c>
      <c r="W1996" s="556" t="str">
        <f t="shared" ca="1" si="333"/>
        <v/>
      </c>
      <c r="X1996" s="557"/>
      <c r="Y1996" s="958"/>
      <c r="Z1996" s="958"/>
      <c r="AA1996" s="958"/>
      <c r="AB1996" s="958" t="s">
        <v>1735</v>
      </c>
      <c r="AC1996" s="547" t="str">
        <f t="shared" ca="1" si="334"/>
        <v/>
      </c>
      <c r="AD1996" s="494" t="s">
        <v>1736</v>
      </c>
      <c r="AE1996" s="547" t="str">
        <f t="shared" ca="1" si="338"/>
        <v/>
      </c>
    </row>
    <row r="1997" spans="1:31" ht="15" customHeight="1">
      <c r="A1997" s="957">
        <v>101</v>
      </c>
      <c r="B1997" s="566" t="s">
        <v>801</v>
      </c>
      <c r="C1997" s="567" t="s">
        <v>1730</v>
      </c>
      <c r="D1997" s="958">
        <v>1.2</v>
      </c>
      <c r="E1997" s="959" t="s">
        <v>353</v>
      </c>
      <c r="F1997" s="558" t="s">
        <v>1486</v>
      </c>
      <c r="G1997" s="558">
        <v>686</v>
      </c>
      <c r="H1997" s="558" t="s">
        <v>890</v>
      </c>
      <c r="I1997" s="559" t="s">
        <v>891</v>
      </c>
      <c r="J1997" s="567" t="s">
        <v>1731</v>
      </c>
      <c r="K1997" s="961" t="s">
        <v>1373</v>
      </c>
      <c r="L1997" s="555" t="str">
        <f t="shared" ca="1" si="335"/>
        <v/>
      </c>
      <c r="M1997" s="494" t="s">
        <v>1609</v>
      </c>
      <c r="N1997" s="555" t="str">
        <f t="shared" ca="1" si="336"/>
        <v/>
      </c>
      <c r="O1997" s="494" t="s">
        <v>1732</v>
      </c>
      <c r="P1997" s="555" t="str">
        <f t="shared" ca="1" si="337"/>
        <v/>
      </c>
      <c r="Q1997" s="494" t="s">
        <v>1733</v>
      </c>
      <c r="R1997" s="494" t="str">
        <f>CONCATENATE("H",ROW(J1997))</f>
        <v>H1997</v>
      </c>
      <c r="S1997" s="494" t="s">
        <v>1734</v>
      </c>
      <c r="T1997" s="494">
        <v>7</v>
      </c>
      <c r="U1997" s="556" t="str">
        <f t="shared" ca="1" si="332"/>
        <v/>
      </c>
      <c r="V1997" s="494">
        <v>8</v>
      </c>
      <c r="W1997" s="556" t="str">
        <f t="shared" ca="1" si="333"/>
        <v/>
      </c>
      <c r="X1997" s="557"/>
      <c r="Y1997" s="958"/>
      <c r="Z1997" s="958"/>
      <c r="AA1997" s="958"/>
      <c r="AB1997" s="958" t="s">
        <v>1735</v>
      </c>
      <c r="AC1997" s="547" t="str">
        <f ca="1">IF(AND(INDIRECT(CONCATENATE($J2001,$K2001,"5"))=$B2001,ISBLANK(INDIRECT(CONCATENATE($J2001,AB1997)))=FALSE),INDIRECT(CONCATENATE($J2001,AB1997)),"")</f>
        <v/>
      </c>
      <c r="AD1997" s="494" t="s">
        <v>1736</v>
      </c>
      <c r="AE1997" s="547" t="str">
        <f t="shared" ca="1" si="338"/>
        <v/>
      </c>
    </row>
    <row r="1998" spans="1:31" ht="15" customHeight="1">
      <c r="A1998" s="957">
        <v>101</v>
      </c>
      <c r="B1998" s="566" t="s">
        <v>801</v>
      </c>
      <c r="C1998" s="567" t="s">
        <v>1730</v>
      </c>
      <c r="D1998" s="958">
        <v>1.2</v>
      </c>
      <c r="E1998" s="959" t="s">
        <v>353</v>
      </c>
      <c r="F1998" s="558" t="s">
        <v>1486</v>
      </c>
      <c r="G1998" s="558">
        <v>686</v>
      </c>
      <c r="H1998" s="558" t="s">
        <v>892</v>
      </c>
      <c r="I1998" s="559" t="s">
        <v>1745</v>
      </c>
      <c r="J1998" s="567" t="s">
        <v>1731</v>
      </c>
      <c r="K1998" s="961" t="s">
        <v>1373</v>
      </c>
      <c r="L1998" s="555" t="str">
        <f t="shared" ca="1" si="335"/>
        <v/>
      </c>
      <c r="M1998" s="494" t="s">
        <v>1609</v>
      </c>
      <c r="N1998" s="555" t="str">
        <f t="shared" ca="1" si="336"/>
        <v/>
      </c>
      <c r="O1998" s="494" t="s">
        <v>1732</v>
      </c>
      <c r="P1998" s="555" t="str">
        <f t="shared" ca="1" si="337"/>
        <v/>
      </c>
      <c r="Q1998" s="494" t="s">
        <v>1733</v>
      </c>
      <c r="R1998" s="494" t="str">
        <f>CONCATENATE("H",ROW(J1998))</f>
        <v>H1998</v>
      </c>
      <c r="S1998" s="494" t="s">
        <v>1734</v>
      </c>
      <c r="T1998" s="494">
        <v>7</v>
      </c>
      <c r="U1998" s="556" t="str">
        <f t="shared" ca="1" si="332"/>
        <v/>
      </c>
      <c r="V1998" s="494">
        <v>8</v>
      </c>
      <c r="W1998" s="556" t="str">
        <f t="shared" ca="1" si="333"/>
        <v/>
      </c>
      <c r="X1998" s="557"/>
      <c r="Y1998" s="958"/>
      <c r="Z1998" s="958"/>
      <c r="AA1998" s="958"/>
      <c r="AB1998" s="958" t="s">
        <v>1735</v>
      </c>
      <c r="AC1998" s="547" t="str">
        <f ca="1">IF(AND(INDIRECT(CONCATENATE($J2002,$K2002,"5"))=$B2002,ISBLANK(INDIRECT(CONCATENATE($J2002,AB1998)))=FALSE),INDIRECT(CONCATENATE($J2002,AB1998)),"")</f>
        <v/>
      </c>
      <c r="AD1998" s="494" t="s">
        <v>1736</v>
      </c>
      <c r="AE1998" s="547" t="str">
        <f t="shared" ca="1" si="338"/>
        <v/>
      </c>
    </row>
    <row r="1999" spans="1:31" ht="15" customHeight="1">
      <c r="A1999" s="957">
        <v>101</v>
      </c>
      <c r="B1999" s="566" t="s">
        <v>801</v>
      </c>
      <c r="C1999" s="567" t="s">
        <v>1730</v>
      </c>
      <c r="D1999" s="958">
        <v>1.2</v>
      </c>
      <c r="E1999" s="959" t="s">
        <v>353</v>
      </c>
      <c r="F1999" s="558" t="s">
        <v>1486</v>
      </c>
      <c r="G1999" s="558">
        <v>686</v>
      </c>
      <c r="H1999" s="558" t="s">
        <v>894</v>
      </c>
      <c r="I1999" s="559" t="s">
        <v>1739</v>
      </c>
      <c r="J1999" s="567" t="s">
        <v>1731</v>
      </c>
      <c r="K1999" s="961" t="s">
        <v>1373</v>
      </c>
      <c r="L1999" s="555" t="str">
        <f t="shared" ca="1" si="335"/>
        <v/>
      </c>
      <c r="M1999" s="494" t="s">
        <v>1609</v>
      </c>
      <c r="N1999" s="555" t="str">
        <f t="shared" ca="1" si="336"/>
        <v/>
      </c>
      <c r="O1999" s="494" t="s">
        <v>1732</v>
      </c>
      <c r="P1999" s="555" t="str">
        <f t="shared" ca="1" si="337"/>
        <v/>
      </c>
      <c r="Q1999" s="494" t="s">
        <v>1733</v>
      </c>
      <c r="R1999" s="494" t="str">
        <f>CONCATENATE("H",ROW(J1999))</f>
        <v>H1999</v>
      </c>
      <c r="S1999" s="494" t="s">
        <v>1734</v>
      </c>
      <c r="T1999" s="494">
        <v>7</v>
      </c>
      <c r="U1999" s="556" t="str">
        <f t="shared" ca="1" si="332"/>
        <v/>
      </c>
      <c r="V1999" s="494">
        <v>8</v>
      </c>
      <c r="W1999" s="556" t="str">
        <f t="shared" ca="1" si="333"/>
        <v/>
      </c>
      <c r="X1999" s="557"/>
      <c r="Y1999" s="958"/>
      <c r="Z1999" s="958"/>
      <c r="AA1999" s="958"/>
      <c r="AB1999" s="958" t="s">
        <v>1735</v>
      </c>
      <c r="AC1999" s="547" t="str">
        <f ca="1">IF(AND(INDIRECT(CONCATENATE($J1997,$K1997,"5"))=$B1997,ISBLANK(INDIRECT(CONCATENATE($J1997,AB1999)))=FALSE),INDIRECT(CONCATENATE($J1997,AB1999)),"")</f>
        <v/>
      </c>
      <c r="AD1999" s="494" t="s">
        <v>1736</v>
      </c>
      <c r="AE1999" s="547" t="str">
        <f t="shared" ca="1" si="338"/>
        <v/>
      </c>
    </row>
    <row r="2000" spans="1:31" ht="15" customHeight="1">
      <c r="A2000" s="957">
        <v>101</v>
      </c>
      <c r="B2000" s="566" t="s">
        <v>801</v>
      </c>
      <c r="C2000" s="567" t="s">
        <v>1730</v>
      </c>
      <c r="D2000" s="958">
        <v>1.2</v>
      </c>
      <c r="E2000" s="959" t="s">
        <v>353</v>
      </c>
      <c r="F2000" s="558" t="s">
        <v>1486</v>
      </c>
      <c r="G2000" s="558">
        <v>686</v>
      </c>
      <c r="H2000" s="558" t="s">
        <v>896</v>
      </c>
      <c r="I2000" s="559" t="s">
        <v>1740</v>
      </c>
      <c r="J2000" s="567" t="s">
        <v>1731</v>
      </c>
      <c r="K2000" s="961" t="s">
        <v>1373</v>
      </c>
      <c r="L2000" s="555" t="str">
        <f t="shared" ca="1" si="335"/>
        <v/>
      </c>
      <c r="M2000" s="494" t="s">
        <v>1609</v>
      </c>
      <c r="N2000" s="555" t="str">
        <f t="shared" ca="1" si="336"/>
        <v/>
      </c>
      <c r="O2000" s="494" t="s">
        <v>1732</v>
      </c>
      <c r="P2000" s="555" t="str">
        <f t="shared" ca="1" si="337"/>
        <v/>
      </c>
      <c r="Q2000" s="494" t="s">
        <v>1733</v>
      </c>
      <c r="R2000" s="494" t="str">
        <f>CONCATENATE("H",ROW(J2000))</f>
        <v>H2000</v>
      </c>
      <c r="S2000" s="494" t="s">
        <v>1734</v>
      </c>
      <c r="T2000" s="494">
        <v>7</v>
      </c>
      <c r="U2000" s="556" t="str">
        <f t="shared" ca="1" si="332"/>
        <v/>
      </c>
      <c r="V2000" s="494">
        <v>8</v>
      </c>
      <c r="W2000" s="556" t="str">
        <f t="shared" ca="1" si="333"/>
        <v/>
      </c>
      <c r="X2000" s="557"/>
      <c r="Y2000" s="958"/>
      <c r="Z2000" s="958"/>
      <c r="AA2000" s="958"/>
      <c r="AB2000" s="958" t="s">
        <v>1735</v>
      </c>
      <c r="AC2000" s="547" t="str">
        <f ca="1">IF(AND(INDIRECT(CONCATENATE($J1998,$K1998,"5"))=$B1998,ISBLANK(INDIRECT(CONCATENATE($J1998,AB2000)))=FALSE),INDIRECT(CONCATENATE($J1998,AB2000)),"")</f>
        <v/>
      </c>
      <c r="AD2000" s="494" t="s">
        <v>1736</v>
      </c>
      <c r="AE2000" s="547" t="str">
        <f t="shared" ca="1" si="338"/>
        <v/>
      </c>
    </row>
    <row r="2001" spans="1:31" ht="15" customHeight="1">
      <c r="A2001" s="957">
        <v>101</v>
      </c>
      <c r="B2001" s="566" t="s">
        <v>801</v>
      </c>
      <c r="C2001" s="567" t="s">
        <v>1730</v>
      </c>
      <c r="D2001" s="958">
        <v>1.2</v>
      </c>
      <c r="E2001" s="959" t="s">
        <v>353</v>
      </c>
      <c r="F2001" s="558" t="s">
        <v>1486</v>
      </c>
      <c r="G2001" s="558">
        <v>690</v>
      </c>
      <c r="H2001" s="558">
        <v>20.100000000000001</v>
      </c>
      <c r="I2001" s="559" t="s">
        <v>900</v>
      </c>
      <c r="J2001" s="567" t="s">
        <v>1731</v>
      </c>
      <c r="K2001" s="961" t="s">
        <v>1373</v>
      </c>
      <c r="L2001" s="555" t="str">
        <f t="shared" ca="1" si="335"/>
        <v/>
      </c>
      <c r="M2001" s="494" t="s">
        <v>1609</v>
      </c>
      <c r="N2001" s="555" t="str">
        <f t="shared" ca="1" si="336"/>
        <v/>
      </c>
      <c r="O2001" s="494" t="s">
        <v>1732</v>
      </c>
      <c r="P2001" s="555" t="str">
        <f t="shared" ca="1" si="337"/>
        <v/>
      </c>
      <c r="Q2001" s="494" t="s">
        <v>1733</v>
      </c>
      <c r="R2001" s="494" t="str">
        <f t="shared" si="331"/>
        <v>H2001</v>
      </c>
      <c r="S2001" s="494" t="s">
        <v>1734</v>
      </c>
      <c r="T2001" s="494">
        <v>7</v>
      </c>
      <c r="U2001" s="556" t="str">
        <f t="shared" ca="1" si="332"/>
        <v/>
      </c>
      <c r="V2001" s="494">
        <v>8</v>
      </c>
      <c r="W2001" s="556" t="str">
        <f t="shared" ca="1" si="333"/>
        <v/>
      </c>
      <c r="X2001" s="557"/>
      <c r="Y2001" s="958"/>
      <c r="Z2001" s="958"/>
      <c r="AA2001" s="958"/>
      <c r="AB2001" s="958" t="s">
        <v>1735</v>
      </c>
      <c r="AC2001" s="547" t="str">
        <f ca="1">IF(AND(INDIRECT(CONCATENATE($J1999,$K1999,"5"))=$B1999,ISBLANK(INDIRECT(CONCATENATE($J1999,AB2001)))=FALSE),INDIRECT(CONCATENATE($J1999,AB2001)),"")</f>
        <v/>
      </c>
      <c r="AD2001" s="494" t="s">
        <v>1736</v>
      </c>
      <c r="AE2001" s="547" t="str">
        <f t="shared" ca="1" si="338"/>
        <v/>
      </c>
    </row>
    <row r="2002" spans="1:31" ht="15" customHeight="1">
      <c r="A2002" s="957">
        <v>101</v>
      </c>
      <c r="B2002" s="566" t="s">
        <v>801</v>
      </c>
      <c r="C2002" s="567" t="s">
        <v>1730</v>
      </c>
      <c r="D2002" s="958">
        <v>1.2</v>
      </c>
      <c r="E2002" s="959" t="s">
        <v>353</v>
      </c>
      <c r="F2002" s="558" t="s">
        <v>1486</v>
      </c>
      <c r="G2002" s="558">
        <v>691</v>
      </c>
      <c r="H2002" s="558">
        <v>20.2</v>
      </c>
      <c r="I2002" s="559" t="s">
        <v>901</v>
      </c>
      <c r="J2002" s="567" t="s">
        <v>1731</v>
      </c>
      <c r="K2002" s="961" t="s">
        <v>1373</v>
      </c>
      <c r="L2002" s="555" t="str">
        <f t="shared" ca="1" si="335"/>
        <v/>
      </c>
      <c r="M2002" s="494" t="s">
        <v>1609</v>
      </c>
      <c r="N2002" s="555" t="str">
        <f t="shared" ca="1" si="336"/>
        <v/>
      </c>
      <c r="O2002" s="494" t="s">
        <v>1732</v>
      </c>
      <c r="P2002" s="555" t="str">
        <f t="shared" ca="1" si="337"/>
        <v/>
      </c>
      <c r="Q2002" s="494" t="s">
        <v>1733</v>
      </c>
      <c r="R2002" s="494" t="str">
        <f t="shared" si="331"/>
        <v>H2002</v>
      </c>
      <c r="S2002" s="494" t="s">
        <v>1734</v>
      </c>
      <c r="T2002" s="494">
        <v>7</v>
      </c>
      <c r="U2002" s="556" t="str">
        <f t="shared" ca="1" si="332"/>
        <v/>
      </c>
      <c r="V2002" s="494">
        <v>8</v>
      </c>
      <c r="W2002" s="556" t="str">
        <f t="shared" ca="1" si="333"/>
        <v/>
      </c>
      <c r="X2002" s="557"/>
      <c r="Y2002" s="958"/>
      <c r="Z2002" s="958"/>
      <c r="AA2002" s="958"/>
      <c r="AB2002" s="958" t="s">
        <v>1735</v>
      </c>
      <c r="AC2002" s="547" t="str">
        <f ca="1">IF(AND(INDIRECT(CONCATENATE($J2000,$K2000,"5"))=$B2000,ISBLANK(INDIRECT(CONCATENATE($J2000,AB2002)))=FALSE),INDIRECT(CONCATENATE($J2000,AB2002)),"")</f>
        <v/>
      </c>
      <c r="AD2002" s="494" t="s">
        <v>1736</v>
      </c>
      <c r="AE2002" s="547" t="str">
        <f t="shared" ca="1" si="338"/>
        <v/>
      </c>
    </row>
    <row r="2003" spans="1:31" ht="15" customHeight="1">
      <c r="A2003" s="957">
        <v>101</v>
      </c>
      <c r="B2003" s="566" t="s">
        <v>801</v>
      </c>
      <c r="C2003" s="567" t="s">
        <v>1730</v>
      </c>
      <c r="D2003" s="958">
        <v>1.2</v>
      </c>
      <c r="E2003" s="959" t="s">
        <v>367</v>
      </c>
      <c r="F2003" s="558" t="s">
        <v>1488</v>
      </c>
      <c r="G2003" s="558">
        <v>692</v>
      </c>
      <c r="H2003" s="558">
        <v>21.1</v>
      </c>
      <c r="I2003" s="559" t="s">
        <v>904</v>
      </c>
      <c r="J2003" s="567" t="s">
        <v>1731</v>
      </c>
      <c r="K2003" s="961" t="s">
        <v>1373</v>
      </c>
      <c r="L2003" s="555" t="str">
        <f t="shared" ca="1" si="335"/>
        <v/>
      </c>
      <c r="M2003" s="494" t="s">
        <v>1609</v>
      </c>
      <c r="N2003" s="555" t="str">
        <f t="shared" ca="1" si="336"/>
        <v/>
      </c>
      <c r="O2003" s="494" t="s">
        <v>1732</v>
      </c>
      <c r="P2003" s="555" t="str">
        <f t="shared" ca="1" si="337"/>
        <v/>
      </c>
      <c r="Q2003" s="494" t="s">
        <v>1733</v>
      </c>
      <c r="R2003" s="494" t="str">
        <f t="shared" si="331"/>
        <v>H2003</v>
      </c>
      <c r="S2003" s="494" t="s">
        <v>1734</v>
      </c>
      <c r="T2003" s="494">
        <v>7</v>
      </c>
      <c r="U2003" s="556" t="str">
        <f t="shared" ca="1" si="332"/>
        <v/>
      </c>
      <c r="V2003" s="494">
        <v>8</v>
      </c>
      <c r="W2003" s="556" t="str">
        <f t="shared" ca="1" si="333"/>
        <v/>
      </c>
      <c r="X2003" s="557"/>
      <c r="Y2003" s="958"/>
      <c r="Z2003" s="958"/>
      <c r="AA2003" s="958"/>
      <c r="AB2003" s="958" t="s">
        <v>1735</v>
      </c>
      <c r="AC2003" s="547" t="str">
        <f t="shared" ref="AC2003:AC2034" ca="1" si="339">IF(AND(INDIRECT(CONCATENATE($J2003,$K2003,"5"))=$B2003,ISBLANK(INDIRECT(CONCATENATE($J2003,AB2003)))=FALSE),INDIRECT(CONCATENATE($J2003,AB2003)),"")</f>
        <v/>
      </c>
      <c r="AD2003" s="494" t="s">
        <v>1736</v>
      </c>
      <c r="AE2003" s="547" t="str">
        <f t="shared" ca="1" si="338"/>
        <v/>
      </c>
    </row>
    <row r="2004" spans="1:31" ht="15" customHeight="1">
      <c r="A2004" s="957">
        <v>101</v>
      </c>
      <c r="B2004" s="566" t="s">
        <v>801</v>
      </c>
      <c r="C2004" s="567" t="s">
        <v>1730</v>
      </c>
      <c r="D2004" s="958">
        <v>1.2</v>
      </c>
      <c r="E2004" s="959" t="s">
        <v>367</v>
      </c>
      <c r="F2004" s="558" t="s">
        <v>1488</v>
      </c>
      <c r="G2004" s="558">
        <v>693</v>
      </c>
      <c r="H2004" s="558">
        <v>21.2</v>
      </c>
      <c r="I2004" s="559" t="s">
        <v>905</v>
      </c>
      <c r="J2004" s="567" t="s">
        <v>1731</v>
      </c>
      <c r="K2004" s="961" t="s">
        <v>1373</v>
      </c>
      <c r="L2004" s="555" t="str">
        <f t="shared" ca="1" si="335"/>
        <v/>
      </c>
      <c r="M2004" s="494" t="s">
        <v>1609</v>
      </c>
      <c r="N2004" s="555" t="str">
        <f t="shared" ca="1" si="336"/>
        <v/>
      </c>
      <c r="O2004" s="494" t="s">
        <v>1732</v>
      </c>
      <c r="P2004" s="555" t="str">
        <f t="shared" ca="1" si="337"/>
        <v/>
      </c>
      <c r="Q2004" s="494" t="s">
        <v>1733</v>
      </c>
      <c r="R2004" s="494" t="str">
        <f t="shared" si="331"/>
        <v>H2004</v>
      </c>
      <c r="S2004" s="494" t="s">
        <v>1734</v>
      </c>
      <c r="T2004" s="494">
        <v>7</v>
      </c>
      <c r="U2004" s="556" t="str">
        <f t="shared" ca="1" si="332"/>
        <v/>
      </c>
      <c r="V2004" s="494">
        <v>8</v>
      </c>
      <c r="W2004" s="556" t="str">
        <f t="shared" ca="1" si="333"/>
        <v/>
      </c>
      <c r="X2004" s="557"/>
      <c r="Y2004" s="958"/>
      <c r="Z2004" s="958"/>
      <c r="AA2004" s="958"/>
      <c r="AB2004" s="958" t="s">
        <v>1735</v>
      </c>
      <c r="AC2004" s="547" t="str">
        <f t="shared" ca="1" si="339"/>
        <v/>
      </c>
      <c r="AD2004" s="494" t="s">
        <v>1736</v>
      </c>
      <c r="AE2004" s="547" t="str">
        <f t="shared" ca="1" si="338"/>
        <v/>
      </c>
    </row>
    <row r="2005" spans="1:31" ht="15" customHeight="1">
      <c r="A2005" s="957">
        <v>101</v>
      </c>
      <c r="B2005" s="566" t="s">
        <v>801</v>
      </c>
      <c r="C2005" s="567" t="s">
        <v>1730</v>
      </c>
      <c r="D2005" s="958">
        <v>1.2</v>
      </c>
      <c r="E2005" s="959" t="s">
        <v>367</v>
      </c>
      <c r="F2005" s="558" t="s">
        <v>1488</v>
      </c>
      <c r="G2005" s="558">
        <v>694</v>
      </c>
      <c r="H2005" s="558">
        <v>21.3</v>
      </c>
      <c r="I2005" s="559" t="s">
        <v>906</v>
      </c>
      <c r="J2005" s="567" t="s">
        <v>1731</v>
      </c>
      <c r="K2005" s="961" t="s">
        <v>1373</v>
      </c>
      <c r="L2005" s="555" t="str">
        <f t="shared" ca="1" si="335"/>
        <v/>
      </c>
      <c r="M2005" s="494" t="s">
        <v>1609</v>
      </c>
      <c r="N2005" s="555" t="str">
        <f t="shared" ca="1" si="336"/>
        <v/>
      </c>
      <c r="O2005" s="494" t="s">
        <v>1732</v>
      </c>
      <c r="P2005" s="555" t="str">
        <f t="shared" ca="1" si="337"/>
        <v/>
      </c>
      <c r="Q2005" s="494" t="s">
        <v>1733</v>
      </c>
      <c r="R2005" s="494" t="str">
        <f t="shared" ref="R2005:R2020" si="340">CONCATENATE("H",ROW(J2005))</f>
        <v>H2005</v>
      </c>
      <c r="S2005" s="494" t="s">
        <v>1734</v>
      </c>
      <c r="T2005" s="494">
        <v>7</v>
      </c>
      <c r="U2005" s="556" t="str">
        <f t="shared" ca="1" si="332"/>
        <v/>
      </c>
      <c r="V2005" s="494">
        <v>8</v>
      </c>
      <c r="W2005" s="556" t="str">
        <f t="shared" ca="1" si="333"/>
        <v/>
      </c>
      <c r="X2005" s="557"/>
      <c r="Y2005" s="958"/>
      <c r="Z2005" s="958"/>
      <c r="AA2005" s="958"/>
      <c r="AB2005" s="958" t="s">
        <v>1735</v>
      </c>
      <c r="AC2005" s="547" t="str">
        <f t="shared" ca="1" si="339"/>
        <v/>
      </c>
      <c r="AD2005" s="494" t="s">
        <v>1736</v>
      </c>
      <c r="AE2005" s="547" t="str">
        <f t="shared" ca="1" si="338"/>
        <v/>
      </c>
    </row>
    <row r="2006" spans="1:31" ht="15" customHeight="1">
      <c r="A2006" s="957">
        <v>101</v>
      </c>
      <c r="B2006" s="566" t="s">
        <v>801</v>
      </c>
      <c r="C2006" s="567" t="s">
        <v>1730</v>
      </c>
      <c r="D2006" s="958">
        <v>1.2</v>
      </c>
      <c r="E2006" s="959" t="s">
        <v>367</v>
      </c>
      <c r="F2006" s="558" t="s">
        <v>1488</v>
      </c>
      <c r="G2006" s="558">
        <v>695</v>
      </c>
      <c r="H2006" s="558">
        <v>22.1</v>
      </c>
      <c r="I2006" s="559" t="s">
        <v>909</v>
      </c>
      <c r="J2006" s="567" t="s">
        <v>1731</v>
      </c>
      <c r="K2006" s="961" t="s">
        <v>1373</v>
      </c>
      <c r="L2006" s="555" t="str">
        <f t="shared" ca="1" si="335"/>
        <v/>
      </c>
      <c r="M2006" s="494" t="s">
        <v>1609</v>
      </c>
      <c r="N2006" s="555" t="str">
        <f t="shared" ca="1" si="336"/>
        <v/>
      </c>
      <c r="O2006" s="494" t="s">
        <v>1732</v>
      </c>
      <c r="P2006" s="555" t="str">
        <f t="shared" ca="1" si="337"/>
        <v/>
      </c>
      <c r="Q2006" s="494" t="s">
        <v>1733</v>
      </c>
      <c r="R2006" s="494" t="str">
        <f t="shared" si="340"/>
        <v>H2006</v>
      </c>
      <c r="S2006" s="494" t="s">
        <v>1734</v>
      </c>
      <c r="T2006" s="494">
        <v>7</v>
      </c>
      <c r="U2006" s="556" t="str">
        <f t="shared" ca="1" si="332"/>
        <v/>
      </c>
      <c r="V2006" s="494">
        <v>8</v>
      </c>
      <c r="W2006" s="556" t="str">
        <f t="shared" ca="1" si="333"/>
        <v/>
      </c>
      <c r="X2006" s="557"/>
      <c r="Y2006" s="958"/>
      <c r="Z2006" s="958"/>
      <c r="AA2006" s="958"/>
      <c r="AB2006" s="958" t="s">
        <v>1735</v>
      </c>
      <c r="AC2006" s="547" t="str">
        <f t="shared" ca="1" si="339"/>
        <v/>
      </c>
      <c r="AD2006" s="494" t="s">
        <v>1736</v>
      </c>
      <c r="AE2006" s="547" t="str">
        <f t="shared" ca="1" si="338"/>
        <v/>
      </c>
    </row>
    <row r="2007" spans="1:31" ht="15" customHeight="1">
      <c r="A2007" s="957">
        <v>101</v>
      </c>
      <c r="B2007" s="566" t="s">
        <v>801</v>
      </c>
      <c r="C2007" s="567" t="s">
        <v>1730</v>
      </c>
      <c r="D2007" s="958">
        <v>1.2</v>
      </c>
      <c r="E2007" s="959" t="s">
        <v>367</v>
      </c>
      <c r="F2007" s="558" t="s">
        <v>1488</v>
      </c>
      <c r="G2007" s="558">
        <v>696</v>
      </c>
      <c r="H2007" s="558">
        <v>22.2</v>
      </c>
      <c r="I2007" s="559" t="s">
        <v>910</v>
      </c>
      <c r="J2007" s="567" t="s">
        <v>1731</v>
      </c>
      <c r="K2007" s="961" t="s">
        <v>1373</v>
      </c>
      <c r="L2007" s="555" t="str">
        <f t="shared" ca="1" si="335"/>
        <v/>
      </c>
      <c r="M2007" s="494" t="s">
        <v>1609</v>
      </c>
      <c r="N2007" s="555" t="str">
        <f t="shared" ca="1" si="336"/>
        <v/>
      </c>
      <c r="O2007" s="494" t="s">
        <v>1732</v>
      </c>
      <c r="P2007" s="555" t="str">
        <f t="shared" ca="1" si="337"/>
        <v/>
      </c>
      <c r="Q2007" s="494" t="s">
        <v>1733</v>
      </c>
      <c r="R2007" s="494" t="str">
        <f t="shared" si="340"/>
        <v>H2007</v>
      </c>
      <c r="S2007" s="494" t="s">
        <v>1734</v>
      </c>
      <c r="T2007" s="494">
        <v>7</v>
      </c>
      <c r="U2007" s="556" t="str">
        <f t="shared" ca="1" si="332"/>
        <v/>
      </c>
      <c r="V2007" s="494">
        <v>8</v>
      </c>
      <c r="W2007" s="556" t="str">
        <f t="shared" ca="1" si="333"/>
        <v/>
      </c>
      <c r="X2007" s="557"/>
      <c r="Y2007" s="958"/>
      <c r="Z2007" s="958"/>
      <c r="AA2007" s="958"/>
      <c r="AB2007" s="958" t="s">
        <v>1735</v>
      </c>
      <c r="AC2007" s="547" t="str">
        <f t="shared" ca="1" si="339"/>
        <v/>
      </c>
      <c r="AD2007" s="494" t="s">
        <v>1736</v>
      </c>
      <c r="AE2007" s="547" t="str">
        <f t="shared" ca="1" si="338"/>
        <v/>
      </c>
    </row>
    <row r="2008" spans="1:31" ht="15" customHeight="1">
      <c r="A2008" s="957">
        <v>101</v>
      </c>
      <c r="B2008" s="566" t="s">
        <v>801</v>
      </c>
      <c r="C2008" s="567" t="s">
        <v>1730</v>
      </c>
      <c r="D2008" s="958">
        <v>1.2</v>
      </c>
      <c r="E2008" s="959" t="s">
        <v>367</v>
      </c>
      <c r="F2008" s="558" t="s">
        <v>1488</v>
      </c>
      <c r="G2008" s="558">
        <v>697</v>
      </c>
      <c r="H2008" s="558">
        <v>23.1</v>
      </c>
      <c r="I2008" s="559" t="s">
        <v>913</v>
      </c>
      <c r="J2008" s="567" t="s">
        <v>1731</v>
      </c>
      <c r="K2008" s="961" t="s">
        <v>1373</v>
      </c>
      <c r="L2008" s="555" t="str">
        <f t="shared" ca="1" si="335"/>
        <v/>
      </c>
      <c r="M2008" s="494" t="s">
        <v>1609</v>
      </c>
      <c r="N2008" s="555" t="str">
        <f t="shared" ca="1" si="336"/>
        <v/>
      </c>
      <c r="O2008" s="494" t="s">
        <v>1732</v>
      </c>
      <c r="P2008" s="555" t="str">
        <f t="shared" ca="1" si="337"/>
        <v/>
      </c>
      <c r="Q2008" s="494" t="s">
        <v>1733</v>
      </c>
      <c r="R2008" s="494" t="str">
        <f t="shared" si="340"/>
        <v>H2008</v>
      </c>
      <c r="S2008" s="494" t="s">
        <v>1734</v>
      </c>
      <c r="T2008" s="494">
        <v>7</v>
      </c>
      <c r="U2008" s="556" t="str">
        <f t="shared" ca="1" si="332"/>
        <v/>
      </c>
      <c r="V2008" s="494">
        <v>8</v>
      </c>
      <c r="W2008" s="556" t="str">
        <f t="shared" ca="1" si="333"/>
        <v/>
      </c>
      <c r="X2008" s="557"/>
      <c r="Y2008" s="958"/>
      <c r="Z2008" s="958"/>
      <c r="AA2008" s="958"/>
      <c r="AB2008" s="958" t="s">
        <v>1735</v>
      </c>
      <c r="AC2008" s="547" t="str">
        <f t="shared" ca="1" si="339"/>
        <v/>
      </c>
      <c r="AD2008" s="494" t="s">
        <v>1736</v>
      </c>
      <c r="AE2008" s="547" t="str">
        <f t="shared" ca="1" si="338"/>
        <v/>
      </c>
    </row>
    <row r="2009" spans="1:31" ht="15" customHeight="1">
      <c r="A2009" s="957">
        <v>101</v>
      </c>
      <c r="B2009" s="566" t="s">
        <v>801</v>
      </c>
      <c r="C2009" s="567" t="s">
        <v>1730</v>
      </c>
      <c r="D2009" s="958">
        <v>1.2</v>
      </c>
      <c r="E2009" s="959" t="s">
        <v>367</v>
      </c>
      <c r="F2009" s="558" t="s">
        <v>1488</v>
      </c>
      <c r="G2009" s="558">
        <v>698</v>
      </c>
      <c r="H2009" s="558">
        <v>23.2</v>
      </c>
      <c r="I2009" s="559" t="s">
        <v>914</v>
      </c>
      <c r="J2009" s="567" t="s">
        <v>1731</v>
      </c>
      <c r="K2009" s="961" t="s">
        <v>1373</v>
      </c>
      <c r="L2009" s="555" t="str">
        <f t="shared" ca="1" si="335"/>
        <v/>
      </c>
      <c r="M2009" s="494" t="s">
        <v>1609</v>
      </c>
      <c r="N2009" s="555" t="str">
        <f t="shared" ca="1" si="336"/>
        <v/>
      </c>
      <c r="O2009" s="494" t="s">
        <v>1732</v>
      </c>
      <c r="P2009" s="555" t="str">
        <f t="shared" ca="1" si="337"/>
        <v/>
      </c>
      <c r="Q2009" s="494" t="s">
        <v>1733</v>
      </c>
      <c r="R2009" s="494" t="str">
        <f t="shared" si="340"/>
        <v>H2009</v>
      </c>
      <c r="S2009" s="494" t="s">
        <v>1734</v>
      </c>
      <c r="T2009" s="494">
        <v>7</v>
      </c>
      <c r="U2009" s="556" t="str">
        <f t="shared" ca="1" si="332"/>
        <v/>
      </c>
      <c r="V2009" s="494">
        <v>8</v>
      </c>
      <c r="W2009" s="556" t="str">
        <f t="shared" ca="1" si="333"/>
        <v/>
      </c>
      <c r="X2009" s="557"/>
      <c r="Y2009" s="958"/>
      <c r="Z2009" s="958"/>
      <c r="AA2009" s="958"/>
      <c r="AB2009" s="958" t="s">
        <v>1735</v>
      </c>
      <c r="AC2009" s="547" t="str">
        <f t="shared" ca="1" si="339"/>
        <v/>
      </c>
      <c r="AD2009" s="494" t="s">
        <v>1736</v>
      </c>
      <c r="AE2009" s="547" t="str">
        <f t="shared" ca="1" si="338"/>
        <v/>
      </c>
    </row>
    <row r="2010" spans="1:31" ht="15" customHeight="1">
      <c r="A2010" s="957">
        <v>101</v>
      </c>
      <c r="B2010" s="566" t="s">
        <v>801</v>
      </c>
      <c r="C2010" s="567" t="s">
        <v>1730</v>
      </c>
      <c r="D2010" s="958">
        <v>1.2</v>
      </c>
      <c r="E2010" s="959" t="s">
        <v>396</v>
      </c>
      <c r="F2010" s="558" t="s">
        <v>1498</v>
      </c>
      <c r="G2010" s="558">
        <v>700</v>
      </c>
      <c r="H2010" s="558">
        <v>24.1</v>
      </c>
      <c r="I2010" s="559" t="s">
        <v>916</v>
      </c>
      <c r="J2010" s="567" t="s">
        <v>1731</v>
      </c>
      <c r="K2010" s="961" t="s">
        <v>1373</v>
      </c>
      <c r="L2010" s="555" t="str">
        <f t="shared" ca="1" si="335"/>
        <v/>
      </c>
      <c r="M2010" s="494" t="s">
        <v>1609</v>
      </c>
      <c r="N2010" s="555" t="str">
        <f t="shared" ca="1" si="336"/>
        <v/>
      </c>
      <c r="O2010" s="494" t="s">
        <v>1732</v>
      </c>
      <c r="P2010" s="555" t="str">
        <f t="shared" ca="1" si="337"/>
        <v/>
      </c>
      <c r="Q2010" s="494" t="s">
        <v>1733</v>
      </c>
      <c r="R2010" s="494" t="str">
        <f t="shared" si="340"/>
        <v>H2010</v>
      </c>
      <c r="S2010" s="494" t="s">
        <v>1734</v>
      </c>
      <c r="T2010" s="494">
        <v>7</v>
      </c>
      <c r="U2010" s="556" t="str">
        <f t="shared" ca="1" si="332"/>
        <v/>
      </c>
      <c r="V2010" s="494">
        <v>8</v>
      </c>
      <c r="W2010" s="556" t="str">
        <f t="shared" ca="1" si="333"/>
        <v/>
      </c>
      <c r="X2010" s="557"/>
      <c r="Y2010" s="958"/>
      <c r="Z2010" s="958"/>
      <c r="AA2010" s="958"/>
      <c r="AB2010" s="958" t="s">
        <v>1735</v>
      </c>
      <c r="AC2010" s="547" t="str">
        <f t="shared" ca="1" si="339"/>
        <v/>
      </c>
      <c r="AD2010" s="494" t="s">
        <v>1736</v>
      </c>
      <c r="AE2010" s="547" t="str">
        <f t="shared" ca="1" si="338"/>
        <v/>
      </c>
    </row>
    <row r="2011" spans="1:31" ht="15" customHeight="1">
      <c r="A2011" s="957">
        <v>101</v>
      </c>
      <c r="B2011" s="566" t="s">
        <v>801</v>
      </c>
      <c r="C2011" s="567" t="s">
        <v>1730</v>
      </c>
      <c r="D2011" s="958">
        <v>1.2</v>
      </c>
      <c r="E2011" s="959" t="s">
        <v>396</v>
      </c>
      <c r="F2011" s="558" t="s">
        <v>1498</v>
      </c>
      <c r="G2011" s="558">
        <v>701</v>
      </c>
      <c r="H2011" s="558">
        <v>24.2</v>
      </c>
      <c r="I2011" s="559" t="s">
        <v>917</v>
      </c>
      <c r="J2011" s="567" t="s">
        <v>1731</v>
      </c>
      <c r="K2011" s="961" t="s">
        <v>1373</v>
      </c>
      <c r="L2011" s="555" t="str">
        <f t="shared" ca="1" si="335"/>
        <v/>
      </c>
      <c r="M2011" s="494" t="s">
        <v>1609</v>
      </c>
      <c r="N2011" s="555" t="str">
        <f t="shared" ca="1" si="336"/>
        <v/>
      </c>
      <c r="O2011" s="494" t="s">
        <v>1732</v>
      </c>
      <c r="P2011" s="555" t="str">
        <f t="shared" ca="1" si="337"/>
        <v/>
      </c>
      <c r="Q2011" s="494" t="s">
        <v>1733</v>
      </c>
      <c r="R2011" s="494" t="str">
        <f t="shared" si="340"/>
        <v>H2011</v>
      </c>
      <c r="S2011" s="494" t="s">
        <v>1734</v>
      </c>
      <c r="T2011" s="494">
        <v>7</v>
      </c>
      <c r="U2011" s="556" t="str">
        <f t="shared" ca="1" si="332"/>
        <v/>
      </c>
      <c r="V2011" s="494">
        <v>8</v>
      </c>
      <c r="W2011" s="556" t="str">
        <f t="shared" ca="1" si="333"/>
        <v/>
      </c>
      <c r="X2011" s="557"/>
      <c r="Y2011" s="958"/>
      <c r="Z2011" s="958"/>
      <c r="AA2011" s="958"/>
      <c r="AB2011" s="958" t="s">
        <v>1735</v>
      </c>
      <c r="AC2011" s="547" t="str">
        <f t="shared" ca="1" si="339"/>
        <v/>
      </c>
      <c r="AD2011" s="494" t="s">
        <v>1736</v>
      </c>
      <c r="AE2011" s="547" t="str">
        <f t="shared" ca="1" si="338"/>
        <v/>
      </c>
    </row>
    <row r="2012" spans="1:31">
      <c r="A2012" s="957">
        <v>101</v>
      </c>
      <c r="B2012" s="566" t="s">
        <v>801</v>
      </c>
      <c r="C2012" s="567" t="s">
        <v>1730</v>
      </c>
      <c r="D2012" s="958">
        <v>1.2</v>
      </c>
      <c r="E2012" s="959" t="s">
        <v>396</v>
      </c>
      <c r="F2012" s="558" t="s">
        <v>1498</v>
      </c>
      <c r="G2012" s="558">
        <v>702</v>
      </c>
      <c r="H2012" s="558">
        <v>25.1</v>
      </c>
      <c r="I2012" s="559" t="s">
        <v>920</v>
      </c>
      <c r="J2012" s="567" t="s">
        <v>1731</v>
      </c>
      <c r="K2012" s="961" t="s">
        <v>1373</v>
      </c>
      <c r="L2012" s="555" t="str">
        <f t="shared" ca="1" si="335"/>
        <v/>
      </c>
      <c r="M2012" s="494" t="s">
        <v>1609</v>
      </c>
      <c r="N2012" s="555" t="str">
        <f t="shared" ca="1" si="336"/>
        <v/>
      </c>
      <c r="O2012" s="494" t="s">
        <v>1732</v>
      </c>
      <c r="P2012" s="555" t="str">
        <f t="shared" ca="1" si="337"/>
        <v/>
      </c>
      <c r="Q2012" s="494" t="s">
        <v>1733</v>
      </c>
      <c r="R2012" s="494" t="str">
        <f t="shared" si="340"/>
        <v>H2012</v>
      </c>
      <c r="S2012" s="494" t="s">
        <v>1734</v>
      </c>
      <c r="T2012" s="494">
        <v>7</v>
      </c>
      <c r="U2012" s="556" t="str">
        <f t="shared" ca="1" si="332"/>
        <v/>
      </c>
      <c r="V2012" s="494">
        <v>8</v>
      </c>
      <c r="W2012" s="556" t="str">
        <f t="shared" ca="1" si="333"/>
        <v/>
      </c>
      <c r="X2012" s="557"/>
      <c r="Y2012" s="958"/>
      <c r="Z2012" s="958"/>
      <c r="AA2012" s="958"/>
      <c r="AB2012" s="958" t="s">
        <v>1735</v>
      </c>
      <c r="AC2012" s="547" t="str">
        <f t="shared" ca="1" si="339"/>
        <v/>
      </c>
      <c r="AD2012" s="494" t="s">
        <v>1736</v>
      </c>
      <c r="AE2012" s="547" t="str">
        <f t="shared" ca="1" si="338"/>
        <v/>
      </c>
    </row>
    <row r="2013" spans="1:31">
      <c r="A2013" s="957">
        <v>101</v>
      </c>
      <c r="B2013" s="566" t="s">
        <v>801</v>
      </c>
      <c r="C2013" s="567" t="s">
        <v>1730</v>
      </c>
      <c r="D2013" s="958">
        <v>1.2</v>
      </c>
      <c r="E2013" s="959" t="s">
        <v>396</v>
      </c>
      <c r="F2013" s="558" t="s">
        <v>1498</v>
      </c>
      <c r="G2013" s="558">
        <v>703</v>
      </c>
      <c r="H2013" s="558">
        <v>25.2</v>
      </c>
      <c r="I2013" s="559" t="s">
        <v>921</v>
      </c>
      <c r="J2013" s="567" t="s">
        <v>1731</v>
      </c>
      <c r="K2013" s="961" t="s">
        <v>1373</v>
      </c>
      <c r="L2013" s="555" t="str">
        <f t="shared" ca="1" si="335"/>
        <v/>
      </c>
      <c r="M2013" s="494" t="s">
        <v>1609</v>
      </c>
      <c r="N2013" s="555" t="str">
        <f t="shared" ca="1" si="336"/>
        <v/>
      </c>
      <c r="O2013" s="494" t="s">
        <v>1732</v>
      </c>
      <c r="P2013" s="555" t="str">
        <f t="shared" ca="1" si="337"/>
        <v/>
      </c>
      <c r="Q2013" s="494" t="s">
        <v>1733</v>
      </c>
      <c r="R2013" s="494" t="str">
        <f t="shared" si="340"/>
        <v>H2013</v>
      </c>
      <c r="S2013" s="494" t="s">
        <v>1734</v>
      </c>
      <c r="T2013" s="494">
        <v>7</v>
      </c>
      <c r="U2013" s="556" t="str">
        <f t="shared" ca="1" si="332"/>
        <v/>
      </c>
      <c r="V2013" s="494">
        <v>8</v>
      </c>
      <c r="W2013" s="556" t="str">
        <f t="shared" ca="1" si="333"/>
        <v/>
      </c>
      <c r="X2013" s="557"/>
      <c r="Y2013" s="958"/>
      <c r="Z2013" s="958"/>
      <c r="AA2013" s="958"/>
      <c r="AB2013" s="958" t="s">
        <v>1735</v>
      </c>
      <c r="AC2013" s="547" t="str">
        <f t="shared" ca="1" si="339"/>
        <v/>
      </c>
      <c r="AD2013" s="494" t="s">
        <v>1736</v>
      </c>
      <c r="AE2013" s="547" t="str">
        <f t="shared" ca="1" si="338"/>
        <v/>
      </c>
    </row>
    <row r="2014" spans="1:31">
      <c r="A2014" s="957">
        <v>101</v>
      </c>
      <c r="B2014" s="566" t="s">
        <v>801</v>
      </c>
      <c r="C2014" s="567" t="s">
        <v>1730</v>
      </c>
      <c r="D2014" s="958">
        <v>1.2</v>
      </c>
      <c r="E2014" s="959" t="s">
        <v>396</v>
      </c>
      <c r="F2014" s="558" t="s">
        <v>1498</v>
      </c>
      <c r="G2014" s="558">
        <v>704</v>
      </c>
      <c r="H2014" s="558">
        <v>25.3</v>
      </c>
      <c r="I2014" s="559" t="s">
        <v>922</v>
      </c>
      <c r="J2014" s="567" t="s">
        <v>1731</v>
      </c>
      <c r="K2014" s="961" t="s">
        <v>1373</v>
      </c>
      <c r="L2014" s="555" t="str">
        <f t="shared" ca="1" si="335"/>
        <v/>
      </c>
      <c r="M2014" s="494" t="s">
        <v>1609</v>
      </c>
      <c r="N2014" s="555" t="str">
        <f t="shared" ca="1" si="336"/>
        <v/>
      </c>
      <c r="O2014" s="494" t="s">
        <v>1732</v>
      </c>
      <c r="P2014" s="555" t="str">
        <f t="shared" ca="1" si="337"/>
        <v/>
      </c>
      <c r="Q2014" s="494" t="s">
        <v>1733</v>
      </c>
      <c r="R2014" s="494" t="str">
        <f t="shared" si="340"/>
        <v>H2014</v>
      </c>
      <c r="S2014" s="494" t="s">
        <v>1734</v>
      </c>
      <c r="T2014" s="494">
        <v>7</v>
      </c>
      <c r="U2014" s="556" t="str">
        <f t="shared" ca="1" si="332"/>
        <v/>
      </c>
      <c r="V2014" s="494">
        <v>8</v>
      </c>
      <c r="W2014" s="556" t="str">
        <f t="shared" ca="1" si="333"/>
        <v/>
      </c>
      <c r="X2014" s="557"/>
      <c r="Y2014" s="958"/>
      <c r="Z2014" s="958"/>
      <c r="AA2014" s="958"/>
      <c r="AB2014" s="958" t="s">
        <v>1735</v>
      </c>
      <c r="AC2014" s="547" t="str">
        <f t="shared" ca="1" si="339"/>
        <v/>
      </c>
      <c r="AD2014" s="494" t="s">
        <v>1736</v>
      </c>
      <c r="AE2014" s="547" t="str">
        <f t="shared" ca="1" si="338"/>
        <v/>
      </c>
    </row>
    <row r="2015" spans="1:31">
      <c r="A2015" s="957">
        <v>101</v>
      </c>
      <c r="B2015" s="566" t="s">
        <v>801</v>
      </c>
      <c r="C2015" s="567" t="s">
        <v>1730</v>
      </c>
      <c r="D2015" s="958">
        <v>1.2</v>
      </c>
      <c r="E2015" s="959" t="s">
        <v>404</v>
      </c>
      <c r="F2015" s="558" t="s">
        <v>1499</v>
      </c>
      <c r="G2015" s="558">
        <v>705</v>
      </c>
      <c r="H2015" s="558">
        <v>26.1</v>
      </c>
      <c r="I2015" s="559" t="s">
        <v>924</v>
      </c>
      <c r="J2015" s="567" t="s">
        <v>1731</v>
      </c>
      <c r="K2015" s="961" t="s">
        <v>1373</v>
      </c>
      <c r="L2015" s="555" t="str">
        <f t="shared" ca="1" si="335"/>
        <v/>
      </c>
      <c r="M2015" s="494" t="s">
        <v>1609</v>
      </c>
      <c r="N2015" s="555" t="str">
        <f t="shared" ca="1" si="336"/>
        <v/>
      </c>
      <c r="O2015" s="494" t="s">
        <v>1732</v>
      </c>
      <c r="P2015" s="555" t="str">
        <f t="shared" ca="1" si="337"/>
        <v/>
      </c>
      <c r="Q2015" s="494" t="s">
        <v>1733</v>
      </c>
      <c r="R2015" s="494" t="str">
        <f t="shared" si="340"/>
        <v>H2015</v>
      </c>
      <c r="S2015" s="494" t="s">
        <v>1734</v>
      </c>
      <c r="T2015" s="494">
        <v>7</v>
      </c>
      <c r="U2015" s="556" t="str">
        <f t="shared" ca="1" si="332"/>
        <v/>
      </c>
      <c r="V2015" s="494">
        <v>8</v>
      </c>
      <c r="W2015" s="556" t="str">
        <f t="shared" ca="1" si="333"/>
        <v/>
      </c>
      <c r="X2015" s="557"/>
      <c r="Y2015" s="958"/>
      <c r="Z2015" s="958"/>
      <c r="AA2015" s="958"/>
      <c r="AB2015" s="958" t="s">
        <v>1735</v>
      </c>
      <c r="AC2015" s="547" t="str">
        <f t="shared" ca="1" si="339"/>
        <v/>
      </c>
      <c r="AD2015" s="494" t="s">
        <v>1736</v>
      </c>
      <c r="AE2015" s="547" t="str">
        <f t="shared" ca="1" si="338"/>
        <v/>
      </c>
    </row>
    <row r="2016" spans="1:31">
      <c r="A2016" s="957">
        <v>101</v>
      </c>
      <c r="B2016" s="566" t="s">
        <v>801</v>
      </c>
      <c r="C2016" s="567" t="s">
        <v>1730</v>
      </c>
      <c r="D2016" s="958">
        <v>1.2</v>
      </c>
      <c r="E2016" s="959" t="s">
        <v>404</v>
      </c>
      <c r="F2016" s="558" t="s">
        <v>1499</v>
      </c>
      <c r="G2016" s="558">
        <v>706</v>
      </c>
      <c r="H2016" s="558">
        <v>26.2</v>
      </c>
      <c r="I2016" s="559" t="s">
        <v>925</v>
      </c>
      <c r="J2016" s="567" t="s">
        <v>1731</v>
      </c>
      <c r="K2016" s="961" t="s">
        <v>1373</v>
      </c>
      <c r="L2016" s="555" t="str">
        <f t="shared" ca="1" si="335"/>
        <v/>
      </c>
      <c r="M2016" s="494" t="s">
        <v>1609</v>
      </c>
      <c r="N2016" s="555" t="str">
        <f t="shared" ca="1" si="336"/>
        <v/>
      </c>
      <c r="O2016" s="494" t="s">
        <v>1732</v>
      </c>
      <c r="P2016" s="555" t="str">
        <f t="shared" ca="1" si="337"/>
        <v/>
      </c>
      <c r="Q2016" s="494" t="s">
        <v>1733</v>
      </c>
      <c r="R2016" s="494" t="str">
        <f t="shared" si="340"/>
        <v>H2016</v>
      </c>
      <c r="S2016" s="494" t="s">
        <v>1734</v>
      </c>
      <c r="T2016" s="494">
        <v>7</v>
      </c>
      <c r="U2016" s="556" t="str">
        <f t="shared" ca="1" si="332"/>
        <v/>
      </c>
      <c r="V2016" s="494">
        <v>8</v>
      </c>
      <c r="W2016" s="556" t="str">
        <f t="shared" ca="1" si="333"/>
        <v/>
      </c>
      <c r="X2016" s="557"/>
      <c r="Y2016" s="958"/>
      <c r="Z2016" s="958"/>
      <c r="AA2016" s="958"/>
      <c r="AB2016" s="958" t="s">
        <v>1735</v>
      </c>
      <c r="AC2016" s="547" t="str">
        <f t="shared" ca="1" si="339"/>
        <v/>
      </c>
      <c r="AD2016" s="494" t="s">
        <v>1736</v>
      </c>
      <c r="AE2016" s="547" t="str">
        <f t="shared" ca="1" si="338"/>
        <v/>
      </c>
    </row>
    <row r="2017" spans="1:31">
      <c r="A2017" s="957">
        <v>101</v>
      </c>
      <c r="B2017" s="566" t="s">
        <v>801</v>
      </c>
      <c r="C2017" s="567" t="s">
        <v>1730</v>
      </c>
      <c r="D2017" s="958">
        <v>1.2</v>
      </c>
      <c r="E2017" s="959" t="s">
        <v>404</v>
      </c>
      <c r="F2017" s="558" t="s">
        <v>1499</v>
      </c>
      <c r="G2017" s="558">
        <v>707</v>
      </c>
      <c r="H2017" s="558">
        <v>27.1</v>
      </c>
      <c r="I2017" s="559" t="s">
        <v>927</v>
      </c>
      <c r="J2017" s="567" t="s">
        <v>1731</v>
      </c>
      <c r="K2017" s="961" t="s">
        <v>1373</v>
      </c>
      <c r="L2017" s="555" t="str">
        <f t="shared" ca="1" si="335"/>
        <v/>
      </c>
      <c r="M2017" s="494" t="s">
        <v>1609</v>
      </c>
      <c r="N2017" s="555" t="str">
        <f t="shared" ca="1" si="336"/>
        <v/>
      </c>
      <c r="O2017" s="494" t="s">
        <v>1732</v>
      </c>
      <c r="P2017" s="555" t="str">
        <f t="shared" ca="1" si="337"/>
        <v/>
      </c>
      <c r="Q2017" s="494" t="s">
        <v>1733</v>
      </c>
      <c r="R2017" s="494" t="str">
        <f t="shared" si="340"/>
        <v>H2017</v>
      </c>
      <c r="S2017" s="494" t="s">
        <v>1734</v>
      </c>
      <c r="T2017" s="494">
        <v>7</v>
      </c>
      <c r="U2017" s="556" t="str">
        <f t="shared" ca="1" si="332"/>
        <v/>
      </c>
      <c r="V2017" s="494">
        <v>8</v>
      </c>
      <c r="W2017" s="556" t="str">
        <f t="shared" ca="1" si="333"/>
        <v/>
      </c>
      <c r="X2017" s="557"/>
      <c r="Y2017" s="958"/>
      <c r="Z2017" s="958"/>
      <c r="AA2017" s="958"/>
      <c r="AB2017" s="958" t="s">
        <v>1735</v>
      </c>
      <c r="AC2017" s="547" t="str">
        <f t="shared" ca="1" si="339"/>
        <v/>
      </c>
      <c r="AD2017" s="494" t="s">
        <v>1736</v>
      </c>
      <c r="AE2017" s="547" t="str">
        <f t="shared" ca="1" si="338"/>
        <v/>
      </c>
    </row>
    <row r="2018" spans="1:31">
      <c r="A2018" s="957">
        <v>101</v>
      </c>
      <c r="B2018" s="566" t="s">
        <v>801</v>
      </c>
      <c r="C2018" s="567" t="s">
        <v>1730</v>
      </c>
      <c r="D2018" s="958">
        <v>1.2</v>
      </c>
      <c r="E2018" s="959" t="s">
        <v>404</v>
      </c>
      <c r="F2018" s="558" t="s">
        <v>1499</v>
      </c>
      <c r="G2018" s="558">
        <v>708</v>
      </c>
      <c r="H2018" s="558">
        <v>27.2</v>
      </c>
      <c r="I2018" s="559" t="s">
        <v>928</v>
      </c>
      <c r="J2018" s="567" t="s">
        <v>1731</v>
      </c>
      <c r="K2018" s="961" t="s">
        <v>1373</v>
      </c>
      <c r="L2018" s="555" t="str">
        <f t="shared" ca="1" si="335"/>
        <v/>
      </c>
      <c r="M2018" s="494" t="s">
        <v>1609</v>
      </c>
      <c r="N2018" s="555" t="str">
        <f t="shared" ca="1" si="336"/>
        <v/>
      </c>
      <c r="O2018" s="494" t="s">
        <v>1732</v>
      </c>
      <c r="P2018" s="555" t="str">
        <f t="shared" ca="1" si="337"/>
        <v/>
      </c>
      <c r="Q2018" s="494" t="s">
        <v>1733</v>
      </c>
      <c r="R2018" s="494" t="str">
        <f t="shared" si="340"/>
        <v>H2018</v>
      </c>
      <c r="S2018" s="494" t="s">
        <v>1734</v>
      </c>
      <c r="T2018" s="494">
        <v>7</v>
      </c>
      <c r="U2018" s="556" t="str">
        <f t="shared" ca="1" si="332"/>
        <v/>
      </c>
      <c r="V2018" s="494">
        <v>8</v>
      </c>
      <c r="W2018" s="556" t="str">
        <f t="shared" ca="1" si="333"/>
        <v/>
      </c>
      <c r="X2018" s="557"/>
      <c r="Y2018" s="958"/>
      <c r="Z2018" s="958"/>
      <c r="AA2018" s="958"/>
      <c r="AB2018" s="958" t="s">
        <v>1735</v>
      </c>
      <c r="AC2018" s="547" t="str">
        <f t="shared" ca="1" si="339"/>
        <v/>
      </c>
      <c r="AD2018" s="494" t="s">
        <v>1736</v>
      </c>
      <c r="AE2018" s="547" t="str">
        <f t="shared" ca="1" si="338"/>
        <v/>
      </c>
    </row>
    <row r="2019" spans="1:31">
      <c r="A2019" s="957">
        <v>101</v>
      </c>
      <c r="B2019" s="566" t="s">
        <v>801</v>
      </c>
      <c r="C2019" s="567" t="s">
        <v>1730</v>
      </c>
      <c r="D2019" s="958">
        <v>1.2</v>
      </c>
      <c r="E2019" s="959" t="s">
        <v>404</v>
      </c>
      <c r="F2019" s="558" t="s">
        <v>1499</v>
      </c>
      <c r="G2019" s="558">
        <v>709</v>
      </c>
      <c r="H2019" s="558">
        <v>28.1</v>
      </c>
      <c r="I2019" s="559" t="s">
        <v>416</v>
      </c>
      <c r="J2019" s="567" t="s">
        <v>1731</v>
      </c>
      <c r="K2019" s="961" t="s">
        <v>1373</v>
      </c>
      <c r="L2019" s="555" t="str">
        <f t="shared" ca="1" si="335"/>
        <v/>
      </c>
      <c r="M2019" s="494" t="s">
        <v>1609</v>
      </c>
      <c r="N2019" s="555" t="str">
        <f t="shared" ca="1" si="336"/>
        <v/>
      </c>
      <c r="O2019" s="494" t="s">
        <v>1732</v>
      </c>
      <c r="P2019" s="555" t="str">
        <f t="shared" ca="1" si="337"/>
        <v/>
      </c>
      <c r="Q2019" s="494" t="s">
        <v>1733</v>
      </c>
      <c r="R2019" s="494" t="str">
        <f t="shared" si="340"/>
        <v>H2019</v>
      </c>
      <c r="S2019" s="494" t="s">
        <v>1734</v>
      </c>
      <c r="T2019" s="494">
        <v>7</v>
      </c>
      <c r="U2019" s="556" t="str">
        <f t="shared" ca="1" si="332"/>
        <v/>
      </c>
      <c r="V2019" s="494">
        <v>8</v>
      </c>
      <c r="W2019" s="556" t="str">
        <f t="shared" ca="1" si="333"/>
        <v/>
      </c>
      <c r="X2019" s="557"/>
      <c r="Y2019" s="958"/>
      <c r="Z2019" s="958"/>
      <c r="AA2019" s="958"/>
      <c r="AB2019" s="958" t="s">
        <v>1735</v>
      </c>
      <c r="AC2019" s="547" t="str">
        <f t="shared" ca="1" si="339"/>
        <v/>
      </c>
      <c r="AD2019" s="494" t="s">
        <v>1736</v>
      </c>
      <c r="AE2019" s="547" t="str">
        <f t="shared" ca="1" si="338"/>
        <v/>
      </c>
    </row>
    <row r="2020" spans="1:31">
      <c r="A2020" s="957">
        <v>101</v>
      </c>
      <c r="B2020" s="566" t="s">
        <v>801</v>
      </c>
      <c r="C2020" s="567" t="s">
        <v>1730</v>
      </c>
      <c r="D2020" s="958">
        <v>1.2</v>
      </c>
      <c r="E2020" s="959" t="s">
        <v>404</v>
      </c>
      <c r="F2020" s="558" t="s">
        <v>1499</v>
      </c>
      <c r="G2020" s="558">
        <v>710</v>
      </c>
      <c r="H2020" s="558">
        <v>29.1</v>
      </c>
      <c r="I2020" s="559" t="s">
        <v>413</v>
      </c>
      <c r="J2020" s="567" t="s">
        <v>1731</v>
      </c>
      <c r="K2020" s="961" t="s">
        <v>1373</v>
      </c>
      <c r="L2020" s="555" t="str">
        <f t="shared" ca="1" si="335"/>
        <v/>
      </c>
      <c r="M2020" s="494" t="s">
        <v>1609</v>
      </c>
      <c r="N2020" s="555" t="str">
        <f t="shared" ca="1" si="336"/>
        <v/>
      </c>
      <c r="O2020" s="494" t="s">
        <v>1732</v>
      </c>
      <c r="P2020" s="555" t="str">
        <f t="shared" ca="1" si="337"/>
        <v/>
      </c>
      <c r="Q2020" s="494" t="s">
        <v>1733</v>
      </c>
      <c r="R2020" s="494" t="str">
        <f t="shared" si="340"/>
        <v>H2020</v>
      </c>
      <c r="S2020" s="494" t="s">
        <v>1734</v>
      </c>
      <c r="T2020" s="494">
        <v>7</v>
      </c>
      <c r="U2020" s="556" t="str">
        <f t="shared" ca="1" si="332"/>
        <v/>
      </c>
      <c r="V2020" s="494">
        <v>8</v>
      </c>
      <c r="W2020" s="556" t="str">
        <f t="shared" ca="1" si="333"/>
        <v/>
      </c>
      <c r="X2020" s="557"/>
      <c r="Y2020" s="958"/>
      <c r="Z2020" s="958"/>
      <c r="AA2020" s="958"/>
      <c r="AB2020" s="958" t="s">
        <v>1735</v>
      </c>
      <c r="AC2020" s="547" t="str">
        <f t="shared" ca="1" si="339"/>
        <v/>
      </c>
      <c r="AD2020" s="494" t="s">
        <v>1736</v>
      </c>
      <c r="AE2020" s="547" t="str">
        <f t="shared" ca="1" si="338"/>
        <v/>
      </c>
    </row>
    <row r="2021" spans="1:31">
      <c r="A2021" s="957">
        <v>101</v>
      </c>
      <c r="B2021" s="566" t="s">
        <v>801</v>
      </c>
      <c r="C2021" s="567" t="s">
        <v>1730</v>
      </c>
      <c r="D2021" s="958">
        <v>1.2</v>
      </c>
      <c r="E2021" s="959" t="s">
        <v>419</v>
      </c>
      <c r="F2021" s="558" t="s">
        <v>1501</v>
      </c>
      <c r="G2021" s="558">
        <v>739</v>
      </c>
      <c r="H2021" s="558" t="s">
        <v>522</v>
      </c>
      <c r="I2021" s="559" t="s">
        <v>420</v>
      </c>
      <c r="J2021" s="567" t="s">
        <v>1731</v>
      </c>
      <c r="K2021" s="961" t="s">
        <v>1373</v>
      </c>
      <c r="L2021" s="555" t="str">
        <f t="shared" ca="1" si="335"/>
        <v/>
      </c>
      <c r="M2021" s="494" t="s">
        <v>1609</v>
      </c>
      <c r="N2021" s="555" t="str">
        <f t="shared" ca="1" si="336"/>
        <v/>
      </c>
      <c r="O2021" s="494" t="s">
        <v>1732</v>
      </c>
      <c r="P2021" s="555" t="str">
        <f t="shared" ca="1" si="337"/>
        <v/>
      </c>
      <c r="Q2021" s="494" t="s">
        <v>1733</v>
      </c>
      <c r="R2021" s="494" t="str">
        <f>CONCATENATE("H",ROW(J2021))</f>
        <v>H2021</v>
      </c>
      <c r="S2021" s="494" t="s">
        <v>1734</v>
      </c>
      <c r="T2021" s="494">
        <v>7</v>
      </c>
      <c r="U2021" s="556" t="str">
        <f t="shared" ca="1" si="332"/>
        <v/>
      </c>
      <c r="V2021" s="494">
        <v>8</v>
      </c>
      <c r="W2021" s="556" t="str">
        <f t="shared" ca="1" si="333"/>
        <v/>
      </c>
      <c r="X2021" s="557"/>
      <c r="Y2021" s="958"/>
      <c r="Z2021" s="958"/>
      <c r="AA2021" s="958"/>
      <c r="AB2021" s="958" t="s">
        <v>1735</v>
      </c>
      <c r="AC2021" s="547" t="str">
        <f t="shared" ca="1" si="339"/>
        <v/>
      </c>
      <c r="AD2021" s="494" t="s">
        <v>1736</v>
      </c>
      <c r="AE2021" s="547" t="str">
        <f t="shared" ca="1" si="338"/>
        <v/>
      </c>
    </row>
    <row r="2022" spans="1:31">
      <c r="A2022" s="957">
        <v>101</v>
      </c>
      <c r="B2022" s="566" t="s">
        <v>801</v>
      </c>
      <c r="C2022" s="567" t="s">
        <v>1730</v>
      </c>
      <c r="D2022" s="958">
        <v>1.2</v>
      </c>
      <c r="E2022" s="959" t="s">
        <v>419</v>
      </c>
      <c r="F2022" s="558" t="s">
        <v>1501</v>
      </c>
      <c r="G2022" s="558">
        <v>740</v>
      </c>
      <c r="H2022" s="558" t="s">
        <v>524</v>
      </c>
      <c r="I2022" s="559" t="s">
        <v>422</v>
      </c>
      <c r="J2022" s="567" t="s">
        <v>1731</v>
      </c>
      <c r="K2022" s="961" t="s">
        <v>1373</v>
      </c>
      <c r="L2022" s="555" t="str">
        <f t="shared" ca="1" si="335"/>
        <v/>
      </c>
      <c r="M2022" s="494" t="s">
        <v>1609</v>
      </c>
      <c r="N2022" s="555" t="str">
        <f t="shared" ca="1" si="336"/>
        <v/>
      </c>
      <c r="O2022" s="494" t="s">
        <v>1732</v>
      </c>
      <c r="P2022" s="555" t="str">
        <f t="shared" ca="1" si="337"/>
        <v/>
      </c>
      <c r="Q2022" s="494" t="s">
        <v>1733</v>
      </c>
      <c r="R2022" s="494" t="str">
        <f>CONCATENATE("H",ROW(J2022))</f>
        <v>H2022</v>
      </c>
      <c r="S2022" s="494" t="s">
        <v>1734</v>
      </c>
      <c r="T2022" s="494">
        <v>7</v>
      </c>
      <c r="U2022" s="556" t="str">
        <f t="shared" ca="1" si="332"/>
        <v/>
      </c>
      <c r="V2022" s="494">
        <v>8</v>
      </c>
      <c r="W2022" s="556" t="str">
        <f t="shared" ca="1" si="333"/>
        <v/>
      </c>
      <c r="X2022" s="557"/>
      <c r="Y2022" s="958"/>
      <c r="Z2022" s="958"/>
      <c r="AA2022" s="958"/>
      <c r="AB2022" s="958" t="s">
        <v>1735</v>
      </c>
      <c r="AC2022" s="547" t="str">
        <f t="shared" ca="1" si="339"/>
        <v/>
      </c>
      <c r="AD2022" s="494" t="s">
        <v>1736</v>
      </c>
      <c r="AE2022" s="547" t="str">
        <f t="shared" ca="1" si="338"/>
        <v/>
      </c>
    </row>
    <row r="2023" spans="1:31">
      <c r="A2023" s="957">
        <v>101</v>
      </c>
      <c r="B2023" s="566" t="s">
        <v>801</v>
      </c>
      <c r="C2023" s="567" t="s">
        <v>1730</v>
      </c>
      <c r="D2023" s="958">
        <v>1.2</v>
      </c>
      <c r="E2023" s="959" t="s">
        <v>419</v>
      </c>
      <c r="F2023" s="558" t="s">
        <v>1501</v>
      </c>
      <c r="G2023" s="558">
        <v>741</v>
      </c>
      <c r="H2023" s="558" t="s">
        <v>526</v>
      </c>
      <c r="I2023" s="559" t="s">
        <v>424</v>
      </c>
      <c r="J2023" s="567" t="s">
        <v>1731</v>
      </c>
      <c r="K2023" s="961" t="s">
        <v>1373</v>
      </c>
      <c r="L2023" s="555" t="str">
        <f t="shared" ca="1" si="335"/>
        <v/>
      </c>
      <c r="M2023" s="494" t="s">
        <v>1609</v>
      </c>
      <c r="N2023" s="555" t="str">
        <f t="shared" ca="1" si="336"/>
        <v/>
      </c>
      <c r="O2023" s="494" t="s">
        <v>1732</v>
      </c>
      <c r="P2023" s="555" t="str">
        <f t="shared" ca="1" si="337"/>
        <v/>
      </c>
      <c r="Q2023" s="494" t="s">
        <v>1733</v>
      </c>
      <c r="R2023" s="494" t="str">
        <f>CONCATENATE("H",ROW(J2023))</f>
        <v>H2023</v>
      </c>
      <c r="S2023" s="494" t="s">
        <v>1734</v>
      </c>
      <c r="T2023" s="494">
        <v>7</v>
      </c>
      <c r="U2023" s="556" t="str">
        <f t="shared" ca="1" si="332"/>
        <v/>
      </c>
      <c r="V2023" s="494">
        <v>8</v>
      </c>
      <c r="W2023" s="556" t="str">
        <f t="shared" ca="1" si="333"/>
        <v/>
      </c>
      <c r="X2023" s="557"/>
      <c r="Y2023" s="958"/>
      <c r="Z2023" s="958"/>
      <c r="AA2023" s="958"/>
      <c r="AB2023" s="958" t="s">
        <v>1735</v>
      </c>
      <c r="AC2023" s="547" t="str">
        <f t="shared" ca="1" si="339"/>
        <v/>
      </c>
      <c r="AD2023" s="494" t="s">
        <v>1736</v>
      </c>
      <c r="AE2023" s="547" t="str">
        <f t="shared" ca="1" si="338"/>
        <v/>
      </c>
    </row>
    <row r="2024" spans="1:31">
      <c r="A2024" s="957">
        <v>101</v>
      </c>
      <c r="B2024" s="566" t="s">
        <v>801</v>
      </c>
      <c r="C2024" s="567" t="s">
        <v>1730</v>
      </c>
      <c r="D2024" s="958">
        <v>1.2</v>
      </c>
      <c r="E2024" s="959" t="s">
        <v>419</v>
      </c>
      <c r="F2024" s="558" t="s">
        <v>1501</v>
      </c>
      <c r="G2024" s="558">
        <v>742</v>
      </c>
      <c r="H2024" s="558" t="s">
        <v>528</v>
      </c>
      <c r="I2024" s="559" t="s">
        <v>932</v>
      </c>
      <c r="J2024" s="567" t="s">
        <v>1731</v>
      </c>
      <c r="K2024" s="961" t="s">
        <v>1373</v>
      </c>
      <c r="L2024" s="555" t="str">
        <f t="shared" ca="1" si="335"/>
        <v/>
      </c>
      <c r="M2024" s="494" t="s">
        <v>1609</v>
      </c>
      <c r="N2024" s="555" t="str">
        <f t="shared" ca="1" si="336"/>
        <v/>
      </c>
      <c r="O2024" s="494" t="s">
        <v>1732</v>
      </c>
      <c r="P2024" s="555" t="str">
        <f t="shared" ca="1" si="337"/>
        <v/>
      </c>
      <c r="Q2024" s="494" t="s">
        <v>1733</v>
      </c>
      <c r="R2024" s="494" t="str">
        <f>CONCATENATE("H",ROW(J2024))</f>
        <v>H2024</v>
      </c>
      <c r="S2024" s="494" t="s">
        <v>1734</v>
      </c>
      <c r="T2024" s="494">
        <v>7</v>
      </c>
      <c r="U2024" s="556" t="str">
        <f t="shared" ca="1" si="332"/>
        <v/>
      </c>
      <c r="V2024" s="494">
        <v>8</v>
      </c>
      <c r="W2024" s="556" t="str">
        <f t="shared" ca="1" si="333"/>
        <v/>
      </c>
      <c r="X2024" s="557"/>
      <c r="Y2024" s="958"/>
      <c r="Z2024" s="958"/>
      <c r="AA2024" s="958"/>
      <c r="AB2024" s="958" t="s">
        <v>1735</v>
      </c>
      <c r="AC2024" s="547" t="str">
        <f t="shared" ca="1" si="339"/>
        <v/>
      </c>
      <c r="AD2024" s="494" t="s">
        <v>1736</v>
      </c>
      <c r="AE2024" s="547" t="str">
        <f t="shared" ca="1" si="338"/>
        <v/>
      </c>
    </row>
    <row r="2025" spans="1:31">
      <c r="A2025" s="957">
        <v>101</v>
      </c>
      <c r="B2025" s="566" t="s">
        <v>801</v>
      </c>
      <c r="C2025" s="567" t="s">
        <v>1730</v>
      </c>
      <c r="D2025" s="958">
        <v>1.2</v>
      </c>
      <c r="E2025" s="959" t="s">
        <v>419</v>
      </c>
      <c r="F2025" s="558" t="s">
        <v>1501</v>
      </c>
      <c r="G2025" s="558">
        <v>744</v>
      </c>
      <c r="H2025" s="558" t="s">
        <v>530</v>
      </c>
      <c r="I2025" s="559" t="s">
        <v>428</v>
      </c>
      <c r="J2025" s="567" t="s">
        <v>1731</v>
      </c>
      <c r="K2025" s="961" t="s">
        <v>1373</v>
      </c>
      <c r="L2025" s="555" t="str">
        <f t="shared" ca="1" si="335"/>
        <v/>
      </c>
      <c r="M2025" s="494" t="s">
        <v>1609</v>
      </c>
      <c r="N2025" s="555" t="str">
        <f t="shared" ca="1" si="336"/>
        <v/>
      </c>
      <c r="O2025" s="494" t="s">
        <v>1732</v>
      </c>
      <c r="P2025" s="555" t="str">
        <f t="shared" ca="1" si="337"/>
        <v/>
      </c>
      <c r="Q2025" s="494" t="s">
        <v>1733</v>
      </c>
      <c r="R2025" s="494" t="str">
        <f>CONCATENATE("H",ROW(J2025))</f>
        <v>H2025</v>
      </c>
      <c r="S2025" s="494" t="s">
        <v>1734</v>
      </c>
      <c r="T2025" s="494">
        <v>7</v>
      </c>
      <c r="U2025" s="556" t="str">
        <f t="shared" ca="1" si="332"/>
        <v/>
      </c>
      <c r="V2025" s="494">
        <v>8</v>
      </c>
      <c r="W2025" s="556" t="str">
        <f t="shared" ca="1" si="333"/>
        <v/>
      </c>
      <c r="X2025" s="557"/>
      <c r="Y2025" s="958"/>
      <c r="Z2025" s="958"/>
      <c r="AA2025" s="958"/>
      <c r="AB2025" s="958" t="s">
        <v>1735</v>
      </c>
      <c r="AC2025" s="547" t="str">
        <f t="shared" ca="1" si="339"/>
        <v/>
      </c>
      <c r="AD2025" s="494" t="s">
        <v>1736</v>
      </c>
      <c r="AE2025" s="547" t="str">
        <f t="shared" ca="1" si="338"/>
        <v/>
      </c>
    </row>
    <row r="2026" spans="1:31">
      <c r="A2026" s="957" t="str">
        <f ca="1">IF(N2026="Design Review",45,IF(N2026="As Built",46,"45/46"))</f>
        <v>45/46</v>
      </c>
      <c r="B2026" s="566" t="s">
        <v>177</v>
      </c>
      <c r="C2026" s="567" t="str">
        <f ca="1">IF(N2026="Design Review","Green Star - Public Building Design",IF(N2026="As Built","Green Star - Public Building As Built","Green Star - Public Building"))</f>
        <v>Green Star - Public Building</v>
      </c>
      <c r="D2026" s="958">
        <v>1</v>
      </c>
      <c r="E2026" s="959" t="s">
        <v>254</v>
      </c>
      <c r="F2026" s="558" t="s">
        <v>1444</v>
      </c>
      <c r="G2026" s="558">
        <v>477</v>
      </c>
      <c r="H2026" s="558" t="s">
        <v>1091</v>
      </c>
      <c r="I2026" s="559" t="s">
        <v>257</v>
      </c>
      <c r="J2026" s="567" t="s">
        <v>1746</v>
      </c>
      <c r="K2026" s="961" t="s">
        <v>1568</v>
      </c>
      <c r="L2026" s="555" t="str">
        <f t="shared" ca="1" si="335"/>
        <v/>
      </c>
      <c r="M2026" s="494" t="s">
        <v>1373</v>
      </c>
      <c r="N2026" s="555" t="str">
        <f t="shared" ref="N2026:N2057" ca="1" si="341">IF(AND(INDIRECT(CONCATENATE($J2026,$K2026,5))=$B2026,ISNUMBER(SEARCH("Select",INDIRECT(CONCATENATE($J2026,$M2026,6)),1))=FALSE),INDIRECT(CONCATENATE($J2026,$M2026,6)),"")</f>
        <v/>
      </c>
      <c r="O2026" s="494" t="s">
        <v>1598</v>
      </c>
      <c r="P2026" s="555" t="str">
        <f t="shared" ref="P2026:P2057" ca="1" si="342">IF(AND(INDIRECT(CONCATENATE($J2026,$K2026,5))=$B2026,ISNUMBER(SEARCH("Select",INDIRECT(CONCATENATE($J2026,$O2026,6)),1))=FALSE),INDIRECT(CONCATENATE($J2026,$O2026,6)),"")</f>
        <v/>
      </c>
      <c r="Q2026" s="494" t="s">
        <v>1747</v>
      </c>
      <c r="R2026" s="494" t="str">
        <f>CONCATENATE("I",ROW(J2026))</f>
        <v>I2026</v>
      </c>
      <c r="S2026" s="494" t="s">
        <v>1748</v>
      </c>
      <c r="T2026" s="494">
        <v>5</v>
      </c>
      <c r="U2026" s="556" t="str">
        <f t="shared" ca="1" si="332"/>
        <v/>
      </c>
      <c r="V2026" s="494">
        <v>6</v>
      </c>
      <c r="W2026" s="556" t="str">
        <f t="shared" ca="1" si="333"/>
        <v/>
      </c>
      <c r="X2026" s="571" t="s">
        <v>1749</v>
      </c>
      <c r="Y2026" s="572" t="str">
        <f t="shared" ref="Y2026:Y2057" ca="1" si="343">IF(AND(INDIRECT(CONCATENATE($J2026,$K2026,5))=$B2026,ISBLANK(INDIRECT(CONCATENATE($J2026,X2026)))=FALSE),INDIRECT(CONCATENATE($J2026,X2026)),"")</f>
        <v/>
      </c>
      <c r="Z2026" s="573" t="s">
        <v>1603</v>
      </c>
      <c r="AA2026" s="572" t="str">
        <f t="shared" ref="AA2026:AA2057" ca="1" si="344">IF(AND(INDIRECT(CONCATENATE($J2026,$K2026,5))=$B2026,ISBLANK(INDIRECT(CONCATENATE($J2026,Z2026)))=FALSE),INDIRECT(CONCATENATE($J2026,Z2026)),"")</f>
        <v/>
      </c>
      <c r="AB2026" s="573" t="s">
        <v>1750</v>
      </c>
      <c r="AC2026" s="547" t="str">
        <f t="shared" ca="1" si="339"/>
        <v/>
      </c>
      <c r="AD2026" s="557"/>
      <c r="AE2026" s="958"/>
    </row>
    <row r="2027" spans="1:31">
      <c r="A2027" s="957" t="str">
        <f t="shared" ref="A2027:A2088" ca="1" si="345">IF(N2027="Design Review",45,IF(N2027="As Built",46,"45/46"))</f>
        <v>45/46</v>
      </c>
      <c r="B2027" s="566" t="s">
        <v>177</v>
      </c>
      <c r="C2027" s="567" t="str">
        <f t="shared" ref="C2027:C2088" ca="1" si="346">IF(N2027="Design Review","Green Star - Public Building Design",IF(N2027="As Built","Green Star - Public Building As Built","Green Star - Public Building"))</f>
        <v>Green Star - Public Building</v>
      </c>
      <c r="D2027" s="958">
        <v>1</v>
      </c>
      <c r="E2027" s="959" t="s">
        <v>254</v>
      </c>
      <c r="F2027" s="558" t="s">
        <v>1444</v>
      </c>
      <c r="G2027" s="558">
        <v>478</v>
      </c>
      <c r="H2027" s="558" t="s">
        <v>1093</v>
      </c>
      <c r="I2027" s="559" t="s">
        <v>949</v>
      </c>
      <c r="J2027" s="567" t="s">
        <v>1746</v>
      </c>
      <c r="K2027" s="961" t="s">
        <v>1568</v>
      </c>
      <c r="L2027" s="555" t="str">
        <f t="shared" ca="1" si="335"/>
        <v/>
      </c>
      <c r="M2027" s="494" t="s">
        <v>1373</v>
      </c>
      <c r="N2027" s="555" t="str">
        <f t="shared" ca="1" si="341"/>
        <v/>
      </c>
      <c r="O2027" s="494" t="s">
        <v>1598</v>
      </c>
      <c r="P2027" s="555" t="str">
        <f t="shared" ca="1" si="342"/>
        <v/>
      </c>
      <c r="Q2027" s="494" t="s">
        <v>1747</v>
      </c>
      <c r="R2027" s="494" t="str">
        <f t="shared" ref="R2027:R2085" si="347">CONCATENATE("I",ROW(J2027))</f>
        <v>I2027</v>
      </c>
      <c r="S2027" s="494" t="s">
        <v>1748</v>
      </c>
      <c r="T2027" s="494">
        <v>5</v>
      </c>
      <c r="U2027" s="556" t="str">
        <f t="shared" ca="1" si="332"/>
        <v/>
      </c>
      <c r="V2027" s="494">
        <v>6</v>
      </c>
      <c r="W2027" s="556" t="str">
        <f t="shared" ca="1" si="333"/>
        <v/>
      </c>
      <c r="X2027" s="494" t="s">
        <v>1749</v>
      </c>
      <c r="Y2027" s="547" t="str">
        <f t="shared" ca="1" si="343"/>
        <v/>
      </c>
      <c r="Z2027" s="494" t="s">
        <v>1603</v>
      </c>
      <c r="AA2027" s="547" t="str">
        <f t="shared" ca="1" si="344"/>
        <v/>
      </c>
      <c r="AB2027" s="494" t="s">
        <v>1750</v>
      </c>
      <c r="AC2027" s="547" t="str">
        <f t="shared" ca="1" si="339"/>
        <v/>
      </c>
      <c r="AD2027" s="557"/>
      <c r="AE2027" s="958"/>
    </row>
    <row r="2028" spans="1:31">
      <c r="A2028" s="957" t="str">
        <f t="shared" ca="1" si="345"/>
        <v>45/46</v>
      </c>
      <c r="B2028" s="566" t="s">
        <v>177</v>
      </c>
      <c r="C2028" s="567" t="str">
        <f t="shared" ca="1" si="346"/>
        <v>Green Star - Public Building</v>
      </c>
      <c r="D2028" s="958">
        <v>1</v>
      </c>
      <c r="E2028" s="959" t="s">
        <v>254</v>
      </c>
      <c r="F2028" s="558" t="s">
        <v>1444</v>
      </c>
      <c r="G2028" s="558">
        <v>479</v>
      </c>
      <c r="H2028" s="558" t="s">
        <v>1098</v>
      </c>
      <c r="I2028" s="559" t="s">
        <v>1099</v>
      </c>
      <c r="J2028" s="567" t="s">
        <v>1746</v>
      </c>
      <c r="K2028" s="961" t="s">
        <v>1568</v>
      </c>
      <c r="L2028" s="555" t="str">
        <f t="shared" ca="1" si="335"/>
        <v/>
      </c>
      <c r="M2028" s="494" t="s">
        <v>1373</v>
      </c>
      <c r="N2028" s="555" t="str">
        <f t="shared" ca="1" si="341"/>
        <v/>
      </c>
      <c r="O2028" s="494" t="s">
        <v>1598</v>
      </c>
      <c r="P2028" s="555" t="str">
        <f t="shared" ca="1" si="342"/>
        <v/>
      </c>
      <c r="Q2028" s="494" t="s">
        <v>1747</v>
      </c>
      <c r="R2028" s="494" t="str">
        <f t="shared" si="347"/>
        <v>I2028</v>
      </c>
      <c r="S2028" s="494" t="s">
        <v>1748</v>
      </c>
      <c r="T2028" s="494">
        <v>5</v>
      </c>
      <c r="U2028" s="556" t="str">
        <f t="shared" ca="1" si="332"/>
        <v/>
      </c>
      <c r="V2028" s="494">
        <v>6</v>
      </c>
      <c r="W2028" s="556" t="str">
        <f t="shared" ca="1" si="333"/>
        <v/>
      </c>
      <c r="X2028" s="494" t="s">
        <v>1749</v>
      </c>
      <c r="Y2028" s="547" t="str">
        <f t="shared" ca="1" si="343"/>
        <v/>
      </c>
      <c r="Z2028" s="494" t="s">
        <v>1603</v>
      </c>
      <c r="AA2028" s="547" t="str">
        <f t="shared" ca="1" si="344"/>
        <v/>
      </c>
      <c r="AB2028" s="494" t="s">
        <v>1750</v>
      </c>
      <c r="AC2028" s="547" t="str">
        <f t="shared" ca="1" si="339"/>
        <v/>
      </c>
      <c r="AD2028" s="557"/>
      <c r="AE2028" s="958"/>
    </row>
    <row r="2029" spans="1:31">
      <c r="A2029" s="957" t="str">
        <f t="shared" ca="1" si="345"/>
        <v>45/46</v>
      </c>
      <c r="B2029" s="566" t="s">
        <v>177</v>
      </c>
      <c r="C2029" s="567" t="str">
        <f t="shared" ca="1" si="346"/>
        <v>Green Star - Public Building</v>
      </c>
      <c r="D2029" s="958">
        <v>1</v>
      </c>
      <c r="E2029" s="959" t="s">
        <v>254</v>
      </c>
      <c r="F2029" s="558" t="s">
        <v>1444</v>
      </c>
      <c r="G2029" s="558">
        <v>480</v>
      </c>
      <c r="H2029" s="558" t="s">
        <v>1100</v>
      </c>
      <c r="I2029" s="559" t="s">
        <v>281</v>
      </c>
      <c r="J2029" s="567" t="s">
        <v>1746</v>
      </c>
      <c r="K2029" s="961" t="s">
        <v>1568</v>
      </c>
      <c r="L2029" s="555" t="str">
        <f t="shared" ca="1" si="335"/>
        <v/>
      </c>
      <c r="M2029" s="494" t="s">
        <v>1373</v>
      </c>
      <c r="N2029" s="555" t="str">
        <f t="shared" ca="1" si="341"/>
        <v/>
      </c>
      <c r="O2029" s="494" t="s">
        <v>1598</v>
      </c>
      <c r="P2029" s="555" t="str">
        <f t="shared" ca="1" si="342"/>
        <v/>
      </c>
      <c r="Q2029" s="494" t="s">
        <v>1747</v>
      </c>
      <c r="R2029" s="494" t="str">
        <f t="shared" si="347"/>
        <v>I2029</v>
      </c>
      <c r="S2029" s="494" t="s">
        <v>1748</v>
      </c>
      <c r="T2029" s="494">
        <v>5</v>
      </c>
      <c r="U2029" s="556" t="str">
        <f t="shared" ca="1" si="332"/>
        <v/>
      </c>
      <c r="V2029" s="494">
        <v>6</v>
      </c>
      <c r="W2029" s="556" t="str">
        <f t="shared" ca="1" si="333"/>
        <v/>
      </c>
      <c r="X2029" s="494" t="s">
        <v>1749</v>
      </c>
      <c r="Y2029" s="547" t="str">
        <f t="shared" ca="1" si="343"/>
        <v/>
      </c>
      <c r="Z2029" s="494" t="s">
        <v>1603</v>
      </c>
      <c r="AA2029" s="547" t="str">
        <f t="shared" ca="1" si="344"/>
        <v/>
      </c>
      <c r="AB2029" s="494" t="s">
        <v>1750</v>
      </c>
      <c r="AC2029" s="547" t="str">
        <f t="shared" ca="1" si="339"/>
        <v/>
      </c>
      <c r="AD2029" s="557"/>
      <c r="AE2029" s="958"/>
    </row>
    <row r="2030" spans="1:31">
      <c r="A2030" s="957" t="str">
        <f t="shared" ca="1" si="345"/>
        <v>45/46</v>
      </c>
      <c r="B2030" s="566" t="s">
        <v>177</v>
      </c>
      <c r="C2030" s="567" t="str">
        <f t="shared" ca="1" si="346"/>
        <v>Green Star - Public Building</v>
      </c>
      <c r="D2030" s="958">
        <v>1</v>
      </c>
      <c r="E2030" s="959" t="s">
        <v>254</v>
      </c>
      <c r="F2030" s="558" t="s">
        <v>1444</v>
      </c>
      <c r="G2030" s="558">
        <v>481</v>
      </c>
      <c r="H2030" s="558" t="s">
        <v>1101</v>
      </c>
      <c r="I2030" s="559" t="s">
        <v>1272</v>
      </c>
      <c r="J2030" s="567" t="s">
        <v>1746</v>
      </c>
      <c r="K2030" s="961" t="s">
        <v>1568</v>
      </c>
      <c r="L2030" s="555" t="str">
        <f t="shared" ca="1" si="335"/>
        <v/>
      </c>
      <c r="M2030" s="494" t="s">
        <v>1373</v>
      </c>
      <c r="N2030" s="555" t="str">
        <f t="shared" ca="1" si="341"/>
        <v/>
      </c>
      <c r="O2030" s="494" t="s">
        <v>1598</v>
      </c>
      <c r="P2030" s="555" t="str">
        <f t="shared" ca="1" si="342"/>
        <v/>
      </c>
      <c r="Q2030" s="494" t="s">
        <v>1747</v>
      </c>
      <c r="R2030" s="494" t="str">
        <f t="shared" si="347"/>
        <v>I2030</v>
      </c>
      <c r="S2030" s="494" t="s">
        <v>1748</v>
      </c>
      <c r="T2030" s="494">
        <v>5</v>
      </c>
      <c r="U2030" s="556" t="str">
        <f t="shared" ca="1" si="332"/>
        <v/>
      </c>
      <c r="V2030" s="494">
        <v>6</v>
      </c>
      <c r="W2030" s="556" t="str">
        <f t="shared" ca="1" si="333"/>
        <v/>
      </c>
      <c r="X2030" s="494" t="s">
        <v>1749</v>
      </c>
      <c r="Y2030" s="547" t="str">
        <f t="shared" ca="1" si="343"/>
        <v/>
      </c>
      <c r="Z2030" s="494" t="s">
        <v>1603</v>
      </c>
      <c r="AA2030" s="547" t="str">
        <f t="shared" ca="1" si="344"/>
        <v/>
      </c>
      <c r="AB2030" s="494" t="s">
        <v>1750</v>
      </c>
      <c r="AC2030" s="547" t="str">
        <f t="shared" ca="1" si="339"/>
        <v/>
      </c>
      <c r="AD2030" s="557"/>
      <c r="AE2030" s="958"/>
    </row>
    <row r="2031" spans="1:31">
      <c r="A2031" s="957" t="str">
        <f t="shared" ca="1" si="345"/>
        <v>45/46</v>
      </c>
      <c r="B2031" s="566" t="s">
        <v>177</v>
      </c>
      <c r="C2031" s="567" t="str">
        <f t="shared" ca="1" si="346"/>
        <v>Green Star - Public Building</v>
      </c>
      <c r="D2031" s="958">
        <v>1</v>
      </c>
      <c r="E2031" s="959" t="s">
        <v>254</v>
      </c>
      <c r="F2031" s="558" t="s">
        <v>1444</v>
      </c>
      <c r="G2031" s="558">
        <v>482</v>
      </c>
      <c r="H2031" s="558" t="s">
        <v>1103</v>
      </c>
      <c r="I2031" s="559" t="s">
        <v>680</v>
      </c>
      <c r="J2031" s="567" t="s">
        <v>1746</v>
      </c>
      <c r="K2031" s="961" t="s">
        <v>1568</v>
      </c>
      <c r="L2031" s="555" t="str">
        <f t="shared" ca="1" si="335"/>
        <v/>
      </c>
      <c r="M2031" s="494" t="s">
        <v>1373</v>
      </c>
      <c r="N2031" s="555" t="str">
        <f t="shared" ca="1" si="341"/>
        <v/>
      </c>
      <c r="O2031" s="494" t="s">
        <v>1598</v>
      </c>
      <c r="P2031" s="555" t="str">
        <f t="shared" ca="1" si="342"/>
        <v/>
      </c>
      <c r="Q2031" s="494" t="s">
        <v>1747</v>
      </c>
      <c r="R2031" s="494" t="str">
        <f t="shared" si="347"/>
        <v>I2031</v>
      </c>
      <c r="S2031" s="494" t="s">
        <v>1748</v>
      </c>
      <c r="T2031" s="494">
        <v>5</v>
      </c>
      <c r="U2031" s="556" t="str">
        <f t="shared" ca="1" si="332"/>
        <v/>
      </c>
      <c r="V2031" s="494">
        <v>6</v>
      </c>
      <c r="W2031" s="556" t="str">
        <f t="shared" ca="1" si="333"/>
        <v/>
      </c>
      <c r="X2031" s="494" t="s">
        <v>1749</v>
      </c>
      <c r="Y2031" s="547" t="str">
        <f t="shared" ca="1" si="343"/>
        <v/>
      </c>
      <c r="Z2031" s="494" t="s">
        <v>1603</v>
      </c>
      <c r="AA2031" s="547" t="str">
        <f t="shared" ca="1" si="344"/>
        <v/>
      </c>
      <c r="AB2031" s="494" t="s">
        <v>1750</v>
      </c>
      <c r="AC2031" s="547" t="str">
        <f t="shared" ca="1" si="339"/>
        <v/>
      </c>
      <c r="AD2031" s="557"/>
      <c r="AE2031" s="958"/>
    </row>
    <row r="2032" spans="1:31">
      <c r="A2032" s="957" t="str">
        <f t="shared" ca="1" si="345"/>
        <v>45/46</v>
      </c>
      <c r="B2032" s="566" t="s">
        <v>177</v>
      </c>
      <c r="C2032" s="567" t="str">
        <f t="shared" ca="1" si="346"/>
        <v>Green Star - Public Building</v>
      </c>
      <c r="D2032" s="958">
        <v>1</v>
      </c>
      <c r="E2032" s="959" t="s">
        <v>254</v>
      </c>
      <c r="F2032" s="558" t="s">
        <v>1444</v>
      </c>
      <c r="G2032" s="558">
        <v>483</v>
      </c>
      <c r="H2032" s="558" t="s">
        <v>1104</v>
      </c>
      <c r="I2032" s="559" t="s">
        <v>785</v>
      </c>
      <c r="J2032" s="567" t="s">
        <v>1746</v>
      </c>
      <c r="K2032" s="961" t="s">
        <v>1568</v>
      </c>
      <c r="L2032" s="555" t="str">
        <f t="shared" ca="1" si="335"/>
        <v/>
      </c>
      <c r="M2032" s="494" t="s">
        <v>1373</v>
      </c>
      <c r="N2032" s="555" t="str">
        <f t="shared" ca="1" si="341"/>
        <v/>
      </c>
      <c r="O2032" s="494" t="s">
        <v>1598</v>
      </c>
      <c r="P2032" s="555" t="str">
        <f t="shared" ca="1" si="342"/>
        <v/>
      </c>
      <c r="Q2032" s="494" t="s">
        <v>1747</v>
      </c>
      <c r="R2032" s="494" t="str">
        <f>CONCATENATE("I",ROW(J2032))</f>
        <v>I2032</v>
      </c>
      <c r="S2032" s="494" t="s">
        <v>1748</v>
      </c>
      <c r="T2032" s="494">
        <v>5</v>
      </c>
      <c r="U2032" s="556" t="str">
        <f t="shared" ca="1" si="332"/>
        <v/>
      </c>
      <c r="V2032" s="494">
        <v>6</v>
      </c>
      <c r="W2032" s="556" t="str">
        <f t="shared" ca="1" si="333"/>
        <v/>
      </c>
      <c r="X2032" s="494" t="s">
        <v>1749</v>
      </c>
      <c r="Y2032" s="547" t="str">
        <f t="shared" ca="1" si="343"/>
        <v/>
      </c>
      <c r="Z2032" s="494" t="s">
        <v>1603</v>
      </c>
      <c r="AA2032" s="547" t="str">
        <f t="shared" ca="1" si="344"/>
        <v/>
      </c>
      <c r="AB2032" s="494" t="s">
        <v>1750</v>
      </c>
      <c r="AC2032" s="547" t="str">
        <f t="shared" ca="1" si="339"/>
        <v/>
      </c>
      <c r="AD2032" s="557"/>
      <c r="AE2032" s="958"/>
    </row>
    <row r="2033" spans="1:31">
      <c r="A2033" s="957" t="str">
        <f t="shared" ca="1" si="345"/>
        <v>45/46</v>
      </c>
      <c r="B2033" s="566" t="s">
        <v>177</v>
      </c>
      <c r="C2033" s="567" t="str">
        <f t="shared" ca="1" si="346"/>
        <v>Green Star - Public Building</v>
      </c>
      <c r="D2033" s="958">
        <v>1</v>
      </c>
      <c r="E2033" s="959" t="s">
        <v>254</v>
      </c>
      <c r="F2033" s="558" t="s">
        <v>1444</v>
      </c>
      <c r="G2033" s="558">
        <v>484</v>
      </c>
      <c r="H2033" s="558" t="s">
        <v>1254</v>
      </c>
      <c r="I2033" s="559" t="s">
        <v>1255</v>
      </c>
      <c r="J2033" s="567" t="s">
        <v>1746</v>
      </c>
      <c r="K2033" s="961" t="s">
        <v>1568</v>
      </c>
      <c r="L2033" s="555" t="str">
        <f t="shared" ca="1" si="335"/>
        <v/>
      </c>
      <c r="M2033" s="494" t="s">
        <v>1373</v>
      </c>
      <c r="N2033" s="555" t="str">
        <f t="shared" ca="1" si="341"/>
        <v/>
      </c>
      <c r="O2033" s="494" t="s">
        <v>1598</v>
      </c>
      <c r="P2033" s="555" t="str">
        <f t="shared" ca="1" si="342"/>
        <v/>
      </c>
      <c r="Q2033" s="494" t="s">
        <v>1747</v>
      </c>
      <c r="R2033" s="494" t="str">
        <f>CONCATENATE("I",ROW(J2033))</f>
        <v>I2033</v>
      </c>
      <c r="S2033" s="494" t="s">
        <v>1748</v>
      </c>
      <c r="T2033" s="494">
        <v>5</v>
      </c>
      <c r="U2033" s="556" t="str">
        <f t="shared" ca="1" si="332"/>
        <v/>
      </c>
      <c r="V2033" s="494">
        <v>6</v>
      </c>
      <c r="W2033" s="556" t="str">
        <f t="shared" ca="1" si="333"/>
        <v/>
      </c>
      <c r="X2033" s="494" t="s">
        <v>1749</v>
      </c>
      <c r="Y2033" s="547" t="str">
        <f t="shared" ca="1" si="343"/>
        <v/>
      </c>
      <c r="Z2033" s="494" t="s">
        <v>1603</v>
      </c>
      <c r="AA2033" s="547" t="str">
        <f t="shared" ca="1" si="344"/>
        <v/>
      </c>
      <c r="AB2033" s="494" t="s">
        <v>1750</v>
      </c>
      <c r="AC2033" s="547" t="str">
        <f t="shared" ca="1" si="339"/>
        <v/>
      </c>
      <c r="AD2033" s="557"/>
      <c r="AE2033" s="958"/>
    </row>
    <row r="2034" spans="1:31">
      <c r="A2034" s="957" t="str">
        <f t="shared" ca="1" si="345"/>
        <v>45/46</v>
      </c>
      <c r="B2034" s="566" t="s">
        <v>177</v>
      </c>
      <c r="C2034" s="567" t="str">
        <f t="shared" ca="1" si="346"/>
        <v>Green Star - Public Building</v>
      </c>
      <c r="D2034" s="958">
        <v>1</v>
      </c>
      <c r="E2034" s="959" t="s">
        <v>254</v>
      </c>
      <c r="F2034" s="558" t="s">
        <v>1444</v>
      </c>
      <c r="G2034" s="558">
        <v>485</v>
      </c>
      <c r="H2034" s="558" t="s">
        <v>1107</v>
      </c>
      <c r="I2034" s="559" t="s">
        <v>1108</v>
      </c>
      <c r="J2034" s="567" t="s">
        <v>1746</v>
      </c>
      <c r="K2034" s="961" t="s">
        <v>1568</v>
      </c>
      <c r="L2034" s="555" t="str">
        <f t="shared" ca="1" si="335"/>
        <v/>
      </c>
      <c r="M2034" s="494" t="s">
        <v>1373</v>
      </c>
      <c r="N2034" s="555" t="str">
        <f t="shared" ca="1" si="341"/>
        <v/>
      </c>
      <c r="O2034" s="494" t="s">
        <v>1598</v>
      </c>
      <c r="P2034" s="555" t="str">
        <f t="shared" ca="1" si="342"/>
        <v/>
      </c>
      <c r="Q2034" s="494" t="s">
        <v>1747</v>
      </c>
      <c r="R2034" s="494" t="str">
        <f>CONCATENATE("I",ROW(J2034))</f>
        <v>I2034</v>
      </c>
      <c r="S2034" s="494" t="s">
        <v>1748</v>
      </c>
      <c r="T2034" s="494">
        <v>5</v>
      </c>
      <c r="U2034" s="556" t="str">
        <f t="shared" ca="1" si="332"/>
        <v/>
      </c>
      <c r="V2034" s="494">
        <v>6</v>
      </c>
      <c r="W2034" s="556" t="str">
        <f t="shared" ca="1" si="333"/>
        <v/>
      </c>
      <c r="X2034" s="494" t="s">
        <v>1749</v>
      </c>
      <c r="Y2034" s="547" t="str">
        <f t="shared" ca="1" si="343"/>
        <v/>
      </c>
      <c r="Z2034" s="494" t="s">
        <v>1603</v>
      </c>
      <c r="AA2034" s="547" t="str">
        <f t="shared" ca="1" si="344"/>
        <v/>
      </c>
      <c r="AB2034" s="494" t="s">
        <v>1750</v>
      </c>
      <c r="AC2034" s="547" t="str">
        <f t="shared" ca="1" si="339"/>
        <v/>
      </c>
      <c r="AD2034" s="557"/>
      <c r="AE2034" s="958"/>
    </row>
    <row r="2035" spans="1:31">
      <c r="A2035" s="957" t="str">
        <f t="shared" ca="1" si="345"/>
        <v>45/46</v>
      </c>
      <c r="B2035" s="566" t="s">
        <v>177</v>
      </c>
      <c r="C2035" s="567" t="str">
        <f t="shared" ca="1" si="346"/>
        <v>Green Star - Public Building</v>
      </c>
      <c r="D2035" s="958">
        <v>1</v>
      </c>
      <c r="E2035" s="959" t="s">
        <v>254</v>
      </c>
      <c r="F2035" s="558" t="s">
        <v>1444</v>
      </c>
      <c r="G2035" s="558">
        <v>486</v>
      </c>
      <c r="H2035" s="558" t="s">
        <v>1273</v>
      </c>
      <c r="I2035" s="559" t="s">
        <v>294</v>
      </c>
      <c r="J2035" s="567" t="s">
        <v>1746</v>
      </c>
      <c r="K2035" s="961" t="s">
        <v>1568</v>
      </c>
      <c r="L2035" s="555" t="str">
        <f t="shared" ca="1" si="335"/>
        <v/>
      </c>
      <c r="M2035" s="494" t="s">
        <v>1373</v>
      </c>
      <c r="N2035" s="555" t="str">
        <f t="shared" ca="1" si="341"/>
        <v/>
      </c>
      <c r="O2035" s="494" t="s">
        <v>1598</v>
      </c>
      <c r="P2035" s="555" t="str">
        <f t="shared" ca="1" si="342"/>
        <v/>
      </c>
      <c r="Q2035" s="494" t="s">
        <v>1747</v>
      </c>
      <c r="R2035" s="494" t="str">
        <f>CONCATENATE("I",ROW(J2035))</f>
        <v>I2035</v>
      </c>
      <c r="S2035" s="494" t="s">
        <v>1748</v>
      </c>
      <c r="T2035" s="494">
        <v>5</v>
      </c>
      <c r="U2035" s="556" t="str">
        <f t="shared" ca="1" si="332"/>
        <v/>
      </c>
      <c r="V2035" s="494">
        <v>6</v>
      </c>
      <c r="W2035" s="556" t="str">
        <f t="shared" ca="1" si="333"/>
        <v/>
      </c>
      <c r="X2035" s="494" t="s">
        <v>1749</v>
      </c>
      <c r="Y2035" s="547" t="str">
        <f t="shared" ca="1" si="343"/>
        <v/>
      </c>
      <c r="Z2035" s="494" t="s">
        <v>1603</v>
      </c>
      <c r="AA2035" s="547" t="str">
        <f t="shared" ca="1" si="344"/>
        <v/>
      </c>
      <c r="AB2035" s="494" t="s">
        <v>1750</v>
      </c>
      <c r="AC2035" s="547" t="str">
        <f t="shared" ref="AC2035:AC2066" ca="1" si="348">IF(AND(INDIRECT(CONCATENATE($J2035,$K2035,"5"))=$B2035,ISBLANK(INDIRECT(CONCATENATE($J2035,AB2035)))=FALSE),INDIRECT(CONCATENATE($J2035,AB2035)),"")</f>
        <v/>
      </c>
      <c r="AD2035" s="557"/>
      <c r="AE2035" s="958"/>
    </row>
    <row r="2036" spans="1:31">
      <c r="A2036" s="957" t="str">
        <f t="shared" ca="1" si="345"/>
        <v>45/46</v>
      </c>
      <c r="B2036" s="566" t="s">
        <v>177</v>
      </c>
      <c r="C2036" s="567" t="str">
        <f t="shared" ca="1" si="346"/>
        <v>Green Star - Public Building</v>
      </c>
      <c r="D2036" s="958">
        <v>1</v>
      </c>
      <c r="E2036" s="959" t="s">
        <v>306</v>
      </c>
      <c r="F2036" s="558" t="s">
        <v>1454</v>
      </c>
      <c r="G2036" s="558">
        <v>487</v>
      </c>
      <c r="H2036" s="558" t="s">
        <v>1116</v>
      </c>
      <c r="I2036" s="559" t="s">
        <v>1117</v>
      </c>
      <c r="J2036" s="567" t="s">
        <v>1746</v>
      </c>
      <c r="K2036" s="961" t="s">
        <v>1568</v>
      </c>
      <c r="L2036" s="555" t="str">
        <f t="shared" ca="1" si="335"/>
        <v/>
      </c>
      <c r="M2036" s="494" t="s">
        <v>1373</v>
      </c>
      <c r="N2036" s="555" t="str">
        <f t="shared" ca="1" si="341"/>
        <v/>
      </c>
      <c r="O2036" s="494" t="s">
        <v>1598</v>
      </c>
      <c r="P2036" s="555" t="str">
        <f t="shared" ca="1" si="342"/>
        <v/>
      </c>
      <c r="Q2036" s="494" t="s">
        <v>1747</v>
      </c>
      <c r="R2036" s="494" t="str">
        <f t="shared" si="347"/>
        <v>I2036</v>
      </c>
      <c r="S2036" s="494" t="s">
        <v>1748</v>
      </c>
      <c r="T2036" s="494">
        <v>5</v>
      </c>
      <c r="U2036" s="556" t="str">
        <f t="shared" ca="1" si="332"/>
        <v/>
      </c>
      <c r="V2036" s="494">
        <v>6</v>
      </c>
      <c r="W2036" s="556" t="str">
        <f t="shared" ca="1" si="333"/>
        <v/>
      </c>
      <c r="X2036" s="494" t="s">
        <v>1749</v>
      </c>
      <c r="Y2036" s="547" t="str">
        <f t="shared" ca="1" si="343"/>
        <v/>
      </c>
      <c r="Z2036" s="494" t="s">
        <v>1603</v>
      </c>
      <c r="AA2036" s="547" t="str">
        <f t="shared" ca="1" si="344"/>
        <v/>
      </c>
      <c r="AB2036" s="494" t="s">
        <v>1750</v>
      </c>
      <c r="AC2036" s="547" t="str">
        <f t="shared" ca="1" si="348"/>
        <v/>
      </c>
      <c r="AD2036" s="557"/>
      <c r="AE2036" s="958"/>
    </row>
    <row r="2037" spans="1:31">
      <c r="A2037" s="957" t="str">
        <f t="shared" ca="1" si="345"/>
        <v>45/46</v>
      </c>
      <c r="B2037" s="566" t="s">
        <v>177</v>
      </c>
      <c r="C2037" s="567" t="str">
        <f t="shared" ca="1" si="346"/>
        <v>Green Star - Public Building</v>
      </c>
      <c r="D2037" s="958">
        <v>1</v>
      </c>
      <c r="E2037" s="959" t="s">
        <v>306</v>
      </c>
      <c r="F2037" s="558" t="s">
        <v>1454</v>
      </c>
      <c r="G2037" s="558">
        <v>488</v>
      </c>
      <c r="H2037" s="558" t="s">
        <v>1118</v>
      </c>
      <c r="I2037" s="559" t="s">
        <v>1119</v>
      </c>
      <c r="J2037" s="567" t="s">
        <v>1746</v>
      </c>
      <c r="K2037" s="961" t="s">
        <v>1568</v>
      </c>
      <c r="L2037" s="555" t="str">
        <f t="shared" ca="1" si="335"/>
        <v/>
      </c>
      <c r="M2037" s="494" t="s">
        <v>1373</v>
      </c>
      <c r="N2037" s="555" t="str">
        <f t="shared" ca="1" si="341"/>
        <v/>
      </c>
      <c r="O2037" s="494" t="s">
        <v>1598</v>
      </c>
      <c r="P2037" s="555" t="str">
        <f t="shared" ca="1" si="342"/>
        <v/>
      </c>
      <c r="Q2037" s="494" t="s">
        <v>1747</v>
      </c>
      <c r="R2037" s="494" t="str">
        <f t="shared" si="347"/>
        <v>I2037</v>
      </c>
      <c r="S2037" s="494" t="s">
        <v>1748</v>
      </c>
      <c r="T2037" s="494">
        <v>5</v>
      </c>
      <c r="U2037" s="556" t="str">
        <f t="shared" ca="1" si="332"/>
        <v/>
      </c>
      <c r="V2037" s="494">
        <v>6</v>
      </c>
      <c r="W2037" s="556" t="str">
        <f t="shared" ca="1" si="333"/>
        <v/>
      </c>
      <c r="X2037" s="494" t="s">
        <v>1749</v>
      </c>
      <c r="Y2037" s="547" t="str">
        <f t="shared" ca="1" si="343"/>
        <v/>
      </c>
      <c r="Z2037" s="494" t="s">
        <v>1603</v>
      </c>
      <c r="AA2037" s="547" t="str">
        <f t="shared" ca="1" si="344"/>
        <v/>
      </c>
      <c r="AB2037" s="494" t="s">
        <v>1750</v>
      </c>
      <c r="AC2037" s="547" t="str">
        <f t="shared" ca="1" si="348"/>
        <v/>
      </c>
      <c r="AD2037" s="557"/>
      <c r="AE2037" s="958"/>
    </row>
    <row r="2038" spans="1:31">
      <c r="A2038" s="957" t="str">
        <f t="shared" ca="1" si="345"/>
        <v>45/46</v>
      </c>
      <c r="B2038" s="566" t="s">
        <v>177</v>
      </c>
      <c r="C2038" s="567" t="str">
        <f t="shared" ca="1" si="346"/>
        <v>Green Star - Public Building</v>
      </c>
      <c r="D2038" s="958">
        <v>1</v>
      </c>
      <c r="E2038" s="959" t="s">
        <v>306</v>
      </c>
      <c r="F2038" s="558" t="s">
        <v>1454</v>
      </c>
      <c r="G2038" s="558">
        <v>489</v>
      </c>
      <c r="H2038" s="558" t="s">
        <v>1120</v>
      </c>
      <c r="I2038" s="559" t="s">
        <v>1276</v>
      </c>
      <c r="J2038" s="567" t="s">
        <v>1746</v>
      </c>
      <c r="K2038" s="961" t="s">
        <v>1568</v>
      </c>
      <c r="L2038" s="555" t="str">
        <f t="shared" ca="1" si="335"/>
        <v/>
      </c>
      <c r="M2038" s="494" t="s">
        <v>1373</v>
      </c>
      <c r="N2038" s="555" t="str">
        <f t="shared" ca="1" si="341"/>
        <v/>
      </c>
      <c r="O2038" s="494" t="s">
        <v>1598</v>
      </c>
      <c r="P2038" s="555" t="str">
        <f t="shared" ca="1" si="342"/>
        <v/>
      </c>
      <c r="Q2038" s="494" t="s">
        <v>1747</v>
      </c>
      <c r="R2038" s="494" t="str">
        <f t="shared" si="347"/>
        <v>I2038</v>
      </c>
      <c r="S2038" s="494" t="s">
        <v>1748</v>
      </c>
      <c r="T2038" s="494">
        <v>5</v>
      </c>
      <c r="U2038" s="556" t="str">
        <f t="shared" ca="1" si="332"/>
        <v/>
      </c>
      <c r="V2038" s="494">
        <v>6</v>
      </c>
      <c r="W2038" s="556" t="str">
        <f t="shared" ca="1" si="333"/>
        <v/>
      </c>
      <c r="X2038" s="494" t="s">
        <v>1749</v>
      </c>
      <c r="Y2038" s="547" t="str">
        <f t="shared" ca="1" si="343"/>
        <v/>
      </c>
      <c r="Z2038" s="494" t="s">
        <v>1603</v>
      </c>
      <c r="AA2038" s="547" t="str">
        <f t="shared" ca="1" si="344"/>
        <v/>
      </c>
      <c r="AB2038" s="494" t="s">
        <v>1750</v>
      </c>
      <c r="AC2038" s="547" t="str">
        <f t="shared" ca="1" si="348"/>
        <v/>
      </c>
      <c r="AD2038" s="557"/>
      <c r="AE2038" s="958"/>
    </row>
    <row r="2039" spans="1:31">
      <c r="A2039" s="957" t="str">
        <f t="shared" ca="1" si="345"/>
        <v>45/46</v>
      </c>
      <c r="B2039" s="566" t="s">
        <v>177</v>
      </c>
      <c r="C2039" s="567" t="str">
        <f t="shared" ca="1" si="346"/>
        <v>Green Star - Public Building</v>
      </c>
      <c r="D2039" s="958">
        <v>1</v>
      </c>
      <c r="E2039" s="959" t="s">
        <v>306</v>
      </c>
      <c r="F2039" s="558" t="s">
        <v>1454</v>
      </c>
      <c r="G2039" s="558">
        <v>490</v>
      </c>
      <c r="H2039" s="558" t="s">
        <v>1122</v>
      </c>
      <c r="I2039" s="559" t="s">
        <v>326</v>
      </c>
      <c r="J2039" s="567" t="s">
        <v>1746</v>
      </c>
      <c r="K2039" s="961" t="s">
        <v>1568</v>
      </c>
      <c r="L2039" s="555" t="str">
        <f t="shared" ca="1" si="335"/>
        <v/>
      </c>
      <c r="M2039" s="494" t="s">
        <v>1373</v>
      </c>
      <c r="N2039" s="555" t="str">
        <f t="shared" ca="1" si="341"/>
        <v/>
      </c>
      <c r="O2039" s="494" t="s">
        <v>1598</v>
      </c>
      <c r="P2039" s="555" t="str">
        <f t="shared" ca="1" si="342"/>
        <v/>
      </c>
      <c r="Q2039" s="494" t="s">
        <v>1747</v>
      </c>
      <c r="R2039" s="494" t="str">
        <f t="shared" si="347"/>
        <v>I2039</v>
      </c>
      <c r="S2039" s="494" t="s">
        <v>1748</v>
      </c>
      <c r="T2039" s="494">
        <v>5</v>
      </c>
      <c r="U2039" s="556" t="str">
        <f t="shared" ca="1" si="332"/>
        <v/>
      </c>
      <c r="V2039" s="494">
        <v>6</v>
      </c>
      <c r="W2039" s="556" t="str">
        <f t="shared" ca="1" si="333"/>
        <v/>
      </c>
      <c r="X2039" s="494" t="s">
        <v>1749</v>
      </c>
      <c r="Y2039" s="547" t="str">
        <f t="shared" ca="1" si="343"/>
        <v/>
      </c>
      <c r="Z2039" s="494" t="s">
        <v>1603</v>
      </c>
      <c r="AA2039" s="547" t="str">
        <f t="shared" ca="1" si="344"/>
        <v/>
      </c>
      <c r="AB2039" s="494" t="s">
        <v>1750</v>
      </c>
      <c r="AC2039" s="547" t="str">
        <f t="shared" ca="1" si="348"/>
        <v/>
      </c>
      <c r="AD2039" s="557"/>
      <c r="AE2039" s="958"/>
    </row>
    <row r="2040" spans="1:31">
      <c r="A2040" s="957" t="str">
        <f t="shared" ca="1" si="345"/>
        <v>45/46</v>
      </c>
      <c r="B2040" s="566" t="s">
        <v>177</v>
      </c>
      <c r="C2040" s="567" t="str">
        <f t="shared" ca="1" si="346"/>
        <v>Green Star - Public Building</v>
      </c>
      <c r="D2040" s="958">
        <v>1</v>
      </c>
      <c r="E2040" s="959" t="s">
        <v>306</v>
      </c>
      <c r="F2040" s="558" t="s">
        <v>1454</v>
      </c>
      <c r="G2040" s="558">
        <v>491</v>
      </c>
      <c r="H2040" s="558" t="s">
        <v>1123</v>
      </c>
      <c r="I2040" s="559" t="s">
        <v>332</v>
      </c>
      <c r="J2040" s="567" t="s">
        <v>1746</v>
      </c>
      <c r="K2040" s="961" t="s">
        <v>1568</v>
      </c>
      <c r="L2040" s="555" t="str">
        <f t="shared" ca="1" si="335"/>
        <v/>
      </c>
      <c r="M2040" s="494" t="s">
        <v>1373</v>
      </c>
      <c r="N2040" s="555" t="str">
        <f t="shared" ca="1" si="341"/>
        <v/>
      </c>
      <c r="O2040" s="494" t="s">
        <v>1598</v>
      </c>
      <c r="P2040" s="555" t="str">
        <f t="shared" ca="1" si="342"/>
        <v/>
      </c>
      <c r="Q2040" s="494" t="s">
        <v>1747</v>
      </c>
      <c r="R2040" s="494" t="str">
        <f t="shared" si="347"/>
        <v>I2040</v>
      </c>
      <c r="S2040" s="494" t="s">
        <v>1748</v>
      </c>
      <c r="T2040" s="494">
        <v>5</v>
      </c>
      <c r="U2040" s="556" t="str">
        <f t="shared" ca="1" si="332"/>
        <v/>
      </c>
      <c r="V2040" s="494">
        <v>6</v>
      </c>
      <c r="W2040" s="556" t="str">
        <f t="shared" ca="1" si="333"/>
        <v/>
      </c>
      <c r="X2040" s="494" t="s">
        <v>1749</v>
      </c>
      <c r="Y2040" s="547" t="str">
        <f t="shared" ca="1" si="343"/>
        <v/>
      </c>
      <c r="Z2040" s="494" t="s">
        <v>1603</v>
      </c>
      <c r="AA2040" s="547" t="str">
        <f t="shared" ca="1" si="344"/>
        <v/>
      </c>
      <c r="AB2040" s="494" t="s">
        <v>1750</v>
      </c>
      <c r="AC2040" s="547" t="str">
        <f t="shared" ca="1" si="348"/>
        <v/>
      </c>
      <c r="AD2040" s="557"/>
      <c r="AE2040" s="958"/>
    </row>
    <row r="2041" spans="1:31">
      <c r="A2041" s="957" t="str">
        <f t="shared" ca="1" si="345"/>
        <v>45/46</v>
      </c>
      <c r="B2041" s="566" t="s">
        <v>177</v>
      </c>
      <c r="C2041" s="567" t="str">
        <f t="shared" ca="1" si="346"/>
        <v>Green Star - Public Building</v>
      </c>
      <c r="D2041" s="958">
        <v>1</v>
      </c>
      <c r="E2041" s="959" t="s">
        <v>306</v>
      </c>
      <c r="F2041" s="558" t="s">
        <v>1454</v>
      </c>
      <c r="G2041" s="558">
        <v>492</v>
      </c>
      <c r="H2041" s="558" t="s">
        <v>1124</v>
      </c>
      <c r="I2041" s="559" t="s">
        <v>597</v>
      </c>
      <c r="J2041" s="567" t="s">
        <v>1746</v>
      </c>
      <c r="K2041" s="961" t="s">
        <v>1568</v>
      </c>
      <c r="L2041" s="555" t="str">
        <f t="shared" ca="1" si="335"/>
        <v/>
      </c>
      <c r="M2041" s="494" t="s">
        <v>1373</v>
      </c>
      <c r="N2041" s="555" t="str">
        <f t="shared" ca="1" si="341"/>
        <v/>
      </c>
      <c r="O2041" s="494" t="s">
        <v>1598</v>
      </c>
      <c r="P2041" s="555" t="str">
        <f t="shared" ca="1" si="342"/>
        <v/>
      </c>
      <c r="Q2041" s="494" t="s">
        <v>1747</v>
      </c>
      <c r="R2041" s="494" t="str">
        <f t="shared" si="347"/>
        <v>I2041</v>
      </c>
      <c r="S2041" s="494" t="s">
        <v>1748</v>
      </c>
      <c r="T2041" s="494">
        <v>5</v>
      </c>
      <c r="U2041" s="556" t="str">
        <f t="shared" ca="1" si="332"/>
        <v/>
      </c>
      <c r="V2041" s="494">
        <v>6</v>
      </c>
      <c r="W2041" s="556" t="str">
        <f t="shared" ca="1" si="333"/>
        <v/>
      </c>
      <c r="X2041" s="494" t="s">
        <v>1749</v>
      </c>
      <c r="Y2041" s="547" t="str">
        <f t="shared" ca="1" si="343"/>
        <v/>
      </c>
      <c r="Z2041" s="494" t="s">
        <v>1603</v>
      </c>
      <c r="AA2041" s="547" t="str">
        <f t="shared" ca="1" si="344"/>
        <v/>
      </c>
      <c r="AB2041" s="494" t="s">
        <v>1750</v>
      </c>
      <c r="AC2041" s="547" t="str">
        <f t="shared" ca="1" si="348"/>
        <v/>
      </c>
      <c r="AD2041" s="557"/>
      <c r="AE2041" s="958"/>
    </row>
    <row r="2042" spans="1:31">
      <c r="A2042" s="957" t="str">
        <f t="shared" ca="1" si="345"/>
        <v>45/46</v>
      </c>
      <c r="B2042" s="566" t="s">
        <v>177</v>
      </c>
      <c r="C2042" s="567" t="str">
        <f t="shared" ca="1" si="346"/>
        <v>Green Star - Public Building</v>
      </c>
      <c r="D2042" s="958">
        <v>1</v>
      </c>
      <c r="E2042" s="959" t="s">
        <v>306</v>
      </c>
      <c r="F2042" s="558" t="s">
        <v>1454</v>
      </c>
      <c r="G2042" s="558">
        <v>493</v>
      </c>
      <c r="H2042" s="558" t="s">
        <v>1125</v>
      </c>
      <c r="I2042" s="559" t="s">
        <v>314</v>
      </c>
      <c r="J2042" s="567" t="s">
        <v>1746</v>
      </c>
      <c r="K2042" s="961" t="s">
        <v>1568</v>
      </c>
      <c r="L2042" s="555" t="str">
        <f t="shared" ca="1" si="335"/>
        <v/>
      </c>
      <c r="M2042" s="494" t="s">
        <v>1373</v>
      </c>
      <c r="N2042" s="555" t="str">
        <f t="shared" ca="1" si="341"/>
        <v/>
      </c>
      <c r="O2042" s="494" t="s">
        <v>1598</v>
      </c>
      <c r="P2042" s="555" t="str">
        <f t="shared" ca="1" si="342"/>
        <v/>
      </c>
      <c r="Q2042" s="494" t="s">
        <v>1747</v>
      </c>
      <c r="R2042" s="494" t="str">
        <f t="shared" si="347"/>
        <v>I2042</v>
      </c>
      <c r="S2042" s="494" t="s">
        <v>1748</v>
      </c>
      <c r="T2042" s="494">
        <v>5</v>
      </c>
      <c r="U2042" s="556" t="str">
        <f t="shared" ca="1" si="332"/>
        <v/>
      </c>
      <c r="V2042" s="494">
        <v>6</v>
      </c>
      <c r="W2042" s="556" t="str">
        <f t="shared" ca="1" si="333"/>
        <v/>
      </c>
      <c r="X2042" s="494" t="s">
        <v>1749</v>
      </c>
      <c r="Y2042" s="547" t="str">
        <f t="shared" ca="1" si="343"/>
        <v/>
      </c>
      <c r="Z2042" s="494" t="s">
        <v>1603</v>
      </c>
      <c r="AA2042" s="547" t="str">
        <f t="shared" ca="1" si="344"/>
        <v/>
      </c>
      <c r="AB2042" s="494" t="s">
        <v>1750</v>
      </c>
      <c r="AC2042" s="547" t="str">
        <f t="shared" ca="1" si="348"/>
        <v/>
      </c>
      <c r="AD2042" s="557"/>
      <c r="AE2042" s="958"/>
    </row>
    <row r="2043" spans="1:31">
      <c r="A2043" s="957" t="str">
        <f t="shared" ca="1" si="345"/>
        <v>45/46</v>
      </c>
      <c r="B2043" s="566" t="s">
        <v>177</v>
      </c>
      <c r="C2043" s="567" t="str">
        <f t="shared" ca="1" si="346"/>
        <v>Green Star - Public Building</v>
      </c>
      <c r="D2043" s="958">
        <v>1</v>
      </c>
      <c r="E2043" s="959" t="s">
        <v>306</v>
      </c>
      <c r="F2043" s="558" t="s">
        <v>1454</v>
      </c>
      <c r="G2043" s="558">
        <v>494</v>
      </c>
      <c r="H2043" s="558" t="s">
        <v>1126</v>
      </c>
      <c r="I2043" s="559" t="s">
        <v>1127</v>
      </c>
      <c r="J2043" s="567" t="s">
        <v>1746</v>
      </c>
      <c r="K2043" s="961" t="s">
        <v>1568</v>
      </c>
      <c r="L2043" s="555" t="str">
        <f t="shared" ca="1" si="335"/>
        <v/>
      </c>
      <c r="M2043" s="494" t="s">
        <v>1373</v>
      </c>
      <c r="N2043" s="555" t="str">
        <f t="shared" ca="1" si="341"/>
        <v/>
      </c>
      <c r="O2043" s="494" t="s">
        <v>1598</v>
      </c>
      <c r="P2043" s="555" t="str">
        <f t="shared" ca="1" si="342"/>
        <v/>
      </c>
      <c r="Q2043" s="494" t="s">
        <v>1747</v>
      </c>
      <c r="R2043" s="494" t="str">
        <f t="shared" si="347"/>
        <v>I2043</v>
      </c>
      <c r="S2043" s="494" t="s">
        <v>1748</v>
      </c>
      <c r="T2043" s="494">
        <v>5</v>
      </c>
      <c r="U2043" s="556" t="str">
        <f t="shared" ca="1" si="332"/>
        <v/>
      </c>
      <c r="V2043" s="494">
        <v>6</v>
      </c>
      <c r="W2043" s="556" t="str">
        <f t="shared" ca="1" si="333"/>
        <v/>
      </c>
      <c r="X2043" s="494" t="s">
        <v>1749</v>
      </c>
      <c r="Y2043" s="547" t="str">
        <f t="shared" ca="1" si="343"/>
        <v/>
      </c>
      <c r="Z2043" s="494" t="s">
        <v>1603</v>
      </c>
      <c r="AA2043" s="547" t="str">
        <f t="shared" ca="1" si="344"/>
        <v/>
      </c>
      <c r="AB2043" s="494" t="s">
        <v>1750</v>
      </c>
      <c r="AC2043" s="547" t="str">
        <f t="shared" ca="1" si="348"/>
        <v/>
      </c>
      <c r="AD2043" s="557"/>
      <c r="AE2043" s="958"/>
    </row>
    <row r="2044" spans="1:31">
      <c r="A2044" s="957" t="str">
        <f t="shared" ca="1" si="345"/>
        <v>45/46</v>
      </c>
      <c r="B2044" s="566" t="s">
        <v>177</v>
      </c>
      <c r="C2044" s="567" t="str">
        <f t="shared" ca="1" si="346"/>
        <v>Green Star - Public Building</v>
      </c>
      <c r="D2044" s="958">
        <v>1</v>
      </c>
      <c r="E2044" s="959" t="s">
        <v>306</v>
      </c>
      <c r="F2044" s="558" t="s">
        <v>1454</v>
      </c>
      <c r="G2044" s="558">
        <v>495</v>
      </c>
      <c r="H2044" s="558" t="s">
        <v>1132</v>
      </c>
      <c r="I2044" s="559" t="s">
        <v>1133</v>
      </c>
      <c r="J2044" s="567" t="s">
        <v>1746</v>
      </c>
      <c r="K2044" s="961" t="s">
        <v>1568</v>
      </c>
      <c r="L2044" s="555" t="str">
        <f t="shared" ca="1" si="335"/>
        <v/>
      </c>
      <c r="M2044" s="494" t="s">
        <v>1373</v>
      </c>
      <c r="N2044" s="555" t="str">
        <f t="shared" ca="1" si="341"/>
        <v/>
      </c>
      <c r="O2044" s="494" t="s">
        <v>1598</v>
      </c>
      <c r="P2044" s="555" t="str">
        <f t="shared" ca="1" si="342"/>
        <v/>
      </c>
      <c r="Q2044" s="494" t="s">
        <v>1747</v>
      </c>
      <c r="R2044" s="494" t="str">
        <f t="shared" si="347"/>
        <v>I2044</v>
      </c>
      <c r="S2044" s="494" t="s">
        <v>1748</v>
      </c>
      <c r="T2044" s="494">
        <v>5</v>
      </c>
      <c r="U2044" s="556" t="str">
        <f t="shared" ca="1" si="332"/>
        <v/>
      </c>
      <c r="V2044" s="494">
        <v>6</v>
      </c>
      <c r="W2044" s="556" t="str">
        <f t="shared" ca="1" si="333"/>
        <v/>
      </c>
      <c r="X2044" s="494" t="s">
        <v>1749</v>
      </c>
      <c r="Y2044" s="547" t="str">
        <f t="shared" ca="1" si="343"/>
        <v/>
      </c>
      <c r="Z2044" s="494" t="s">
        <v>1603</v>
      </c>
      <c r="AA2044" s="547" t="str">
        <f t="shared" ca="1" si="344"/>
        <v/>
      </c>
      <c r="AB2044" s="494" t="s">
        <v>1750</v>
      </c>
      <c r="AC2044" s="547" t="str">
        <f t="shared" ca="1" si="348"/>
        <v/>
      </c>
      <c r="AD2044" s="557"/>
      <c r="AE2044" s="958"/>
    </row>
    <row r="2045" spans="1:31">
      <c r="A2045" s="957" t="str">
        <f t="shared" ca="1" si="345"/>
        <v>45/46</v>
      </c>
      <c r="B2045" s="566" t="s">
        <v>177</v>
      </c>
      <c r="C2045" s="567" t="str">
        <f t="shared" ca="1" si="346"/>
        <v>Green Star - Public Building</v>
      </c>
      <c r="D2045" s="958">
        <v>1</v>
      </c>
      <c r="E2045" s="959" t="s">
        <v>306</v>
      </c>
      <c r="F2045" s="558" t="s">
        <v>1454</v>
      </c>
      <c r="G2045" s="558">
        <v>496</v>
      </c>
      <c r="H2045" s="558" t="s">
        <v>1136</v>
      </c>
      <c r="I2045" s="559" t="s">
        <v>1137</v>
      </c>
      <c r="J2045" s="567" t="s">
        <v>1746</v>
      </c>
      <c r="K2045" s="961" t="s">
        <v>1568</v>
      </c>
      <c r="L2045" s="555" t="str">
        <f t="shared" ca="1" si="335"/>
        <v/>
      </c>
      <c r="M2045" s="494" t="s">
        <v>1373</v>
      </c>
      <c r="N2045" s="555" t="str">
        <f t="shared" ca="1" si="341"/>
        <v/>
      </c>
      <c r="O2045" s="494" t="s">
        <v>1598</v>
      </c>
      <c r="P2045" s="555" t="str">
        <f t="shared" ca="1" si="342"/>
        <v/>
      </c>
      <c r="Q2045" s="494" t="s">
        <v>1747</v>
      </c>
      <c r="R2045" s="494" t="str">
        <f>CONCATENATE("I",ROW(J2045))</f>
        <v>I2045</v>
      </c>
      <c r="S2045" s="494" t="s">
        <v>1748</v>
      </c>
      <c r="T2045" s="494">
        <v>5</v>
      </c>
      <c r="U2045" s="556" t="str">
        <f t="shared" ca="1" si="332"/>
        <v/>
      </c>
      <c r="V2045" s="494">
        <v>6</v>
      </c>
      <c r="W2045" s="556" t="str">
        <f t="shared" ca="1" si="333"/>
        <v/>
      </c>
      <c r="X2045" s="494" t="s">
        <v>1749</v>
      </c>
      <c r="Y2045" s="547" t="str">
        <f t="shared" ca="1" si="343"/>
        <v/>
      </c>
      <c r="Z2045" s="494" t="s">
        <v>1603</v>
      </c>
      <c r="AA2045" s="547" t="str">
        <f t="shared" ca="1" si="344"/>
        <v/>
      </c>
      <c r="AB2045" s="494" t="s">
        <v>1750</v>
      </c>
      <c r="AC2045" s="547" t="str">
        <f t="shared" ca="1" si="348"/>
        <v/>
      </c>
      <c r="AD2045" s="557"/>
      <c r="AE2045" s="958"/>
    </row>
    <row r="2046" spans="1:31">
      <c r="A2046" s="957" t="str">
        <f t="shared" ca="1" si="345"/>
        <v>45/46</v>
      </c>
      <c r="B2046" s="566" t="s">
        <v>177</v>
      </c>
      <c r="C2046" s="567" t="str">
        <f t="shared" ca="1" si="346"/>
        <v>Green Star - Public Building</v>
      </c>
      <c r="D2046" s="958">
        <v>1</v>
      </c>
      <c r="E2046" s="959" t="s">
        <v>306</v>
      </c>
      <c r="F2046" s="558" t="s">
        <v>1454</v>
      </c>
      <c r="G2046" s="558">
        <v>497</v>
      </c>
      <c r="H2046" s="558" t="s">
        <v>1140</v>
      </c>
      <c r="I2046" s="559" t="s">
        <v>1141</v>
      </c>
      <c r="J2046" s="567" t="s">
        <v>1746</v>
      </c>
      <c r="K2046" s="961" t="s">
        <v>1568</v>
      </c>
      <c r="L2046" s="555" t="str">
        <f t="shared" ca="1" si="335"/>
        <v/>
      </c>
      <c r="M2046" s="494" t="s">
        <v>1373</v>
      </c>
      <c r="N2046" s="555" t="str">
        <f t="shared" ca="1" si="341"/>
        <v/>
      </c>
      <c r="O2046" s="494" t="s">
        <v>1598</v>
      </c>
      <c r="P2046" s="555" t="str">
        <f t="shared" ca="1" si="342"/>
        <v/>
      </c>
      <c r="Q2046" s="494" t="s">
        <v>1747</v>
      </c>
      <c r="R2046" s="494" t="str">
        <f>CONCATENATE("I",ROW(J2046))</f>
        <v>I2046</v>
      </c>
      <c r="S2046" s="494" t="s">
        <v>1748</v>
      </c>
      <c r="T2046" s="494">
        <v>5</v>
      </c>
      <c r="U2046" s="556" t="str">
        <f t="shared" ca="1" si="332"/>
        <v/>
      </c>
      <c r="V2046" s="494">
        <v>6</v>
      </c>
      <c r="W2046" s="556" t="str">
        <f t="shared" ca="1" si="333"/>
        <v/>
      </c>
      <c r="X2046" s="494" t="s">
        <v>1749</v>
      </c>
      <c r="Y2046" s="547" t="str">
        <f t="shared" ca="1" si="343"/>
        <v/>
      </c>
      <c r="Z2046" s="494" t="s">
        <v>1603</v>
      </c>
      <c r="AA2046" s="547" t="str">
        <f t="shared" ca="1" si="344"/>
        <v/>
      </c>
      <c r="AB2046" s="494" t="s">
        <v>1750</v>
      </c>
      <c r="AC2046" s="547" t="str">
        <f t="shared" ca="1" si="348"/>
        <v/>
      </c>
      <c r="AD2046" s="557"/>
      <c r="AE2046" s="958"/>
    </row>
    <row r="2047" spans="1:31">
      <c r="A2047" s="957" t="str">
        <f t="shared" ca="1" si="345"/>
        <v>45/46</v>
      </c>
      <c r="B2047" s="566" t="s">
        <v>177</v>
      </c>
      <c r="C2047" s="567" t="str">
        <f t="shared" ca="1" si="346"/>
        <v>Green Star - Public Building</v>
      </c>
      <c r="D2047" s="958">
        <v>1</v>
      </c>
      <c r="E2047" s="959" t="s">
        <v>306</v>
      </c>
      <c r="F2047" s="558" t="s">
        <v>1454</v>
      </c>
      <c r="G2047" s="558">
        <v>498</v>
      </c>
      <c r="H2047" s="558" t="s">
        <v>1142</v>
      </c>
      <c r="I2047" s="559" t="s">
        <v>1143</v>
      </c>
      <c r="J2047" s="567" t="s">
        <v>1746</v>
      </c>
      <c r="K2047" s="961" t="s">
        <v>1568</v>
      </c>
      <c r="L2047" s="555" t="str">
        <f t="shared" ca="1" si="335"/>
        <v/>
      </c>
      <c r="M2047" s="494" t="s">
        <v>1373</v>
      </c>
      <c r="N2047" s="555" t="str">
        <f t="shared" ca="1" si="341"/>
        <v/>
      </c>
      <c r="O2047" s="494" t="s">
        <v>1598</v>
      </c>
      <c r="P2047" s="555" t="str">
        <f t="shared" ca="1" si="342"/>
        <v/>
      </c>
      <c r="Q2047" s="494" t="s">
        <v>1747</v>
      </c>
      <c r="R2047" s="494" t="str">
        <f>CONCATENATE("I",ROW(J2047))</f>
        <v>I2047</v>
      </c>
      <c r="S2047" s="494" t="s">
        <v>1748</v>
      </c>
      <c r="T2047" s="494">
        <v>5</v>
      </c>
      <c r="U2047" s="556" t="str">
        <f t="shared" ref="U2047:U2110" ca="1" si="349">IF(AND($B2047=INDIRECT(CONCATENATE($J2047,$K2047,5)),ISBLANK(INDEX(INDIRECT(CONCATENATE($J2047,$Q2047)),MATCH(INDIRECT($R2047),INDIRECT(CONCATENATE($J2047,$S2047)),0),T2047))=FALSE),INDEX(INDIRECT(CONCATENATE($J2047,$Q2047)),MATCH(INDIRECT($R2047),INDIRECT(CONCATENATE($J2047,$S2047)),0),T2047),"")</f>
        <v/>
      </c>
      <c r="V2047" s="494">
        <v>6</v>
      </c>
      <c r="W2047" s="556" t="str">
        <f t="shared" ref="W2047:W2110" ca="1" si="350">IF(AND($B2047=INDIRECT(CONCATENATE($J2047,$K2047,5)),ISBLANK(INDEX(INDIRECT(CONCATENATE($J2047,$Q2047)),MATCH(INDIRECT($R2047),INDIRECT(CONCATENATE($J2047,$S2047)),0),V2047))=FALSE),INDEX(INDIRECT(CONCATENATE($J2047,$Q2047)),MATCH(INDIRECT($R2047),INDIRECT(CONCATENATE($J2047,$S2047)),0),V2047),"")</f>
        <v/>
      </c>
      <c r="X2047" s="494" t="s">
        <v>1749</v>
      </c>
      <c r="Y2047" s="547" t="str">
        <f t="shared" ca="1" si="343"/>
        <v/>
      </c>
      <c r="Z2047" s="494" t="s">
        <v>1603</v>
      </c>
      <c r="AA2047" s="547" t="str">
        <f t="shared" ca="1" si="344"/>
        <v/>
      </c>
      <c r="AB2047" s="494" t="s">
        <v>1750</v>
      </c>
      <c r="AC2047" s="547" t="str">
        <f t="shared" ca="1" si="348"/>
        <v/>
      </c>
      <c r="AD2047" s="557"/>
      <c r="AE2047" s="958"/>
    </row>
    <row r="2048" spans="1:31">
      <c r="A2048" s="957" t="str">
        <f t="shared" ca="1" si="345"/>
        <v>45/46</v>
      </c>
      <c r="B2048" s="566" t="s">
        <v>177</v>
      </c>
      <c r="C2048" s="567" t="str">
        <f t="shared" ca="1" si="346"/>
        <v>Green Star - Public Building</v>
      </c>
      <c r="D2048" s="958">
        <v>1</v>
      </c>
      <c r="E2048" s="959" t="s">
        <v>306</v>
      </c>
      <c r="F2048" s="558" t="s">
        <v>1454</v>
      </c>
      <c r="G2048" s="558">
        <v>499</v>
      </c>
      <c r="H2048" s="558" t="s">
        <v>1146</v>
      </c>
      <c r="I2048" s="559" t="s">
        <v>1147</v>
      </c>
      <c r="J2048" s="567" t="s">
        <v>1746</v>
      </c>
      <c r="K2048" s="961" t="s">
        <v>1568</v>
      </c>
      <c r="L2048" s="555" t="str">
        <f t="shared" ca="1" si="335"/>
        <v/>
      </c>
      <c r="M2048" s="494" t="s">
        <v>1373</v>
      </c>
      <c r="N2048" s="555" t="str">
        <f t="shared" ca="1" si="341"/>
        <v/>
      </c>
      <c r="O2048" s="494" t="s">
        <v>1598</v>
      </c>
      <c r="P2048" s="555" t="str">
        <f t="shared" ca="1" si="342"/>
        <v/>
      </c>
      <c r="Q2048" s="494" t="s">
        <v>1747</v>
      </c>
      <c r="R2048" s="494" t="str">
        <f>CONCATENATE("I",ROW(J2048))</f>
        <v>I2048</v>
      </c>
      <c r="S2048" s="494" t="s">
        <v>1748</v>
      </c>
      <c r="T2048" s="494">
        <v>5</v>
      </c>
      <c r="U2048" s="556" t="str">
        <f t="shared" ca="1" si="349"/>
        <v/>
      </c>
      <c r="V2048" s="494">
        <v>6</v>
      </c>
      <c r="W2048" s="556" t="str">
        <f t="shared" ca="1" si="350"/>
        <v/>
      </c>
      <c r="X2048" s="494" t="s">
        <v>1749</v>
      </c>
      <c r="Y2048" s="547" t="str">
        <f t="shared" ca="1" si="343"/>
        <v/>
      </c>
      <c r="Z2048" s="494" t="s">
        <v>1603</v>
      </c>
      <c r="AA2048" s="547" t="str">
        <f t="shared" ca="1" si="344"/>
        <v/>
      </c>
      <c r="AB2048" s="494" t="s">
        <v>1750</v>
      </c>
      <c r="AC2048" s="547" t="str">
        <f t="shared" ca="1" si="348"/>
        <v/>
      </c>
      <c r="AD2048" s="557"/>
      <c r="AE2048" s="958"/>
    </row>
    <row r="2049" spans="1:31">
      <c r="A2049" s="957" t="str">
        <f t="shared" ca="1" si="345"/>
        <v>45/46</v>
      </c>
      <c r="B2049" s="566" t="s">
        <v>177</v>
      </c>
      <c r="C2049" s="567" t="str">
        <f t="shared" ca="1" si="346"/>
        <v>Green Star - Public Building</v>
      </c>
      <c r="D2049" s="958">
        <v>1</v>
      </c>
      <c r="E2049" s="959" t="s">
        <v>306</v>
      </c>
      <c r="F2049" s="558" t="s">
        <v>1454</v>
      </c>
      <c r="G2049" s="558">
        <v>500</v>
      </c>
      <c r="H2049" s="558" t="s">
        <v>1282</v>
      </c>
      <c r="I2049" s="559" t="s">
        <v>1135</v>
      </c>
      <c r="J2049" s="567" t="s">
        <v>1746</v>
      </c>
      <c r="K2049" s="961" t="s">
        <v>1568</v>
      </c>
      <c r="L2049" s="555" t="str">
        <f t="shared" ca="1" si="335"/>
        <v/>
      </c>
      <c r="M2049" s="494" t="s">
        <v>1373</v>
      </c>
      <c r="N2049" s="555" t="str">
        <f t="shared" ca="1" si="341"/>
        <v/>
      </c>
      <c r="O2049" s="494" t="s">
        <v>1598</v>
      </c>
      <c r="P2049" s="555" t="str">
        <f t="shared" ca="1" si="342"/>
        <v/>
      </c>
      <c r="Q2049" s="494" t="s">
        <v>1747</v>
      </c>
      <c r="R2049" s="494" t="str">
        <f>CONCATENATE("I",ROW(J2049))</f>
        <v>I2049</v>
      </c>
      <c r="S2049" s="494" t="s">
        <v>1748</v>
      </c>
      <c r="T2049" s="494">
        <v>5</v>
      </c>
      <c r="U2049" s="556" t="str">
        <f t="shared" ca="1" si="349"/>
        <v/>
      </c>
      <c r="V2049" s="494">
        <v>6</v>
      </c>
      <c r="W2049" s="556" t="str">
        <f t="shared" ca="1" si="350"/>
        <v/>
      </c>
      <c r="X2049" s="494" t="s">
        <v>1749</v>
      </c>
      <c r="Y2049" s="547" t="str">
        <f t="shared" ca="1" si="343"/>
        <v/>
      </c>
      <c r="Z2049" s="494" t="s">
        <v>1603</v>
      </c>
      <c r="AA2049" s="547" t="str">
        <f t="shared" ca="1" si="344"/>
        <v/>
      </c>
      <c r="AB2049" s="494" t="s">
        <v>1750</v>
      </c>
      <c r="AC2049" s="547" t="str">
        <f t="shared" ca="1" si="348"/>
        <v/>
      </c>
      <c r="AD2049" s="557"/>
      <c r="AE2049" s="958"/>
    </row>
    <row r="2050" spans="1:31">
      <c r="A2050" s="957" t="str">
        <f t="shared" ca="1" si="345"/>
        <v>45/46</v>
      </c>
      <c r="B2050" s="566" t="s">
        <v>177</v>
      </c>
      <c r="C2050" s="567" t="str">
        <f t="shared" ca="1" si="346"/>
        <v>Green Star - Public Building</v>
      </c>
      <c r="D2050" s="958">
        <v>1</v>
      </c>
      <c r="E2050" s="959" t="s">
        <v>335</v>
      </c>
      <c r="F2050" s="558" t="s">
        <v>1455</v>
      </c>
      <c r="G2050" s="558">
        <v>501</v>
      </c>
      <c r="H2050" s="558" t="s">
        <v>1576</v>
      </c>
      <c r="I2050" s="559" t="s">
        <v>338</v>
      </c>
      <c r="J2050" s="567" t="s">
        <v>1746</v>
      </c>
      <c r="K2050" s="961" t="s">
        <v>1568</v>
      </c>
      <c r="L2050" s="555" t="str">
        <f t="shared" ref="L2050:L2113" ca="1" si="351">IF(AND(INDIRECT(CONCATENATE($J2050,$K2050,5))=$B2050,ISNUMBER(SEARCH("Please",INDIRECT(CONCATENATE($J2050,$K2050,2)),1))=FALSE),SUMPRODUCT(MID(0&amp;INDIRECT(CONCATENATE($J2050,$K2050,2)), LARGE(INDEX(ISNUMBER(--MID(INDIRECT(CONCATENATE($J2050,$K2050,2)), ROW(INDIRECT("1:"&amp;LEN(INDIRECT(CONCATENATE($J2050,$K2050,2))))),1))*ROW(INDIRECT("1:"&amp;LEN(INDIRECT(CONCATENATE($J2050,$K2050,2))))),0), ROW(INDIRECT("1:"&amp;LEN(INDIRECT(CONCATENATE($J2050,$K2050,2))))))+1,1)*10^ROW(INDIRECT("1:"&amp;LEN(INDIRECT(CONCATENATE($J2050,$K2050,2)))))/10),"")</f>
        <v/>
      </c>
      <c r="M2050" s="494" t="s">
        <v>1373</v>
      </c>
      <c r="N2050" s="555" t="str">
        <f t="shared" ca="1" si="341"/>
        <v/>
      </c>
      <c r="O2050" s="494" t="s">
        <v>1598</v>
      </c>
      <c r="P2050" s="555" t="str">
        <f t="shared" ca="1" si="342"/>
        <v/>
      </c>
      <c r="Q2050" s="494" t="s">
        <v>1747</v>
      </c>
      <c r="R2050" s="494" t="str">
        <f t="shared" si="347"/>
        <v>I2050</v>
      </c>
      <c r="S2050" s="494" t="s">
        <v>1748</v>
      </c>
      <c r="T2050" s="494">
        <v>5</v>
      </c>
      <c r="U2050" s="556" t="str">
        <f t="shared" ca="1" si="349"/>
        <v/>
      </c>
      <c r="V2050" s="494">
        <v>6</v>
      </c>
      <c r="W2050" s="556" t="str">
        <f t="shared" ca="1" si="350"/>
        <v/>
      </c>
      <c r="X2050" s="494" t="s">
        <v>1749</v>
      </c>
      <c r="Y2050" s="547" t="str">
        <f t="shared" ca="1" si="343"/>
        <v/>
      </c>
      <c r="Z2050" s="494" t="s">
        <v>1603</v>
      </c>
      <c r="AA2050" s="547" t="str">
        <f t="shared" ca="1" si="344"/>
        <v/>
      </c>
      <c r="AB2050" s="494" t="s">
        <v>1750</v>
      </c>
      <c r="AC2050" s="547" t="str">
        <f t="shared" ca="1" si="348"/>
        <v/>
      </c>
      <c r="AD2050" s="557"/>
      <c r="AE2050" s="958"/>
    </row>
    <row r="2051" spans="1:31">
      <c r="A2051" s="957" t="str">
        <f t="shared" ca="1" si="345"/>
        <v>45/46</v>
      </c>
      <c r="B2051" s="566" t="s">
        <v>177</v>
      </c>
      <c r="C2051" s="567" t="str">
        <f t="shared" ca="1" si="346"/>
        <v>Green Star - Public Building</v>
      </c>
      <c r="D2051" s="958">
        <v>1</v>
      </c>
      <c r="E2051" s="959" t="s">
        <v>335</v>
      </c>
      <c r="F2051" s="558" t="s">
        <v>1455</v>
      </c>
      <c r="G2051" s="558">
        <v>502</v>
      </c>
      <c r="H2051" s="558" t="s">
        <v>1153</v>
      </c>
      <c r="I2051" s="559" t="s">
        <v>336</v>
      </c>
      <c r="J2051" s="567" t="s">
        <v>1746</v>
      </c>
      <c r="K2051" s="961" t="s">
        <v>1568</v>
      </c>
      <c r="L2051" s="555" t="str">
        <f t="shared" ca="1" si="351"/>
        <v/>
      </c>
      <c r="M2051" s="494" t="s">
        <v>1373</v>
      </c>
      <c r="N2051" s="555" t="str">
        <f t="shared" ca="1" si="341"/>
        <v/>
      </c>
      <c r="O2051" s="494" t="s">
        <v>1598</v>
      </c>
      <c r="P2051" s="555" t="str">
        <f t="shared" ca="1" si="342"/>
        <v/>
      </c>
      <c r="Q2051" s="494" t="s">
        <v>1747</v>
      </c>
      <c r="R2051" s="494" t="str">
        <f t="shared" si="347"/>
        <v>I2051</v>
      </c>
      <c r="S2051" s="494" t="s">
        <v>1748</v>
      </c>
      <c r="T2051" s="494">
        <v>5</v>
      </c>
      <c r="U2051" s="556" t="str">
        <f t="shared" ca="1" si="349"/>
        <v/>
      </c>
      <c r="V2051" s="494">
        <v>6</v>
      </c>
      <c r="W2051" s="556" t="str">
        <f t="shared" ca="1" si="350"/>
        <v/>
      </c>
      <c r="X2051" s="494" t="s">
        <v>1749</v>
      </c>
      <c r="Y2051" s="547" t="str">
        <f t="shared" ca="1" si="343"/>
        <v/>
      </c>
      <c r="Z2051" s="494" t="s">
        <v>1603</v>
      </c>
      <c r="AA2051" s="547" t="str">
        <f t="shared" ca="1" si="344"/>
        <v/>
      </c>
      <c r="AB2051" s="494" t="s">
        <v>1750</v>
      </c>
      <c r="AC2051" s="547" t="str">
        <f t="shared" ca="1" si="348"/>
        <v/>
      </c>
      <c r="AD2051" s="557"/>
      <c r="AE2051" s="958"/>
    </row>
    <row r="2052" spans="1:31">
      <c r="A2052" s="957" t="str">
        <f t="shared" ca="1" si="345"/>
        <v>45/46</v>
      </c>
      <c r="B2052" s="566" t="s">
        <v>177</v>
      </c>
      <c r="C2052" s="567" t="str">
        <f t="shared" ca="1" si="346"/>
        <v>Green Star - Public Building</v>
      </c>
      <c r="D2052" s="958">
        <v>1</v>
      </c>
      <c r="E2052" s="959" t="s">
        <v>335</v>
      </c>
      <c r="F2052" s="558" t="s">
        <v>1455</v>
      </c>
      <c r="G2052" s="558">
        <v>503</v>
      </c>
      <c r="H2052" s="558" t="s">
        <v>1156</v>
      </c>
      <c r="I2052" s="559" t="s">
        <v>1157</v>
      </c>
      <c r="J2052" s="567" t="s">
        <v>1746</v>
      </c>
      <c r="K2052" s="961" t="s">
        <v>1568</v>
      </c>
      <c r="L2052" s="555" t="str">
        <f t="shared" ca="1" si="351"/>
        <v/>
      </c>
      <c r="M2052" s="494" t="s">
        <v>1373</v>
      </c>
      <c r="N2052" s="555" t="str">
        <f t="shared" ca="1" si="341"/>
        <v/>
      </c>
      <c r="O2052" s="494" t="s">
        <v>1598</v>
      </c>
      <c r="P2052" s="555" t="str">
        <f t="shared" ca="1" si="342"/>
        <v/>
      </c>
      <c r="Q2052" s="494" t="s">
        <v>1747</v>
      </c>
      <c r="R2052" s="494" t="str">
        <f t="shared" si="347"/>
        <v>I2052</v>
      </c>
      <c r="S2052" s="494" t="s">
        <v>1748</v>
      </c>
      <c r="T2052" s="494">
        <v>5</v>
      </c>
      <c r="U2052" s="556" t="str">
        <f t="shared" ca="1" si="349"/>
        <v/>
      </c>
      <c r="V2052" s="494">
        <v>6</v>
      </c>
      <c r="W2052" s="556" t="str">
        <f t="shared" ca="1" si="350"/>
        <v/>
      </c>
      <c r="X2052" s="494" t="s">
        <v>1749</v>
      </c>
      <c r="Y2052" s="547" t="str">
        <f t="shared" ca="1" si="343"/>
        <v/>
      </c>
      <c r="Z2052" s="494" t="s">
        <v>1603</v>
      </c>
      <c r="AA2052" s="547" t="str">
        <f t="shared" ca="1" si="344"/>
        <v/>
      </c>
      <c r="AB2052" s="494" t="s">
        <v>1750</v>
      </c>
      <c r="AC2052" s="547" t="str">
        <f t="shared" ca="1" si="348"/>
        <v/>
      </c>
      <c r="AD2052" s="557"/>
      <c r="AE2052" s="958"/>
    </row>
    <row r="2053" spans="1:31">
      <c r="A2053" s="957" t="str">
        <f t="shared" ca="1" si="345"/>
        <v>45/46</v>
      </c>
      <c r="B2053" s="566" t="s">
        <v>177</v>
      </c>
      <c r="C2053" s="567" t="str">
        <f t="shared" ca="1" si="346"/>
        <v>Green Star - Public Building</v>
      </c>
      <c r="D2053" s="958">
        <v>1</v>
      </c>
      <c r="E2053" s="959" t="s">
        <v>345</v>
      </c>
      <c r="F2053" s="558" t="s">
        <v>1484</v>
      </c>
      <c r="G2053" s="558">
        <v>504</v>
      </c>
      <c r="H2053" s="558" t="s">
        <v>1164</v>
      </c>
      <c r="I2053" s="559" t="s">
        <v>1165</v>
      </c>
      <c r="J2053" s="567" t="s">
        <v>1746</v>
      </c>
      <c r="K2053" s="961" t="s">
        <v>1568</v>
      </c>
      <c r="L2053" s="555" t="str">
        <f t="shared" ca="1" si="351"/>
        <v/>
      </c>
      <c r="M2053" s="494" t="s">
        <v>1373</v>
      </c>
      <c r="N2053" s="555" t="str">
        <f t="shared" ca="1" si="341"/>
        <v/>
      </c>
      <c r="O2053" s="494" t="s">
        <v>1598</v>
      </c>
      <c r="P2053" s="555" t="str">
        <f t="shared" ca="1" si="342"/>
        <v/>
      </c>
      <c r="Q2053" s="494" t="s">
        <v>1747</v>
      </c>
      <c r="R2053" s="494" t="str">
        <f t="shared" si="347"/>
        <v>I2053</v>
      </c>
      <c r="S2053" s="494" t="s">
        <v>1748</v>
      </c>
      <c r="T2053" s="494">
        <v>5</v>
      </c>
      <c r="U2053" s="556" t="str">
        <f t="shared" ca="1" si="349"/>
        <v/>
      </c>
      <c r="V2053" s="494">
        <v>6</v>
      </c>
      <c r="W2053" s="556" t="str">
        <f t="shared" ca="1" si="350"/>
        <v/>
      </c>
      <c r="X2053" s="494" t="s">
        <v>1749</v>
      </c>
      <c r="Y2053" s="547" t="str">
        <f t="shared" ca="1" si="343"/>
        <v/>
      </c>
      <c r="Z2053" s="494" t="s">
        <v>1603</v>
      </c>
      <c r="AA2053" s="547" t="str">
        <f t="shared" ca="1" si="344"/>
        <v/>
      </c>
      <c r="AB2053" s="494" t="s">
        <v>1750</v>
      </c>
      <c r="AC2053" s="547" t="str">
        <f t="shared" ca="1" si="348"/>
        <v/>
      </c>
      <c r="AD2053" s="557"/>
      <c r="AE2053" s="958"/>
    </row>
    <row r="2054" spans="1:31">
      <c r="A2054" s="957" t="str">
        <f t="shared" ca="1" si="345"/>
        <v>45/46</v>
      </c>
      <c r="B2054" s="566" t="s">
        <v>177</v>
      </c>
      <c r="C2054" s="567" t="str">
        <f t="shared" ca="1" si="346"/>
        <v>Green Star - Public Building</v>
      </c>
      <c r="D2054" s="958">
        <v>1</v>
      </c>
      <c r="E2054" s="959" t="s">
        <v>345</v>
      </c>
      <c r="F2054" s="558" t="s">
        <v>1484</v>
      </c>
      <c r="G2054" s="558">
        <v>505</v>
      </c>
      <c r="H2054" s="558" t="s">
        <v>1166</v>
      </c>
      <c r="I2054" s="559" t="s">
        <v>1327</v>
      </c>
      <c r="J2054" s="567" t="s">
        <v>1746</v>
      </c>
      <c r="K2054" s="961" t="s">
        <v>1568</v>
      </c>
      <c r="L2054" s="555" t="str">
        <f t="shared" ca="1" si="351"/>
        <v/>
      </c>
      <c r="M2054" s="494" t="s">
        <v>1373</v>
      </c>
      <c r="N2054" s="555" t="str">
        <f t="shared" ca="1" si="341"/>
        <v/>
      </c>
      <c r="O2054" s="494" t="s">
        <v>1598</v>
      </c>
      <c r="P2054" s="555" t="str">
        <f t="shared" ca="1" si="342"/>
        <v/>
      </c>
      <c r="Q2054" s="494" t="s">
        <v>1747</v>
      </c>
      <c r="R2054" s="494" t="str">
        <f t="shared" si="347"/>
        <v>I2054</v>
      </c>
      <c r="S2054" s="494" t="s">
        <v>1748</v>
      </c>
      <c r="T2054" s="494">
        <v>5</v>
      </c>
      <c r="U2054" s="556" t="str">
        <f t="shared" ca="1" si="349"/>
        <v/>
      </c>
      <c r="V2054" s="494">
        <v>6</v>
      </c>
      <c r="W2054" s="556" t="str">
        <f t="shared" ca="1" si="350"/>
        <v/>
      </c>
      <c r="X2054" s="494" t="s">
        <v>1749</v>
      </c>
      <c r="Y2054" s="547" t="str">
        <f t="shared" ca="1" si="343"/>
        <v/>
      </c>
      <c r="Z2054" s="494" t="s">
        <v>1603</v>
      </c>
      <c r="AA2054" s="547" t="str">
        <f t="shared" ca="1" si="344"/>
        <v/>
      </c>
      <c r="AB2054" s="494" t="s">
        <v>1750</v>
      </c>
      <c r="AC2054" s="547" t="str">
        <f t="shared" ca="1" si="348"/>
        <v/>
      </c>
      <c r="AD2054" s="557"/>
      <c r="AE2054" s="958"/>
    </row>
    <row r="2055" spans="1:31">
      <c r="A2055" s="957" t="str">
        <f t="shared" ca="1" si="345"/>
        <v>45/46</v>
      </c>
      <c r="B2055" s="566" t="s">
        <v>177</v>
      </c>
      <c r="C2055" s="567" t="str">
        <f t="shared" ca="1" si="346"/>
        <v>Green Star - Public Building</v>
      </c>
      <c r="D2055" s="958">
        <v>1</v>
      </c>
      <c r="E2055" s="959" t="s">
        <v>345</v>
      </c>
      <c r="F2055" s="558" t="s">
        <v>1484</v>
      </c>
      <c r="G2055" s="558">
        <v>506</v>
      </c>
      <c r="H2055" s="558" t="s">
        <v>1168</v>
      </c>
      <c r="I2055" s="559" t="s">
        <v>1169</v>
      </c>
      <c r="J2055" s="567" t="s">
        <v>1746</v>
      </c>
      <c r="K2055" s="961" t="s">
        <v>1568</v>
      </c>
      <c r="L2055" s="555" t="str">
        <f t="shared" ca="1" si="351"/>
        <v/>
      </c>
      <c r="M2055" s="494" t="s">
        <v>1373</v>
      </c>
      <c r="N2055" s="555" t="str">
        <f t="shared" ca="1" si="341"/>
        <v/>
      </c>
      <c r="O2055" s="494" t="s">
        <v>1598</v>
      </c>
      <c r="P2055" s="555" t="str">
        <f t="shared" ca="1" si="342"/>
        <v/>
      </c>
      <c r="Q2055" s="494" t="s">
        <v>1747</v>
      </c>
      <c r="R2055" s="494" t="str">
        <f t="shared" si="347"/>
        <v>I2055</v>
      </c>
      <c r="S2055" s="494" t="s">
        <v>1748</v>
      </c>
      <c r="T2055" s="494">
        <v>5</v>
      </c>
      <c r="U2055" s="556" t="str">
        <f t="shared" ca="1" si="349"/>
        <v/>
      </c>
      <c r="V2055" s="494">
        <v>6</v>
      </c>
      <c r="W2055" s="556" t="str">
        <f t="shared" ca="1" si="350"/>
        <v/>
      </c>
      <c r="X2055" s="494" t="s">
        <v>1749</v>
      </c>
      <c r="Y2055" s="547" t="str">
        <f t="shared" ca="1" si="343"/>
        <v/>
      </c>
      <c r="Z2055" s="494" t="s">
        <v>1603</v>
      </c>
      <c r="AA2055" s="547" t="str">
        <f t="shared" ca="1" si="344"/>
        <v/>
      </c>
      <c r="AB2055" s="494" t="s">
        <v>1750</v>
      </c>
      <c r="AC2055" s="547" t="str">
        <f t="shared" ca="1" si="348"/>
        <v/>
      </c>
      <c r="AD2055" s="557"/>
      <c r="AE2055" s="958"/>
    </row>
    <row r="2056" spans="1:31">
      <c r="A2056" s="957" t="str">
        <f t="shared" ca="1" si="345"/>
        <v>45/46</v>
      </c>
      <c r="B2056" s="566" t="s">
        <v>177</v>
      </c>
      <c r="C2056" s="567" t="str">
        <f t="shared" ca="1" si="346"/>
        <v>Green Star - Public Building</v>
      </c>
      <c r="D2056" s="958">
        <v>1</v>
      </c>
      <c r="E2056" s="959" t="s">
        <v>345</v>
      </c>
      <c r="F2056" s="558" t="s">
        <v>1484</v>
      </c>
      <c r="G2056" s="558">
        <v>507</v>
      </c>
      <c r="H2056" s="558" t="s">
        <v>1172</v>
      </c>
      <c r="I2056" s="559" t="s">
        <v>985</v>
      </c>
      <c r="J2056" s="567" t="s">
        <v>1746</v>
      </c>
      <c r="K2056" s="961" t="s">
        <v>1568</v>
      </c>
      <c r="L2056" s="555" t="str">
        <f t="shared" ca="1" si="351"/>
        <v/>
      </c>
      <c r="M2056" s="494" t="s">
        <v>1373</v>
      </c>
      <c r="N2056" s="555" t="str">
        <f t="shared" ca="1" si="341"/>
        <v/>
      </c>
      <c r="O2056" s="494" t="s">
        <v>1598</v>
      </c>
      <c r="P2056" s="555" t="str">
        <f t="shared" ca="1" si="342"/>
        <v/>
      </c>
      <c r="Q2056" s="494" t="s">
        <v>1747</v>
      </c>
      <c r="R2056" s="494" t="str">
        <f t="shared" si="347"/>
        <v>I2056</v>
      </c>
      <c r="S2056" s="494" t="s">
        <v>1748</v>
      </c>
      <c r="T2056" s="494">
        <v>5</v>
      </c>
      <c r="U2056" s="556" t="str">
        <f t="shared" ca="1" si="349"/>
        <v/>
      </c>
      <c r="V2056" s="494">
        <v>6</v>
      </c>
      <c r="W2056" s="556" t="str">
        <f t="shared" ca="1" si="350"/>
        <v/>
      </c>
      <c r="X2056" s="494" t="s">
        <v>1749</v>
      </c>
      <c r="Y2056" s="547" t="str">
        <f t="shared" ca="1" si="343"/>
        <v/>
      </c>
      <c r="Z2056" s="494" t="s">
        <v>1603</v>
      </c>
      <c r="AA2056" s="547" t="str">
        <f t="shared" ca="1" si="344"/>
        <v/>
      </c>
      <c r="AB2056" s="494" t="s">
        <v>1750</v>
      </c>
      <c r="AC2056" s="547" t="str">
        <f t="shared" ca="1" si="348"/>
        <v/>
      </c>
      <c r="AD2056" s="557"/>
      <c r="AE2056" s="958"/>
    </row>
    <row r="2057" spans="1:31">
      <c r="A2057" s="957" t="str">
        <f t="shared" ca="1" si="345"/>
        <v>45/46</v>
      </c>
      <c r="B2057" s="566" t="s">
        <v>177</v>
      </c>
      <c r="C2057" s="567" t="str">
        <f t="shared" ca="1" si="346"/>
        <v>Green Star - Public Building</v>
      </c>
      <c r="D2057" s="958">
        <v>1</v>
      </c>
      <c r="E2057" s="959" t="s">
        <v>345</v>
      </c>
      <c r="F2057" s="558" t="s">
        <v>1484</v>
      </c>
      <c r="G2057" s="558">
        <v>508</v>
      </c>
      <c r="H2057" s="558" t="s">
        <v>1173</v>
      </c>
      <c r="I2057" s="559" t="s">
        <v>1328</v>
      </c>
      <c r="J2057" s="567" t="s">
        <v>1746</v>
      </c>
      <c r="K2057" s="961" t="s">
        <v>1568</v>
      </c>
      <c r="L2057" s="555" t="str">
        <f t="shared" ca="1" si="351"/>
        <v/>
      </c>
      <c r="M2057" s="494" t="s">
        <v>1373</v>
      </c>
      <c r="N2057" s="555" t="str">
        <f t="shared" ca="1" si="341"/>
        <v/>
      </c>
      <c r="O2057" s="494" t="s">
        <v>1598</v>
      </c>
      <c r="P2057" s="555" t="str">
        <f t="shared" ca="1" si="342"/>
        <v/>
      </c>
      <c r="Q2057" s="494" t="s">
        <v>1747</v>
      </c>
      <c r="R2057" s="494" t="str">
        <f t="shared" si="347"/>
        <v>I2057</v>
      </c>
      <c r="S2057" s="494" t="s">
        <v>1748</v>
      </c>
      <c r="T2057" s="494">
        <v>5</v>
      </c>
      <c r="U2057" s="556" t="str">
        <f t="shared" ca="1" si="349"/>
        <v/>
      </c>
      <c r="V2057" s="494">
        <v>6</v>
      </c>
      <c r="W2057" s="556" t="str">
        <f t="shared" ca="1" si="350"/>
        <v/>
      </c>
      <c r="X2057" s="494" t="s">
        <v>1749</v>
      </c>
      <c r="Y2057" s="547" t="str">
        <f t="shared" ca="1" si="343"/>
        <v/>
      </c>
      <c r="Z2057" s="494" t="s">
        <v>1603</v>
      </c>
      <c r="AA2057" s="547" t="str">
        <f t="shared" ca="1" si="344"/>
        <v/>
      </c>
      <c r="AB2057" s="494" t="s">
        <v>1750</v>
      </c>
      <c r="AC2057" s="547" t="str">
        <f t="shared" ca="1" si="348"/>
        <v/>
      </c>
      <c r="AD2057" s="557"/>
      <c r="AE2057" s="958"/>
    </row>
    <row r="2058" spans="1:31">
      <c r="A2058" s="957" t="str">
        <f t="shared" ca="1" si="345"/>
        <v>45/46</v>
      </c>
      <c r="B2058" s="566" t="s">
        <v>177</v>
      </c>
      <c r="C2058" s="567" t="str">
        <f t="shared" ca="1" si="346"/>
        <v>Green Star - Public Building</v>
      </c>
      <c r="D2058" s="958">
        <v>1</v>
      </c>
      <c r="E2058" s="959" t="s">
        <v>353</v>
      </c>
      <c r="F2058" s="558" t="s">
        <v>1486</v>
      </c>
      <c r="G2058" s="558">
        <v>509</v>
      </c>
      <c r="H2058" s="558" t="s">
        <v>1175</v>
      </c>
      <c r="I2058" s="559" t="s">
        <v>354</v>
      </c>
      <c r="J2058" s="567" t="s">
        <v>1746</v>
      </c>
      <c r="K2058" s="961" t="s">
        <v>1568</v>
      </c>
      <c r="L2058" s="555" t="str">
        <f t="shared" ca="1" si="351"/>
        <v/>
      </c>
      <c r="M2058" s="494" t="s">
        <v>1373</v>
      </c>
      <c r="N2058" s="555" t="str">
        <f t="shared" ref="N2058:N2089" ca="1" si="352">IF(AND(INDIRECT(CONCATENATE($J2058,$K2058,5))=$B2058,ISNUMBER(SEARCH("Select",INDIRECT(CONCATENATE($J2058,$M2058,6)),1))=FALSE),INDIRECT(CONCATENATE($J2058,$M2058,6)),"")</f>
        <v/>
      </c>
      <c r="O2058" s="494" t="s">
        <v>1598</v>
      </c>
      <c r="P2058" s="555" t="str">
        <f t="shared" ref="P2058:P2089" ca="1" si="353">IF(AND(INDIRECT(CONCATENATE($J2058,$K2058,5))=$B2058,ISNUMBER(SEARCH("Select",INDIRECT(CONCATENATE($J2058,$O2058,6)),1))=FALSE),INDIRECT(CONCATENATE($J2058,$O2058,6)),"")</f>
        <v/>
      </c>
      <c r="Q2058" s="494" t="s">
        <v>1747</v>
      </c>
      <c r="R2058" s="494" t="str">
        <f t="shared" si="347"/>
        <v>I2058</v>
      </c>
      <c r="S2058" s="494" t="s">
        <v>1748</v>
      </c>
      <c r="T2058" s="494">
        <v>5</v>
      </c>
      <c r="U2058" s="556" t="str">
        <f t="shared" ca="1" si="349"/>
        <v/>
      </c>
      <c r="V2058" s="494">
        <v>6</v>
      </c>
      <c r="W2058" s="556" t="str">
        <f t="shared" ca="1" si="350"/>
        <v/>
      </c>
      <c r="X2058" s="494" t="s">
        <v>1749</v>
      </c>
      <c r="Y2058" s="547" t="str">
        <f t="shared" ref="Y2058:Y2089" ca="1" si="354">IF(AND(INDIRECT(CONCATENATE($J2058,$K2058,5))=$B2058,ISBLANK(INDIRECT(CONCATENATE($J2058,X2058)))=FALSE),INDIRECT(CONCATENATE($J2058,X2058)),"")</f>
        <v/>
      </c>
      <c r="Z2058" s="494" t="s">
        <v>1603</v>
      </c>
      <c r="AA2058" s="547" t="str">
        <f t="shared" ref="AA2058:AA2089" ca="1" si="355">IF(AND(INDIRECT(CONCATENATE($J2058,$K2058,5))=$B2058,ISBLANK(INDIRECT(CONCATENATE($J2058,Z2058)))=FALSE),INDIRECT(CONCATENATE($J2058,Z2058)),"")</f>
        <v/>
      </c>
      <c r="AB2058" s="494" t="s">
        <v>1750</v>
      </c>
      <c r="AC2058" s="547" t="str">
        <f t="shared" ca="1" si="348"/>
        <v/>
      </c>
      <c r="AD2058" s="557"/>
      <c r="AE2058" s="958"/>
    </row>
    <row r="2059" spans="1:31">
      <c r="A2059" s="957" t="str">
        <f t="shared" ca="1" si="345"/>
        <v>45/46</v>
      </c>
      <c r="B2059" s="566" t="s">
        <v>177</v>
      </c>
      <c r="C2059" s="567" t="str">
        <f t="shared" ca="1" si="346"/>
        <v>Green Star - Public Building</v>
      </c>
      <c r="D2059" s="958">
        <v>1</v>
      </c>
      <c r="E2059" s="959" t="s">
        <v>353</v>
      </c>
      <c r="F2059" s="558" t="s">
        <v>1486</v>
      </c>
      <c r="G2059" s="558">
        <v>510</v>
      </c>
      <c r="H2059" s="558" t="s">
        <v>1182</v>
      </c>
      <c r="I2059" s="559" t="s">
        <v>1183</v>
      </c>
      <c r="J2059" s="567" t="s">
        <v>1746</v>
      </c>
      <c r="K2059" s="961" t="s">
        <v>1568</v>
      </c>
      <c r="L2059" s="555" t="str">
        <f t="shared" ca="1" si="351"/>
        <v/>
      </c>
      <c r="M2059" s="494" t="s">
        <v>1373</v>
      </c>
      <c r="N2059" s="555" t="str">
        <f t="shared" ca="1" si="352"/>
        <v/>
      </c>
      <c r="O2059" s="494" t="s">
        <v>1598</v>
      </c>
      <c r="P2059" s="555" t="str">
        <f t="shared" ca="1" si="353"/>
        <v/>
      </c>
      <c r="Q2059" s="494" t="s">
        <v>1747</v>
      </c>
      <c r="R2059" s="494" t="str">
        <f t="shared" si="347"/>
        <v>I2059</v>
      </c>
      <c r="S2059" s="494" t="s">
        <v>1748</v>
      </c>
      <c r="T2059" s="494">
        <v>5</v>
      </c>
      <c r="U2059" s="556" t="str">
        <f t="shared" ca="1" si="349"/>
        <v/>
      </c>
      <c r="V2059" s="494">
        <v>6</v>
      </c>
      <c r="W2059" s="556" t="str">
        <f t="shared" ca="1" si="350"/>
        <v/>
      </c>
      <c r="X2059" s="494" t="s">
        <v>1749</v>
      </c>
      <c r="Y2059" s="547" t="str">
        <f t="shared" ca="1" si="354"/>
        <v/>
      </c>
      <c r="Z2059" s="494" t="s">
        <v>1603</v>
      </c>
      <c r="AA2059" s="547" t="str">
        <f t="shared" ca="1" si="355"/>
        <v/>
      </c>
      <c r="AB2059" s="494" t="s">
        <v>1750</v>
      </c>
      <c r="AC2059" s="547" t="str">
        <f t="shared" ca="1" si="348"/>
        <v/>
      </c>
      <c r="AD2059" s="557"/>
      <c r="AE2059" s="958"/>
    </row>
    <row r="2060" spans="1:31">
      <c r="A2060" s="957" t="str">
        <f t="shared" ca="1" si="345"/>
        <v>45/46</v>
      </c>
      <c r="B2060" s="566" t="s">
        <v>177</v>
      </c>
      <c r="C2060" s="567" t="str">
        <f t="shared" ca="1" si="346"/>
        <v>Green Star - Public Building</v>
      </c>
      <c r="D2060" s="958">
        <v>1</v>
      </c>
      <c r="E2060" s="959" t="s">
        <v>353</v>
      </c>
      <c r="F2060" s="558" t="s">
        <v>1486</v>
      </c>
      <c r="G2060" s="558">
        <v>511</v>
      </c>
      <c r="H2060" s="558" t="s">
        <v>1319</v>
      </c>
      <c r="I2060" s="559" t="s">
        <v>1329</v>
      </c>
      <c r="J2060" s="567" t="s">
        <v>1746</v>
      </c>
      <c r="K2060" s="961" t="s">
        <v>1568</v>
      </c>
      <c r="L2060" s="555" t="str">
        <f t="shared" ca="1" si="351"/>
        <v/>
      </c>
      <c r="M2060" s="494" t="s">
        <v>1373</v>
      </c>
      <c r="N2060" s="555" t="str">
        <f t="shared" ca="1" si="352"/>
        <v/>
      </c>
      <c r="O2060" s="494" t="s">
        <v>1598</v>
      </c>
      <c r="P2060" s="555" t="str">
        <f t="shared" ca="1" si="353"/>
        <v/>
      </c>
      <c r="Q2060" s="494" t="s">
        <v>1747</v>
      </c>
      <c r="R2060" s="494" t="str">
        <f t="shared" si="347"/>
        <v>I2060</v>
      </c>
      <c r="S2060" s="494" t="s">
        <v>1748</v>
      </c>
      <c r="T2060" s="494">
        <v>5</v>
      </c>
      <c r="U2060" s="556" t="str">
        <f t="shared" ca="1" si="349"/>
        <v/>
      </c>
      <c r="V2060" s="494">
        <v>6</v>
      </c>
      <c r="W2060" s="556" t="str">
        <f t="shared" ca="1" si="350"/>
        <v/>
      </c>
      <c r="X2060" s="494" t="s">
        <v>1749</v>
      </c>
      <c r="Y2060" s="547" t="str">
        <f t="shared" ca="1" si="354"/>
        <v/>
      </c>
      <c r="Z2060" s="494" t="s">
        <v>1603</v>
      </c>
      <c r="AA2060" s="547" t="str">
        <f t="shared" ca="1" si="355"/>
        <v/>
      </c>
      <c r="AB2060" s="494" t="s">
        <v>1750</v>
      </c>
      <c r="AC2060" s="547" t="str">
        <f t="shared" ca="1" si="348"/>
        <v/>
      </c>
      <c r="AD2060" s="557"/>
      <c r="AE2060" s="958"/>
    </row>
    <row r="2061" spans="1:31">
      <c r="A2061" s="957" t="str">
        <f t="shared" ca="1" si="345"/>
        <v>45/46</v>
      </c>
      <c r="B2061" s="566" t="s">
        <v>177</v>
      </c>
      <c r="C2061" s="567" t="str">
        <f t="shared" ca="1" si="346"/>
        <v>Green Star - Public Building</v>
      </c>
      <c r="D2061" s="958">
        <v>1</v>
      </c>
      <c r="E2061" s="959" t="s">
        <v>367</v>
      </c>
      <c r="F2061" s="558" t="s">
        <v>1488</v>
      </c>
      <c r="G2061" s="558">
        <v>512</v>
      </c>
      <c r="H2061" s="558" t="s">
        <v>1186</v>
      </c>
      <c r="I2061" s="559" t="s">
        <v>1187</v>
      </c>
      <c r="J2061" s="567" t="s">
        <v>1746</v>
      </c>
      <c r="K2061" s="961" t="s">
        <v>1568</v>
      </c>
      <c r="L2061" s="555" t="str">
        <f t="shared" ca="1" si="351"/>
        <v/>
      </c>
      <c r="M2061" s="494" t="s">
        <v>1373</v>
      </c>
      <c r="N2061" s="555" t="str">
        <f t="shared" ca="1" si="352"/>
        <v/>
      </c>
      <c r="O2061" s="494" t="s">
        <v>1598</v>
      </c>
      <c r="P2061" s="555" t="str">
        <f t="shared" ca="1" si="353"/>
        <v/>
      </c>
      <c r="Q2061" s="494" t="s">
        <v>1747</v>
      </c>
      <c r="R2061" s="494" t="str">
        <f t="shared" si="347"/>
        <v>I2061</v>
      </c>
      <c r="S2061" s="494" t="s">
        <v>1748</v>
      </c>
      <c r="T2061" s="494">
        <v>5</v>
      </c>
      <c r="U2061" s="556" t="str">
        <f t="shared" ca="1" si="349"/>
        <v/>
      </c>
      <c r="V2061" s="494">
        <v>6</v>
      </c>
      <c r="W2061" s="556" t="str">
        <f t="shared" ca="1" si="350"/>
        <v/>
      </c>
      <c r="X2061" s="494" t="s">
        <v>1749</v>
      </c>
      <c r="Y2061" s="547" t="str">
        <f t="shared" ca="1" si="354"/>
        <v/>
      </c>
      <c r="Z2061" s="494" t="s">
        <v>1603</v>
      </c>
      <c r="AA2061" s="547" t="str">
        <f t="shared" ca="1" si="355"/>
        <v/>
      </c>
      <c r="AB2061" s="494" t="s">
        <v>1750</v>
      </c>
      <c r="AC2061" s="547" t="str">
        <f t="shared" ca="1" si="348"/>
        <v/>
      </c>
      <c r="AD2061" s="557"/>
      <c r="AE2061" s="958"/>
    </row>
    <row r="2062" spans="1:31">
      <c r="A2062" s="957" t="str">
        <f t="shared" ca="1" si="345"/>
        <v>45/46</v>
      </c>
      <c r="B2062" s="566" t="s">
        <v>177</v>
      </c>
      <c r="C2062" s="567" t="str">
        <f t="shared" ca="1" si="346"/>
        <v>Green Star - Public Building</v>
      </c>
      <c r="D2062" s="958">
        <v>1</v>
      </c>
      <c r="E2062" s="959" t="s">
        <v>367</v>
      </c>
      <c r="F2062" s="558" t="s">
        <v>1488</v>
      </c>
      <c r="G2062" s="558">
        <v>513</v>
      </c>
      <c r="H2062" s="558" t="s">
        <v>1188</v>
      </c>
      <c r="I2062" s="559" t="s">
        <v>1330</v>
      </c>
      <c r="J2062" s="567" t="s">
        <v>1746</v>
      </c>
      <c r="K2062" s="961" t="s">
        <v>1568</v>
      </c>
      <c r="L2062" s="555" t="str">
        <f t="shared" ca="1" si="351"/>
        <v/>
      </c>
      <c r="M2062" s="494" t="s">
        <v>1373</v>
      </c>
      <c r="N2062" s="555" t="str">
        <f t="shared" ca="1" si="352"/>
        <v/>
      </c>
      <c r="O2062" s="494" t="s">
        <v>1598</v>
      </c>
      <c r="P2062" s="555" t="str">
        <f t="shared" ca="1" si="353"/>
        <v/>
      </c>
      <c r="Q2062" s="494" t="s">
        <v>1747</v>
      </c>
      <c r="R2062" s="494" t="str">
        <f t="shared" si="347"/>
        <v>I2062</v>
      </c>
      <c r="S2062" s="494" t="s">
        <v>1748</v>
      </c>
      <c r="T2062" s="494">
        <v>5</v>
      </c>
      <c r="U2062" s="556" t="str">
        <f t="shared" ca="1" si="349"/>
        <v/>
      </c>
      <c r="V2062" s="494">
        <v>6</v>
      </c>
      <c r="W2062" s="556" t="str">
        <f t="shared" ca="1" si="350"/>
        <v/>
      </c>
      <c r="X2062" s="494" t="s">
        <v>1749</v>
      </c>
      <c r="Y2062" s="547" t="str">
        <f t="shared" ca="1" si="354"/>
        <v/>
      </c>
      <c r="Z2062" s="494" t="s">
        <v>1603</v>
      </c>
      <c r="AA2062" s="547" t="str">
        <f t="shared" ca="1" si="355"/>
        <v/>
      </c>
      <c r="AB2062" s="494" t="s">
        <v>1750</v>
      </c>
      <c r="AC2062" s="547" t="str">
        <f t="shared" ca="1" si="348"/>
        <v/>
      </c>
      <c r="AD2062" s="557"/>
      <c r="AE2062" s="958"/>
    </row>
    <row r="2063" spans="1:31">
      <c r="A2063" s="957" t="str">
        <f t="shared" ca="1" si="345"/>
        <v>45/46</v>
      </c>
      <c r="B2063" s="566" t="s">
        <v>177</v>
      </c>
      <c r="C2063" s="567" t="str">
        <f t="shared" ca="1" si="346"/>
        <v>Green Star - Public Building</v>
      </c>
      <c r="D2063" s="958">
        <v>1</v>
      </c>
      <c r="E2063" s="959" t="s">
        <v>367</v>
      </c>
      <c r="F2063" s="558" t="s">
        <v>1488</v>
      </c>
      <c r="G2063" s="558">
        <v>514</v>
      </c>
      <c r="H2063" s="558" t="s">
        <v>1191</v>
      </c>
      <c r="I2063" s="559" t="s">
        <v>1192</v>
      </c>
      <c r="J2063" s="567" t="s">
        <v>1746</v>
      </c>
      <c r="K2063" s="961" t="s">
        <v>1568</v>
      </c>
      <c r="L2063" s="555" t="str">
        <f t="shared" ca="1" si="351"/>
        <v/>
      </c>
      <c r="M2063" s="494" t="s">
        <v>1373</v>
      </c>
      <c r="N2063" s="555" t="str">
        <f t="shared" ca="1" si="352"/>
        <v/>
      </c>
      <c r="O2063" s="494" t="s">
        <v>1598</v>
      </c>
      <c r="P2063" s="555" t="str">
        <f t="shared" ca="1" si="353"/>
        <v/>
      </c>
      <c r="Q2063" s="494" t="s">
        <v>1747</v>
      </c>
      <c r="R2063" s="494" t="str">
        <f t="shared" si="347"/>
        <v>I2063</v>
      </c>
      <c r="S2063" s="494" t="s">
        <v>1748</v>
      </c>
      <c r="T2063" s="494">
        <v>5</v>
      </c>
      <c r="U2063" s="556" t="str">
        <f t="shared" ca="1" si="349"/>
        <v/>
      </c>
      <c r="V2063" s="494">
        <v>6</v>
      </c>
      <c r="W2063" s="556" t="str">
        <f t="shared" ca="1" si="350"/>
        <v/>
      </c>
      <c r="X2063" s="494" t="s">
        <v>1749</v>
      </c>
      <c r="Y2063" s="547" t="str">
        <f t="shared" ca="1" si="354"/>
        <v/>
      </c>
      <c r="Z2063" s="494" t="s">
        <v>1603</v>
      </c>
      <c r="AA2063" s="547" t="str">
        <f t="shared" ca="1" si="355"/>
        <v/>
      </c>
      <c r="AB2063" s="494" t="s">
        <v>1750</v>
      </c>
      <c r="AC2063" s="547" t="str">
        <f t="shared" ca="1" si="348"/>
        <v/>
      </c>
      <c r="AD2063" s="557"/>
      <c r="AE2063" s="958"/>
    </row>
    <row r="2064" spans="1:31">
      <c r="A2064" s="957" t="str">
        <f t="shared" ca="1" si="345"/>
        <v>45/46</v>
      </c>
      <c r="B2064" s="566" t="s">
        <v>177</v>
      </c>
      <c r="C2064" s="567" t="str">
        <f t="shared" ca="1" si="346"/>
        <v>Green Star - Public Building</v>
      </c>
      <c r="D2064" s="958">
        <v>1</v>
      </c>
      <c r="E2064" s="959" t="s">
        <v>367</v>
      </c>
      <c r="F2064" s="558" t="s">
        <v>1488</v>
      </c>
      <c r="G2064" s="558">
        <v>515</v>
      </c>
      <c r="H2064" s="558" t="s">
        <v>1193</v>
      </c>
      <c r="I2064" s="559" t="s">
        <v>376</v>
      </c>
      <c r="J2064" s="567" t="s">
        <v>1746</v>
      </c>
      <c r="K2064" s="961" t="s">
        <v>1568</v>
      </c>
      <c r="L2064" s="555" t="str">
        <f t="shared" ca="1" si="351"/>
        <v/>
      </c>
      <c r="M2064" s="494" t="s">
        <v>1373</v>
      </c>
      <c r="N2064" s="555" t="str">
        <f t="shared" ca="1" si="352"/>
        <v/>
      </c>
      <c r="O2064" s="494" t="s">
        <v>1598</v>
      </c>
      <c r="P2064" s="555" t="str">
        <f t="shared" ca="1" si="353"/>
        <v/>
      </c>
      <c r="Q2064" s="494" t="s">
        <v>1747</v>
      </c>
      <c r="R2064" s="494" t="str">
        <f t="shared" si="347"/>
        <v>I2064</v>
      </c>
      <c r="S2064" s="494" t="s">
        <v>1748</v>
      </c>
      <c r="T2064" s="494">
        <v>5</v>
      </c>
      <c r="U2064" s="556" t="str">
        <f t="shared" ca="1" si="349"/>
        <v/>
      </c>
      <c r="V2064" s="494">
        <v>6</v>
      </c>
      <c r="W2064" s="556" t="str">
        <f t="shared" ca="1" si="350"/>
        <v/>
      </c>
      <c r="X2064" s="494" t="s">
        <v>1749</v>
      </c>
      <c r="Y2064" s="547" t="str">
        <f t="shared" ca="1" si="354"/>
        <v/>
      </c>
      <c r="Z2064" s="494" t="s">
        <v>1603</v>
      </c>
      <c r="AA2064" s="547" t="str">
        <f t="shared" ca="1" si="355"/>
        <v/>
      </c>
      <c r="AB2064" s="494" t="s">
        <v>1750</v>
      </c>
      <c r="AC2064" s="547" t="str">
        <f t="shared" ca="1" si="348"/>
        <v/>
      </c>
      <c r="AD2064" s="557"/>
      <c r="AE2064" s="958"/>
    </row>
    <row r="2065" spans="1:31">
      <c r="A2065" s="957" t="str">
        <f t="shared" ca="1" si="345"/>
        <v>45/46</v>
      </c>
      <c r="B2065" s="566" t="s">
        <v>177</v>
      </c>
      <c r="C2065" s="567" t="str">
        <f t="shared" ca="1" si="346"/>
        <v>Green Star - Public Building</v>
      </c>
      <c r="D2065" s="958">
        <v>1</v>
      </c>
      <c r="E2065" s="959" t="s">
        <v>367</v>
      </c>
      <c r="F2065" s="558" t="s">
        <v>1488</v>
      </c>
      <c r="G2065" s="558">
        <v>516</v>
      </c>
      <c r="H2065" s="558" t="s">
        <v>1197</v>
      </c>
      <c r="I2065" s="559" t="s">
        <v>378</v>
      </c>
      <c r="J2065" s="567" t="s">
        <v>1746</v>
      </c>
      <c r="K2065" s="961" t="s">
        <v>1568</v>
      </c>
      <c r="L2065" s="555" t="str">
        <f t="shared" ca="1" si="351"/>
        <v/>
      </c>
      <c r="M2065" s="494" t="s">
        <v>1373</v>
      </c>
      <c r="N2065" s="555" t="str">
        <f t="shared" ca="1" si="352"/>
        <v/>
      </c>
      <c r="O2065" s="494" t="s">
        <v>1598</v>
      </c>
      <c r="P2065" s="555" t="str">
        <f t="shared" ca="1" si="353"/>
        <v/>
      </c>
      <c r="Q2065" s="494" t="s">
        <v>1747</v>
      </c>
      <c r="R2065" s="494" t="str">
        <f t="shared" si="347"/>
        <v>I2065</v>
      </c>
      <c r="S2065" s="494" t="s">
        <v>1748</v>
      </c>
      <c r="T2065" s="494">
        <v>5</v>
      </c>
      <c r="U2065" s="556" t="str">
        <f t="shared" ca="1" si="349"/>
        <v/>
      </c>
      <c r="V2065" s="494">
        <v>6</v>
      </c>
      <c r="W2065" s="556" t="str">
        <f t="shared" ca="1" si="350"/>
        <v/>
      </c>
      <c r="X2065" s="494" t="s">
        <v>1749</v>
      </c>
      <c r="Y2065" s="547" t="str">
        <f t="shared" ca="1" si="354"/>
        <v/>
      </c>
      <c r="Z2065" s="494" t="s">
        <v>1603</v>
      </c>
      <c r="AA2065" s="547" t="str">
        <f t="shared" ca="1" si="355"/>
        <v/>
      </c>
      <c r="AB2065" s="494" t="s">
        <v>1750</v>
      </c>
      <c r="AC2065" s="547" t="str">
        <f t="shared" ca="1" si="348"/>
        <v/>
      </c>
      <c r="AD2065" s="557"/>
      <c r="AE2065" s="958"/>
    </row>
    <row r="2066" spans="1:31">
      <c r="A2066" s="957" t="str">
        <f t="shared" ca="1" si="345"/>
        <v>45/46</v>
      </c>
      <c r="B2066" s="566" t="s">
        <v>177</v>
      </c>
      <c r="C2066" s="567" t="str">
        <f t="shared" ca="1" si="346"/>
        <v>Green Star - Public Building</v>
      </c>
      <c r="D2066" s="958">
        <v>1</v>
      </c>
      <c r="E2066" s="959" t="s">
        <v>367</v>
      </c>
      <c r="F2066" s="558" t="s">
        <v>1488</v>
      </c>
      <c r="G2066" s="558">
        <v>517</v>
      </c>
      <c r="H2066" s="558" t="s">
        <v>1201</v>
      </c>
      <c r="I2066" s="559" t="s">
        <v>994</v>
      </c>
      <c r="J2066" s="567" t="s">
        <v>1746</v>
      </c>
      <c r="K2066" s="961" t="s">
        <v>1568</v>
      </c>
      <c r="L2066" s="555" t="str">
        <f t="shared" ca="1" si="351"/>
        <v/>
      </c>
      <c r="M2066" s="494" t="s">
        <v>1373</v>
      </c>
      <c r="N2066" s="555" t="str">
        <f t="shared" ca="1" si="352"/>
        <v/>
      </c>
      <c r="O2066" s="494" t="s">
        <v>1598</v>
      </c>
      <c r="P2066" s="555" t="str">
        <f t="shared" ca="1" si="353"/>
        <v/>
      </c>
      <c r="Q2066" s="494" t="s">
        <v>1747</v>
      </c>
      <c r="R2066" s="494" t="str">
        <f t="shared" si="347"/>
        <v>I2066</v>
      </c>
      <c r="S2066" s="494" t="s">
        <v>1748</v>
      </c>
      <c r="T2066" s="494">
        <v>5</v>
      </c>
      <c r="U2066" s="556" t="str">
        <f t="shared" ca="1" si="349"/>
        <v/>
      </c>
      <c r="V2066" s="494">
        <v>6</v>
      </c>
      <c r="W2066" s="556" t="str">
        <f t="shared" ca="1" si="350"/>
        <v/>
      </c>
      <c r="X2066" s="494" t="s">
        <v>1749</v>
      </c>
      <c r="Y2066" s="547" t="str">
        <f t="shared" ca="1" si="354"/>
        <v/>
      </c>
      <c r="Z2066" s="494" t="s">
        <v>1603</v>
      </c>
      <c r="AA2066" s="547" t="str">
        <f t="shared" ca="1" si="355"/>
        <v/>
      </c>
      <c r="AB2066" s="494" t="s">
        <v>1750</v>
      </c>
      <c r="AC2066" s="547" t="str">
        <f t="shared" ca="1" si="348"/>
        <v/>
      </c>
      <c r="AD2066" s="557"/>
      <c r="AE2066" s="958"/>
    </row>
    <row r="2067" spans="1:31">
      <c r="A2067" s="957" t="str">
        <f t="shared" ca="1" si="345"/>
        <v>45/46</v>
      </c>
      <c r="B2067" s="566" t="s">
        <v>177</v>
      </c>
      <c r="C2067" s="567" t="str">
        <f t="shared" ca="1" si="346"/>
        <v>Green Star - Public Building</v>
      </c>
      <c r="D2067" s="958">
        <v>1</v>
      </c>
      <c r="E2067" s="959" t="s">
        <v>367</v>
      </c>
      <c r="F2067" s="558" t="s">
        <v>1488</v>
      </c>
      <c r="G2067" s="558">
        <v>518</v>
      </c>
      <c r="H2067" s="558" t="s">
        <v>1203</v>
      </c>
      <c r="I2067" s="559" t="s">
        <v>589</v>
      </c>
      <c r="J2067" s="567" t="s">
        <v>1746</v>
      </c>
      <c r="K2067" s="961" t="s">
        <v>1568</v>
      </c>
      <c r="L2067" s="555" t="str">
        <f t="shared" ca="1" si="351"/>
        <v/>
      </c>
      <c r="M2067" s="494" t="s">
        <v>1373</v>
      </c>
      <c r="N2067" s="555" t="str">
        <f t="shared" ca="1" si="352"/>
        <v/>
      </c>
      <c r="O2067" s="494" t="s">
        <v>1598</v>
      </c>
      <c r="P2067" s="555" t="str">
        <f t="shared" ca="1" si="353"/>
        <v/>
      </c>
      <c r="Q2067" s="494" t="s">
        <v>1747</v>
      </c>
      <c r="R2067" s="494" t="str">
        <f t="shared" si="347"/>
        <v>I2067</v>
      </c>
      <c r="S2067" s="494" t="s">
        <v>1748</v>
      </c>
      <c r="T2067" s="494">
        <v>5</v>
      </c>
      <c r="U2067" s="556" t="str">
        <f t="shared" ca="1" si="349"/>
        <v/>
      </c>
      <c r="V2067" s="494">
        <v>6</v>
      </c>
      <c r="W2067" s="556" t="str">
        <f t="shared" ca="1" si="350"/>
        <v/>
      </c>
      <c r="X2067" s="494" t="s">
        <v>1749</v>
      </c>
      <c r="Y2067" s="547" t="str">
        <f t="shared" ca="1" si="354"/>
        <v/>
      </c>
      <c r="Z2067" s="494" t="s">
        <v>1603</v>
      </c>
      <c r="AA2067" s="547" t="str">
        <f t="shared" ca="1" si="355"/>
        <v/>
      </c>
      <c r="AB2067" s="494" t="s">
        <v>1750</v>
      </c>
      <c r="AC2067" s="547" t="str">
        <f t="shared" ref="AC2067:AC2098" ca="1" si="356">IF(AND(INDIRECT(CONCATENATE($J2067,$K2067,"5"))=$B2067,ISBLANK(INDIRECT(CONCATENATE($J2067,AB2067)))=FALSE),INDIRECT(CONCATENATE($J2067,AB2067)),"")</f>
        <v/>
      </c>
      <c r="AD2067" s="557"/>
      <c r="AE2067" s="958"/>
    </row>
    <row r="2068" spans="1:31">
      <c r="A2068" s="957" t="str">
        <f t="shared" ca="1" si="345"/>
        <v>45/46</v>
      </c>
      <c r="B2068" s="566" t="s">
        <v>177</v>
      </c>
      <c r="C2068" s="567" t="str">
        <f t="shared" ca="1" si="346"/>
        <v>Green Star - Public Building</v>
      </c>
      <c r="D2068" s="958">
        <v>1</v>
      </c>
      <c r="E2068" s="959" t="s">
        <v>367</v>
      </c>
      <c r="F2068" s="558" t="s">
        <v>1488</v>
      </c>
      <c r="G2068" s="558">
        <v>519</v>
      </c>
      <c r="H2068" s="558" t="s">
        <v>1205</v>
      </c>
      <c r="I2068" s="559" t="s">
        <v>1206</v>
      </c>
      <c r="J2068" s="567" t="s">
        <v>1746</v>
      </c>
      <c r="K2068" s="961" t="s">
        <v>1568</v>
      </c>
      <c r="L2068" s="555" t="str">
        <f t="shared" ca="1" si="351"/>
        <v/>
      </c>
      <c r="M2068" s="494" t="s">
        <v>1373</v>
      </c>
      <c r="N2068" s="555" t="str">
        <f t="shared" ca="1" si="352"/>
        <v/>
      </c>
      <c r="O2068" s="494" t="s">
        <v>1598</v>
      </c>
      <c r="P2068" s="555" t="str">
        <f t="shared" ca="1" si="353"/>
        <v/>
      </c>
      <c r="Q2068" s="494" t="s">
        <v>1747</v>
      </c>
      <c r="R2068" s="494" t="str">
        <f t="shared" si="347"/>
        <v>I2068</v>
      </c>
      <c r="S2068" s="494" t="s">
        <v>1748</v>
      </c>
      <c r="T2068" s="494">
        <v>5</v>
      </c>
      <c r="U2068" s="556" t="str">
        <f t="shared" ca="1" si="349"/>
        <v/>
      </c>
      <c r="V2068" s="494">
        <v>6</v>
      </c>
      <c r="W2068" s="556" t="str">
        <f t="shared" ca="1" si="350"/>
        <v/>
      </c>
      <c r="X2068" s="494" t="s">
        <v>1749</v>
      </c>
      <c r="Y2068" s="547" t="str">
        <f t="shared" ca="1" si="354"/>
        <v/>
      </c>
      <c r="Z2068" s="494" t="s">
        <v>1603</v>
      </c>
      <c r="AA2068" s="547" t="str">
        <f t="shared" ca="1" si="355"/>
        <v/>
      </c>
      <c r="AB2068" s="494" t="s">
        <v>1750</v>
      </c>
      <c r="AC2068" s="547" t="str">
        <f t="shared" ca="1" si="356"/>
        <v/>
      </c>
      <c r="AD2068" s="557"/>
      <c r="AE2068" s="958"/>
    </row>
    <row r="2069" spans="1:31">
      <c r="A2069" s="957" t="str">
        <f t="shared" ca="1" si="345"/>
        <v>45/46</v>
      </c>
      <c r="B2069" s="566" t="s">
        <v>177</v>
      </c>
      <c r="C2069" s="567" t="str">
        <f t="shared" ca="1" si="346"/>
        <v>Green Star - Public Building</v>
      </c>
      <c r="D2069" s="958">
        <v>1</v>
      </c>
      <c r="E2069" s="959" t="s">
        <v>367</v>
      </c>
      <c r="F2069" s="558" t="s">
        <v>1488</v>
      </c>
      <c r="G2069" s="558">
        <v>520</v>
      </c>
      <c r="H2069" s="558" t="s">
        <v>1207</v>
      </c>
      <c r="I2069" s="559" t="s">
        <v>1208</v>
      </c>
      <c r="J2069" s="567" t="s">
        <v>1746</v>
      </c>
      <c r="K2069" s="961" t="s">
        <v>1568</v>
      </c>
      <c r="L2069" s="555" t="str">
        <f t="shared" ca="1" si="351"/>
        <v/>
      </c>
      <c r="M2069" s="494" t="s">
        <v>1373</v>
      </c>
      <c r="N2069" s="555" t="str">
        <f t="shared" ca="1" si="352"/>
        <v/>
      </c>
      <c r="O2069" s="494" t="s">
        <v>1598</v>
      </c>
      <c r="P2069" s="555" t="str">
        <f t="shared" ca="1" si="353"/>
        <v/>
      </c>
      <c r="Q2069" s="494" t="s">
        <v>1747</v>
      </c>
      <c r="R2069" s="494" t="str">
        <f t="shared" si="347"/>
        <v>I2069</v>
      </c>
      <c r="S2069" s="494" t="s">
        <v>1748</v>
      </c>
      <c r="T2069" s="494">
        <v>5</v>
      </c>
      <c r="U2069" s="556" t="str">
        <f t="shared" ca="1" si="349"/>
        <v/>
      </c>
      <c r="V2069" s="494">
        <v>6</v>
      </c>
      <c r="W2069" s="556" t="str">
        <f t="shared" ca="1" si="350"/>
        <v/>
      </c>
      <c r="X2069" s="494" t="s">
        <v>1749</v>
      </c>
      <c r="Y2069" s="547" t="str">
        <f t="shared" ca="1" si="354"/>
        <v/>
      </c>
      <c r="Z2069" s="494" t="s">
        <v>1603</v>
      </c>
      <c r="AA2069" s="547" t="str">
        <f t="shared" ca="1" si="355"/>
        <v/>
      </c>
      <c r="AB2069" s="494" t="s">
        <v>1750</v>
      </c>
      <c r="AC2069" s="547" t="str">
        <f t="shared" ca="1" si="356"/>
        <v/>
      </c>
      <c r="AD2069" s="557"/>
      <c r="AE2069" s="958"/>
    </row>
    <row r="2070" spans="1:31">
      <c r="A2070" s="957" t="str">
        <f t="shared" ca="1" si="345"/>
        <v>45/46</v>
      </c>
      <c r="B2070" s="566" t="s">
        <v>177</v>
      </c>
      <c r="C2070" s="567" t="str">
        <f t="shared" ca="1" si="346"/>
        <v>Green Star - Public Building</v>
      </c>
      <c r="D2070" s="958">
        <v>1</v>
      </c>
      <c r="E2070" s="959" t="s">
        <v>367</v>
      </c>
      <c r="F2070" s="558" t="s">
        <v>1488</v>
      </c>
      <c r="G2070" s="558">
        <v>521</v>
      </c>
      <c r="H2070" s="558" t="s">
        <v>1211</v>
      </c>
      <c r="I2070" s="559" t="s">
        <v>991</v>
      </c>
      <c r="J2070" s="567" t="s">
        <v>1746</v>
      </c>
      <c r="K2070" s="961" t="s">
        <v>1568</v>
      </c>
      <c r="L2070" s="555" t="str">
        <f t="shared" ca="1" si="351"/>
        <v/>
      </c>
      <c r="M2070" s="494" t="s">
        <v>1373</v>
      </c>
      <c r="N2070" s="555" t="str">
        <f t="shared" ca="1" si="352"/>
        <v/>
      </c>
      <c r="O2070" s="494" t="s">
        <v>1598</v>
      </c>
      <c r="P2070" s="555" t="str">
        <f t="shared" ca="1" si="353"/>
        <v/>
      </c>
      <c r="Q2070" s="494" t="s">
        <v>1747</v>
      </c>
      <c r="R2070" s="494" t="str">
        <f>CONCATENATE("I",ROW(J2070))</f>
        <v>I2070</v>
      </c>
      <c r="S2070" s="494" t="s">
        <v>1748</v>
      </c>
      <c r="T2070" s="494">
        <v>5</v>
      </c>
      <c r="U2070" s="556" t="str">
        <f t="shared" ca="1" si="349"/>
        <v/>
      </c>
      <c r="V2070" s="494">
        <v>6</v>
      </c>
      <c r="W2070" s="556" t="str">
        <f t="shared" ca="1" si="350"/>
        <v/>
      </c>
      <c r="X2070" s="494" t="s">
        <v>1749</v>
      </c>
      <c r="Y2070" s="547" t="str">
        <f t="shared" ca="1" si="354"/>
        <v/>
      </c>
      <c r="Z2070" s="494" t="s">
        <v>1603</v>
      </c>
      <c r="AA2070" s="547" t="str">
        <f t="shared" ca="1" si="355"/>
        <v/>
      </c>
      <c r="AB2070" s="494" t="s">
        <v>1750</v>
      </c>
      <c r="AC2070" s="547" t="str">
        <f t="shared" ca="1" si="356"/>
        <v/>
      </c>
      <c r="AD2070" s="557"/>
      <c r="AE2070" s="958"/>
    </row>
    <row r="2071" spans="1:31">
      <c r="A2071" s="957" t="str">
        <f t="shared" ca="1" si="345"/>
        <v>45/46</v>
      </c>
      <c r="B2071" s="566" t="s">
        <v>177</v>
      </c>
      <c r="C2071" s="567" t="str">
        <f t="shared" ca="1" si="346"/>
        <v>Green Star - Public Building</v>
      </c>
      <c r="D2071" s="958">
        <v>1</v>
      </c>
      <c r="E2071" s="959" t="s">
        <v>367</v>
      </c>
      <c r="F2071" s="558" t="s">
        <v>1488</v>
      </c>
      <c r="G2071" s="558">
        <v>522</v>
      </c>
      <c r="H2071" s="558" t="s">
        <v>1212</v>
      </c>
      <c r="I2071" s="559" t="s">
        <v>992</v>
      </c>
      <c r="J2071" s="567" t="s">
        <v>1746</v>
      </c>
      <c r="K2071" s="961" t="s">
        <v>1568</v>
      </c>
      <c r="L2071" s="555" t="str">
        <f t="shared" ca="1" si="351"/>
        <v/>
      </c>
      <c r="M2071" s="494" t="s">
        <v>1373</v>
      </c>
      <c r="N2071" s="555" t="str">
        <f t="shared" ca="1" si="352"/>
        <v/>
      </c>
      <c r="O2071" s="494" t="s">
        <v>1598</v>
      </c>
      <c r="P2071" s="555" t="str">
        <f t="shared" ca="1" si="353"/>
        <v/>
      </c>
      <c r="Q2071" s="494" t="s">
        <v>1747</v>
      </c>
      <c r="R2071" s="494" t="str">
        <f>CONCATENATE("I",ROW(J2071))</f>
        <v>I2071</v>
      </c>
      <c r="S2071" s="494" t="s">
        <v>1748</v>
      </c>
      <c r="T2071" s="494">
        <v>5</v>
      </c>
      <c r="U2071" s="556" t="str">
        <f t="shared" ca="1" si="349"/>
        <v/>
      </c>
      <c r="V2071" s="494">
        <v>6</v>
      </c>
      <c r="W2071" s="556" t="str">
        <f t="shared" ca="1" si="350"/>
        <v/>
      </c>
      <c r="X2071" s="494" t="s">
        <v>1749</v>
      </c>
      <c r="Y2071" s="547" t="str">
        <f t="shared" ca="1" si="354"/>
        <v/>
      </c>
      <c r="Z2071" s="494" t="s">
        <v>1603</v>
      </c>
      <c r="AA2071" s="547" t="str">
        <f t="shared" ca="1" si="355"/>
        <v/>
      </c>
      <c r="AB2071" s="494" t="s">
        <v>1750</v>
      </c>
      <c r="AC2071" s="547" t="str">
        <f t="shared" ca="1" si="356"/>
        <v/>
      </c>
      <c r="AD2071" s="557"/>
      <c r="AE2071" s="958"/>
    </row>
    <row r="2072" spans="1:31">
      <c r="A2072" s="957" t="str">
        <f t="shared" ca="1" si="345"/>
        <v>45/46</v>
      </c>
      <c r="B2072" s="566" t="s">
        <v>177</v>
      </c>
      <c r="C2072" s="567" t="str">
        <f t="shared" ca="1" si="346"/>
        <v>Green Star - Public Building</v>
      </c>
      <c r="D2072" s="958">
        <v>1</v>
      </c>
      <c r="E2072" s="959" t="s">
        <v>367</v>
      </c>
      <c r="F2072" s="558" t="s">
        <v>1488</v>
      </c>
      <c r="G2072" s="558">
        <v>523</v>
      </c>
      <c r="H2072" s="558" t="s">
        <v>1214</v>
      </c>
      <c r="I2072" s="559" t="s">
        <v>993</v>
      </c>
      <c r="J2072" s="567" t="s">
        <v>1746</v>
      </c>
      <c r="K2072" s="961" t="s">
        <v>1568</v>
      </c>
      <c r="L2072" s="555" t="str">
        <f t="shared" ca="1" si="351"/>
        <v/>
      </c>
      <c r="M2072" s="494" t="s">
        <v>1373</v>
      </c>
      <c r="N2072" s="555" t="str">
        <f t="shared" ca="1" si="352"/>
        <v/>
      </c>
      <c r="O2072" s="494" t="s">
        <v>1598</v>
      </c>
      <c r="P2072" s="555" t="str">
        <f t="shared" ca="1" si="353"/>
        <v/>
      </c>
      <c r="Q2072" s="494" t="s">
        <v>1747</v>
      </c>
      <c r="R2072" s="494" t="str">
        <f>CONCATENATE("I",ROW(J2072))</f>
        <v>I2072</v>
      </c>
      <c r="S2072" s="494" t="s">
        <v>1748</v>
      </c>
      <c r="T2072" s="494">
        <v>5</v>
      </c>
      <c r="U2072" s="556" t="str">
        <f t="shared" ca="1" si="349"/>
        <v/>
      </c>
      <c r="V2072" s="494">
        <v>6</v>
      </c>
      <c r="W2072" s="556" t="str">
        <f t="shared" ca="1" si="350"/>
        <v/>
      </c>
      <c r="X2072" s="494" t="s">
        <v>1749</v>
      </c>
      <c r="Y2072" s="547" t="str">
        <f t="shared" ca="1" si="354"/>
        <v/>
      </c>
      <c r="Z2072" s="494" t="s">
        <v>1603</v>
      </c>
      <c r="AA2072" s="547" t="str">
        <f t="shared" ca="1" si="355"/>
        <v/>
      </c>
      <c r="AB2072" s="494" t="s">
        <v>1750</v>
      </c>
      <c r="AC2072" s="547" t="str">
        <f t="shared" ca="1" si="356"/>
        <v/>
      </c>
      <c r="AD2072" s="557"/>
      <c r="AE2072" s="958"/>
    </row>
    <row r="2073" spans="1:31">
      <c r="A2073" s="957" t="str">
        <f t="shared" ca="1" si="345"/>
        <v>45/46</v>
      </c>
      <c r="B2073" s="566" t="s">
        <v>177</v>
      </c>
      <c r="C2073" s="567" t="str">
        <f t="shared" ca="1" si="346"/>
        <v>Green Star - Public Building</v>
      </c>
      <c r="D2073" s="958">
        <v>1</v>
      </c>
      <c r="E2073" s="959" t="s">
        <v>396</v>
      </c>
      <c r="F2073" s="558" t="s">
        <v>1498</v>
      </c>
      <c r="G2073" s="558">
        <v>524</v>
      </c>
      <c r="H2073" s="558" t="s">
        <v>1577</v>
      </c>
      <c r="I2073" s="559" t="s">
        <v>606</v>
      </c>
      <c r="J2073" s="567" t="s">
        <v>1746</v>
      </c>
      <c r="K2073" s="961" t="s">
        <v>1568</v>
      </c>
      <c r="L2073" s="555" t="str">
        <f t="shared" ca="1" si="351"/>
        <v/>
      </c>
      <c r="M2073" s="494" t="s">
        <v>1373</v>
      </c>
      <c r="N2073" s="555" t="str">
        <f t="shared" ca="1" si="352"/>
        <v/>
      </c>
      <c r="O2073" s="494" t="s">
        <v>1598</v>
      </c>
      <c r="P2073" s="555" t="str">
        <f t="shared" ca="1" si="353"/>
        <v/>
      </c>
      <c r="Q2073" s="494" t="s">
        <v>1747</v>
      </c>
      <c r="R2073" s="494" t="str">
        <f t="shared" si="347"/>
        <v>I2073</v>
      </c>
      <c r="S2073" s="494" t="s">
        <v>1748</v>
      </c>
      <c r="T2073" s="494">
        <v>5</v>
      </c>
      <c r="U2073" s="556" t="str">
        <f t="shared" ca="1" si="349"/>
        <v/>
      </c>
      <c r="V2073" s="494">
        <v>6</v>
      </c>
      <c r="W2073" s="556" t="str">
        <f t="shared" ca="1" si="350"/>
        <v/>
      </c>
      <c r="X2073" s="494" t="s">
        <v>1749</v>
      </c>
      <c r="Y2073" s="547" t="str">
        <f t="shared" ca="1" si="354"/>
        <v/>
      </c>
      <c r="Z2073" s="494" t="s">
        <v>1603</v>
      </c>
      <c r="AA2073" s="547" t="str">
        <f t="shared" ca="1" si="355"/>
        <v/>
      </c>
      <c r="AB2073" s="494" t="s">
        <v>1750</v>
      </c>
      <c r="AC2073" s="547" t="str">
        <f t="shared" ca="1" si="356"/>
        <v/>
      </c>
      <c r="AD2073" s="557"/>
      <c r="AE2073" s="958"/>
    </row>
    <row r="2074" spans="1:31">
      <c r="A2074" s="957" t="str">
        <f t="shared" ca="1" si="345"/>
        <v>45/46</v>
      </c>
      <c r="B2074" s="566" t="s">
        <v>177</v>
      </c>
      <c r="C2074" s="567" t="str">
        <f t="shared" ca="1" si="346"/>
        <v>Green Star - Public Building</v>
      </c>
      <c r="D2074" s="958">
        <v>1</v>
      </c>
      <c r="E2074" s="959" t="s">
        <v>396</v>
      </c>
      <c r="F2074" s="558" t="s">
        <v>1498</v>
      </c>
      <c r="G2074" s="558">
        <v>525</v>
      </c>
      <c r="H2074" s="558" t="s">
        <v>1039</v>
      </c>
      <c r="I2074" s="559" t="s">
        <v>1220</v>
      </c>
      <c r="J2074" s="567" t="s">
        <v>1746</v>
      </c>
      <c r="K2074" s="961" t="s">
        <v>1568</v>
      </c>
      <c r="L2074" s="555" t="str">
        <f t="shared" ca="1" si="351"/>
        <v/>
      </c>
      <c r="M2074" s="494" t="s">
        <v>1373</v>
      </c>
      <c r="N2074" s="555" t="str">
        <f t="shared" ca="1" si="352"/>
        <v/>
      </c>
      <c r="O2074" s="494" t="s">
        <v>1598</v>
      </c>
      <c r="P2074" s="555" t="str">
        <f t="shared" ca="1" si="353"/>
        <v/>
      </c>
      <c r="Q2074" s="494" t="s">
        <v>1747</v>
      </c>
      <c r="R2074" s="494" t="str">
        <f t="shared" si="347"/>
        <v>I2074</v>
      </c>
      <c r="S2074" s="494" t="s">
        <v>1748</v>
      </c>
      <c r="T2074" s="494">
        <v>5</v>
      </c>
      <c r="U2074" s="556" t="str">
        <f t="shared" ca="1" si="349"/>
        <v/>
      </c>
      <c r="V2074" s="494">
        <v>6</v>
      </c>
      <c r="W2074" s="556" t="str">
        <f t="shared" ca="1" si="350"/>
        <v/>
      </c>
      <c r="X2074" s="494" t="s">
        <v>1749</v>
      </c>
      <c r="Y2074" s="547" t="str">
        <f t="shared" ca="1" si="354"/>
        <v/>
      </c>
      <c r="Z2074" s="494" t="s">
        <v>1603</v>
      </c>
      <c r="AA2074" s="547" t="str">
        <f t="shared" ca="1" si="355"/>
        <v/>
      </c>
      <c r="AB2074" s="494" t="s">
        <v>1750</v>
      </c>
      <c r="AC2074" s="547" t="str">
        <f t="shared" ca="1" si="356"/>
        <v/>
      </c>
      <c r="AD2074" s="557"/>
      <c r="AE2074" s="958"/>
    </row>
    <row r="2075" spans="1:31">
      <c r="A2075" s="957" t="str">
        <f t="shared" ca="1" si="345"/>
        <v>45/46</v>
      </c>
      <c r="B2075" s="566" t="s">
        <v>177</v>
      </c>
      <c r="C2075" s="567" t="str">
        <f t="shared" ca="1" si="346"/>
        <v>Green Star - Public Building</v>
      </c>
      <c r="D2075" s="958">
        <v>1</v>
      </c>
      <c r="E2075" s="959" t="s">
        <v>396</v>
      </c>
      <c r="F2075" s="558" t="s">
        <v>1498</v>
      </c>
      <c r="G2075" s="558">
        <v>526</v>
      </c>
      <c r="H2075" s="558" t="s">
        <v>1045</v>
      </c>
      <c r="I2075" s="559" t="s">
        <v>1221</v>
      </c>
      <c r="J2075" s="567" t="s">
        <v>1746</v>
      </c>
      <c r="K2075" s="961" t="s">
        <v>1568</v>
      </c>
      <c r="L2075" s="555" t="str">
        <f t="shared" ca="1" si="351"/>
        <v/>
      </c>
      <c r="M2075" s="494" t="s">
        <v>1373</v>
      </c>
      <c r="N2075" s="555" t="str">
        <f t="shared" ca="1" si="352"/>
        <v/>
      </c>
      <c r="O2075" s="494" t="s">
        <v>1598</v>
      </c>
      <c r="P2075" s="555" t="str">
        <f t="shared" ca="1" si="353"/>
        <v/>
      </c>
      <c r="Q2075" s="494" t="s">
        <v>1747</v>
      </c>
      <c r="R2075" s="494" t="str">
        <f t="shared" si="347"/>
        <v>I2075</v>
      </c>
      <c r="S2075" s="494" t="s">
        <v>1748</v>
      </c>
      <c r="T2075" s="494">
        <v>5</v>
      </c>
      <c r="U2075" s="556" t="str">
        <f t="shared" ca="1" si="349"/>
        <v/>
      </c>
      <c r="V2075" s="494">
        <v>6</v>
      </c>
      <c r="W2075" s="556" t="str">
        <f t="shared" ca="1" si="350"/>
        <v/>
      </c>
      <c r="X2075" s="494" t="s">
        <v>1749</v>
      </c>
      <c r="Y2075" s="547" t="str">
        <f t="shared" ca="1" si="354"/>
        <v/>
      </c>
      <c r="Z2075" s="494" t="s">
        <v>1603</v>
      </c>
      <c r="AA2075" s="547" t="str">
        <f t="shared" ca="1" si="355"/>
        <v/>
      </c>
      <c r="AB2075" s="494" t="s">
        <v>1750</v>
      </c>
      <c r="AC2075" s="547" t="str">
        <f t="shared" ca="1" si="356"/>
        <v/>
      </c>
      <c r="AD2075" s="557"/>
      <c r="AE2075" s="958"/>
    </row>
    <row r="2076" spans="1:31">
      <c r="A2076" s="957" t="str">
        <f t="shared" ca="1" si="345"/>
        <v>45/46</v>
      </c>
      <c r="B2076" s="566" t="s">
        <v>177</v>
      </c>
      <c r="C2076" s="567" t="str">
        <f t="shared" ca="1" si="346"/>
        <v>Green Star - Public Building</v>
      </c>
      <c r="D2076" s="958">
        <v>1</v>
      </c>
      <c r="E2076" s="959" t="s">
        <v>396</v>
      </c>
      <c r="F2076" s="558" t="s">
        <v>1498</v>
      </c>
      <c r="G2076" s="558">
        <v>527</v>
      </c>
      <c r="H2076" s="558" t="s">
        <v>1046</v>
      </c>
      <c r="I2076" s="559" t="s">
        <v>1222</v>
      </c>
      <c r="J2076" s="567" t="s">
        <v>1746</v>
      </c>
      <c r="K2076" s="961" t="s">
        <v>1568</v>
      </c>
      <c r="L2076" s="555" t="str">
        <f t="shared" ca="1" si="351"/>
        <v/>
      </c>
      <c r="M2076" s="494" t="s">
        <v>1373</v>
      </c>
      <c r="N2076" s="555" t="str">
        <f t="shared" ca="1" si="352"/>
        <v/>
      </c>
      <c r="O2076" s="494" t="s">
        <v>1598</v>
      </c>
      <c r="P2076" s="555" t="str">
        <f t="shared" ca="1" si="353"/>
        <v/>
      </c>
      <c r="Q2076" s="494" t="s">
        <v>1747</v>
      </c>
      <c r="R2076" s="494" t="str">
        <f t="shared" si="347"/>
        <v>I2076</v>
      </c>
      <c r="S2076" s="494" t="s">
        <v>1748</v>
      </c>
      <c r="T2076" s="494">
        <v>5</v>
      </c>
      <c r="U2076" s="556" t="str">
        <f t="shared" ca="1" si="349"/>
        <v/>
      </c>
      <c r="V2076" s="494">
        <v>6</v>
      </c>
      <c r="W2076" s="556" t="str">
        <f t="shared" ca="1" si="350"/>
        <v/>
      </c>
      <c r="X2076" s="494" t="s">
        <v>1749</v>
      </c>
      <c r="Y2076" s="547" t="str">
        <f t="shared" ca="1" si="354"/>
        <v/>
      </c>
      <c r="Z2076" s="494" t="s">
        <v>1603</v>
      </c>
      <c r="AA2076" s="547" t="str">
        <f t="shared" ca="1" si="355"/>
        <v/>
      </c>
      <c r="AB2076" s="494" t="s">
        <v>1750</v>
      </c>
      <c r="AC2076" s="547" t="str">
        <f t="shared" ca="1" si="356"/>
        <v/>
      </c>
      <c r="AD2076" s="557"/>
      <c r="AE2076" s="958"/>
    </row>
    <row r="2077" spans="1:31">
      <c r="A2077" s="957" t="str">
        <f t="shared" ca="1" si="345"/>
        <v>45/46</v>
      </c>
      <c r="B2077" s="566" t="s">
        <v>177</v>
      </c>
      <c r="C2077" s="567" t="str">
        <f t="shared" ca="1" si="346"/>
        <v>Green Star - Public Building</v>
      </c>
      <c r="D2077" s="958">
        <v>1</v>
      </c>
      <c r="E2077" s="959" t="s">
        <v>396</v>
      </c>
      <c r="F2077" s="558" t="s">
        <v>1498</v>
      </c>
      <c r="G2077" s="558">
        <v>528</v>
      </c>
      <c r="H2077" s="558" t="s">
        <v>1047</v>
      </c>
      <c r="I2077" s="559" t="s">
        <v>1332</v>
      </c>
      <c r="J2077" s="567" t="s">
        <v>1746</v>
      </c>
      <c r="K2077" s="961" t="s">
        <v>1568</v>
      </c>
      <c r="L2077" s="555" t="str">
        <f t="shared" ca="1" si="351"/>
        <v/>
      </c>
      <c r="M2077" s="494" t="s">
        <v>1373</v>
      </c>
      <c r="N2077" s="555" t="str">
        <f t="shared" ca="1" si="352"/>
        <v/>
      </c>
      <c r="O2077" s="494" t="s">
        <v>1598</v>
      </c>
      <c r="P2077" s="555" t="str">
        <f t="shared" ca="1" si="353"/>
        <v/>
      </c>
      <c r="Q2077" s="494" t="s">
        <v>1747</v>
      </c>
      <c r="R2077" s="494" t="str">
        <f t="shared" si="347"/>
        <v>I2077</v>
      </c>
      <c r="S2077" s="494" t="s">
        <v>1748</v>
      </c>
      <c r="T2077" s="494">
        <v>5</v>
      </c>
      <c r="U2077" s="556" t="str">
        <f t="shared" ca="1" si="349"/>
        <v/>
      </c>
      <c r="V2077" s="494">
        <v>6</v>
      </c>
      <c r="W2077" s="556" t="str">
        <f t="shared" ca="1" si="350"/>
        <v/>
      </c>
      <c r="X2077" s="494" t="s">
        <v>1749</v>
      </c>
      <c r="Y2077" s="547" t="str">
        <f t="shared" ca="1" si="354"/>
        <v/>
      </c>
      <c r="Z2077" s="494" t="s">
        <v>1603</v>
      </c>
      <c r="AA2077" s="547" t="str">
        <f t="shared" ca="1" si="355"/>
        <v/>
      </c>
      <c r="AB2077" s="494" t="s">
        <v>1750</v>
      </c>
      <c r="AC2077" s="547" t="str">
        <f t="shared" ca="1" si="356"/>
        <v/>
      </c>
      <c r="AD2077" s="557"/>
      <c r="AE2077" s="958"/>
    </row>
    <row r="2078" spans="1:31">
      <c r="A2078" s="957" t="str">
        <f t="shared" ca="1" si="345"/>
        <v>45/46</v>
      </c>
      <c r="B2078" s="566" t="s">
        <v>177</v>
      </c>
      <c r="C2078" s="567" t="str">
        <f t="shared" ca="1" si="346"/>
        <v>Green Star - Public Building</v>
      </c>
      <c r="D2078" s="958">
        <v>1</v>
      </c>
      <c r="E2078" s="959" t="s">
        <v>404</v>
      </c>
      <c r="F2078" s="558" t="s">
        <v>1499</v>
      </c>
      <c r="G2078" s="558">
        <v>529</v>
      </c>
      <c r="H2078" s="558" t="s">
        <v>1223</v>
      </c>
      <c r="I2078" s="559" t="s">
        <v>1224</v>
      </c>
      <c r="J2078" s="567" t="s">
        <v>1746</v>
      </c>
      <c r="K2078" s="961" t="s">
        <v>1568</v>
      </c>
      <c r="L2078" s="555" t="str">
        <f t="shared" ca="1" si="351"/>
        <v/>
      </c>
      <c r="M2078" s="494" t="s">
        <v>1373</v>
      </c>
      <c r="N2078" s="555" t="str">
        <f t="shared" ca="1" si="352"/>
        <v/>
      </c>
      <c r="O2078" s="494" t="s">
        <v>1598</v>
      </c>
      <c r="P2078" s="555" t="str">
        <f t="shared" ca="1" si="353"/>
        <v/>
      </c>
      <c r="Q2078" s="494" t="s">
        <v>1747</v>
      </c>
      <c r="R2078" s="494" t="str">
        <f t="shared" si="347"/>
        <v>I2078</v>
      </c>
      <c r="S2078" s="494" t="s">
        <v>1748</v>
      </c>
      <c r="T2078" s="494">
        <v>5</v>
      </c>
      <c r="U2078" s="556" t="str">
        <f t="shared" ca="1" si="349"/>
        <v/>
      </c>
      <c r="V2078" s="494">
        <v>6</v>
      </c>
      <c r="W2078" s="556" t="str">
        <f t="shared" ca="1" si="350"/>
        <v/>
      </c>
      <c r="X2078" s="494" t="s">
        <v>1749</v>
      </c>
      <c r="Y2078" s="547" t="str">
        <f t="shared" ca="1" si="354"/>
        <v/>
      </c>
      <c r="Z2078" s="494" t="s">
        <v>1603</v>
      </c>
      <c r="AA2078" s="547" t="str">
        <f t="shared" ca="1" si="355"/>
        <v/>
      </c>
      <c r="AB2078" s="494" t="s">
        <v>1750</v>
      </c>
      <c r="AC2078" s="547" t="str">
        <f t="shared" ca="1" si="356"/>
        <v/>
      </c>
      <c r="AD2078" s="557"/>
      <c r="AE2078" s="958"/>
    </row>
    <row r="2079" spans="1:31">
      <c r="A2079" s="957" t="str">
        <f t="shared" ca="1" si="345"/>
        <v>45/46</v>
      </c>
      <c r="B2079" s="566" t="s">
        <v>177</v>
      </c>
      <c r="C2079" s="567" t="str">
        <f t="shared" ca="1" si="346"/>
        <v>Green Star - Public Building</v>
      </c>
      <c r="D2079" s="958">
        <v>1</v>
      </c>
      <c r="E2079" s="959" t="s">
        <v>404</v>
      </c>
      <c r="F2079" s="558" t="s">
        <v>1499</v>
      </c>
      <c r="G2079" s="558">
        <v>530</v>
      </c>
      <c r="H2079" s="558" t="s">
        <v>1225</v>
      </c>
      <c r="I2079" s="559" t="s">
        <v>1226</v>
      </c>
      <c r="J2079" s="567" t="s">
        <v>1746</v>
      </c>
      <c r="K2079" s="961" t="s">
        <v>1568</v>
      </c>
      <c r="L2079" s="555" t="str">
        <f t="shared" ca="1" si="351"/>
        <v/>
      </c>
      <c r="M2079" s="494" t="s">
        <v>1373</v>
      </c>
      <c r="N2079" s="555" t="str">
        <f t="shared" ca="1" si="352"/>
        <v/>
      </c>
      <c r="O2079" s="494" t="s">
        <v>1598</v>
      </c>
      <c r="P2079" s="555" t="str">
        <f t="shared" ca="1" si="353"/>
        <v/>
      </c>
      <c r="Q2079" s="494" t="s">
        <v>1747</v>
      </c>
      <c r="R2079" s="494" t="str">
        <f t="shared" si="347"/>
        <v>I2079</v>
      </c>
      <c r="S2079" s="494" t="s">
        <v>1748</v>
      </c>
      <c r="T2079" s="494">
        <v>5</v>
      </c>
      <c r="U2079" s="556" t="str">
        <f t="shared" ca="1" si="349"/>
        <v/>
      </c>
      <c r="V2079" s="494">
        <v>6</v>
      </c>
      <c r="W2079" s="556" t="str">
        <f t="shared" ca="1" si="350"/>
        <v/>
      </c>
      <c r="X2079" s="494" t="s">
        <v>1749</v>
      </c>
      <c r="Y2079" s="547" t="str">
        <f t="shared" ca="1" si="354"/>
        <v/>
      </c>
      <c r="Z2079" s="494" t="s">
        <v>1603</v>
      </c>
      <c r="AA2079" s="547" t="str">
        <f t="shared" ca="1" si="355"/>
        <v/>
      </c>
      <c r="AB2079" s="494" t="s">
        <v>1750</v>
      </c>
      <c r="AC2079" s="547" t="str">
        <f t="shared" ca="1" si="356"/>
        <v/>
      </c>
      <c r="AD2079" s="557"/>
      <c r="AE2079" s="958"/>
    </row>
    <row r="2080" spans="1:31">
      <c r="A2080" s="957" t="str">
        <f t="shared" ca="1" si="345"/>
        <v>45/46</v>
      </c>
      <c r="B2080" s="566" t="s">
        <v>177</v>
      </c>
      <c r="C2080" s="567" t="str">
        <f t="shared" ca="1" si="346"/>
        <v>Green Star - Public Building</v>
      </c>
      <c r="D2080" s="958">
        <v>1</v>
      </c>
      <c r="E2080" s="959" t="s">
        <v>404</v>
      </c>
      <c r="F2080" s="558" t="s">
        <v>1499</v>
      </c>
      <c r="G2080" s="558">
        <v>532</v>
      </c>
      <c r="H2080" s="558" t="s">
        <v>1227</v>
      </c>
      <c r="I2080" s="559" t="s">
        <v>1228</v>
      </c>
      <c r="J2080" s="567" t="s">
        <v>1746</v>
      </c>
      <c r="K2080" s="961" t="s">
        <v>1568</v>
      </c>
      <c r="L2080" s="555" t="str">
        <f t="shared" ca="1" si="351"/>
        <v/>
      </c>
      <c r="M2080" s="494" t="s">
        <v>1373</v>
      </c>
      <c r="N2080" s="555" t="str">
        <f t="shared" ca="1" si="352"/>
        <v/>
      </c>
      <c r="O2080" s="494" t="s">
        <v>1598</v>
      </c>
      <c r="P2080" s="555" t="str">
        <f t="shared" ca="1" si="353"/>
        <v/>
      </c>
      <c r="Q2080" s="494" t="s">
        <v>1747</v>
      </c>
      <c r="R2080" s="494" t="str">
        <f t="shared" si="347"/>
        <v>I2080</v>
      </c>
      <c r="S2080" s="494" t="s">
        <v>1748</v>
      </c>
      <c r="T2080" s="494">
        <v>5</v>
      </c>
      <c r="U2080" s="556" t="str">
        <f t="shared" ca="1" si="349"/>
        <v/>
      </c>
      <c r="V2080" s="494">
        <v>6</v>
      </c>
      <c r="W2080" s="556" t="str">
        <f t="shared" ca="1" si="350"/>
        <v/>
      </c>
      <c r="X2080" s="494" t="s">
        <v>1749</v>
      </c>
      <c r="Y2080" s="547" t="str">
        <f t="shared" ca="1" si="354"/>
        <v/>
      </c>
      <c r="Z2080" s="494" t="s">
        <v>1603</v>
      </c>
      <c r="AA2080" s="547" t="str">
        <f t="shared" ca="1" si="355"/>
        <v/>
      </c>
      <c r="AB2080" s="494" t="s">
        <v>1750</v>
      </c>
      <c r="AC2080" s="547" t="str">
        <f t="shared" ca="1" si="356"/>
        <v/>
      </c>
      <c r="AD2080" s="557"/>
      <c r="AE2080" s="958"/>
    </row>
    <row r="2081" spans="1:31">
      <c r="A2081" s="957" t="str">
        <f t="shared" ca="1" si="345"/>
        <v>45/46</v>
      </c>
      <c r="B2081" s="566" t="s">
        <v>177</v>
      </c>
      <c r="C2081" s="567" t="str">
        <f t="shared" ca="1" si="346"/>
        <v>Green Star - Public Building</v>
      </c>
      <c r="D2081" s="958">
        <v>1</v>
      </c>
      <c r="E2081" s="959" t="s">
        <v>404</v>
      </c>
      <c r="F2081" s="558" t="s">
        <v>1499</v>
      </c>
      <c r="G2081" s="558">
        <v>533</v>
      </c>
      <c r="H2081" s="558" t="s">
        <v>1229</v>
      </c>
      <c r="I2081" s="559" t="s">
        <v>1230</v>
      </c>
      <c r="J2081" s="567" t="s">
        <v>1746</v>
      </c>
      <c r="K2081" s="961" t="s">
        <v>1568</v>
      </c>
      <c r="L2081" s="555" t="str">
        <f t="shared" ca="1" si="351"/>
        <v/>
      </c>
      <c r="M2081" s="494" t="s">
        <v>1373</v>
      </c>
      <c r="N2081" s="555" t="str">
        <f t="shared" ca="1" si="352"/>
        <v/>
      </c>
      <c r="O2081" s="494" t="s">
        <v>1598</v>
      </c>
      <c r="P2081" s="555" t="str">
        <f t="shared" ca="1" si="353"/>
        <v/>
      </c>
      <c r="Q2081" s="494" t="s">
        <v>1747</v>
      </c>
      <c r="R2081" s="494" t="str">
        <f t="shared" si="347"/>
        <v>I2081</v>
      </c>
      <c r="S2081" s="494" t="s">
        <v>1748</v>
      </c>
      <c r="T2081" s="494">
        <v>5</v>
      </c>
      <c r="U2081" s="556" t="str">
        <f t="shared" ca="1" si="349"/>
        <v/>
      </c>
      <c r="V2081" s="494">
        <v>6</v>
      </c>
      <c r="W2081" s="556" t="str">
        <f t="shared" ca="1" si="350"/>
        <v/>
      </c>
      <c r="X2081" s="494" t="s">
        <v>1749</v>
      </c>
      <c r="Y2081" s="547" t="str">
        <f t="shared" ca="1" si="354"/>
        <v/>
      </c>
      <c r="Z2081" s="494" t="s">
        <v>1603</v>
      </c>
      <c r="AA2081" s="547" t="str">
        <f t="shared" ca="1" si="355"/>
        <v/>
      </c>
      <c r="AB2081" s="494" t="s">
        <v>1750</v>
      </c>
      <c r="AC2081" s="547" t="str">
        <f t="shared" ca="1" si="356"/>
        <v/>
      </c>
      <c r="AD2081" s="557"/>
      <c r="AE2081" s="958"/>
    </row>
    <row r="2082" spans="1:31">
      <c r="A2082" s="957" t="str">
        <f t="shared" ca="1" si="345"/>
        <v>45/46</v>
      </c>
      <c r="B2082" s="566" t="s">
        <v>177</v>
      </c>
      <c r="C2082" s="567" t="str">
        <f t="shared" ca="1" si="346"/>
        <v>Green Star - Public Building</v>
      </c>
      <c r="D2082" s="958">
        <v>1</v>
      </c>
      <c r="E2082" s="959" t="s">
        <v>404</v>
      </c>
      <c r="F2082" s="558" t="s">
        <v>1499</v>
      </c>
      <c r="G2082" s="558">
        <v>534</v>
      </c>
      <c r="H2082" s="558" t="s">
        <v>1231</v>
      </c>
      <c r="I2082" s="559" t="s">
        <v>405</v>
      </c>
      <c r="J2082" s="567" t="s">
        <v>1746</v>
      </c>
      <c r="K2082" s="961" t="s">
        <v>1568</v>
      </c>
      <c r="L2082" s="555" t="str">
        <f t="shared" ca="1" si="351"/>
        <v/>
      </c>
      <c r="M2082" s="494" t="s">
        <v>1373</v>
      </c>
      <c r="N2082" s="555" t="str">
        <f t="shared" ca="1" si="352"/>
        <v/>
      </c>
      <c r="O2082" s="494" t="s">
        <v>1598</v>
      </c>
      <c r="P2082" s="555" t="str">
        <f t="shared" ca="1" si="353"/>
        <v/>
      </c>
      <c r="Q2082" s="494" t="s">
        <v>1747</v>
      </c>
      <c r="R2082" s="494" t="str">
        <f t="shared" si="347"/>
        <v>I2082</v>
      </c>
      <c r="S2082" s="494" t="s">
        <v>1748</v>
      </c>
      <c r="T2082" s="494">
        <v>5</v>
      </c>
      <c r="U2082" s="556" t="str">
        <f t="shared" ca="1" si="349"/>
        <v/>
      </c>
      <c r="V2082" s="494">
        <v>6</v>
      </c>
      <c r="W2082" s="556" t="str">
        <f t="shared" ca="1" si="350"/>
        <v/>
      </c>
      <c r="X2082" s="494" t="s">
        <v>1749</v>
      </c>
      <c r="Y2082" s="547" t="str">
        <f t="shared" ca="1" si="354"/>
        <v/>
      </c>
      <c r="Z2082" s="494" t="s">
        <v>1603</v>
      </c>
      <c r="AA2082" s="547" t="str">
        <f t="shared" ca="1" si="355"/>
        <v/>
      </c>
      <c r="AB2082" s="494" t="s">
        <v>1750</v>
      </c>
      <c r="AC2082" s="547" t="str">
        <f t="shared" ca="1" si="356"/>
        <v/>
      </c>
      <c r="AD2082" s="557"/>
      <c r="AE2082" s="958"/>
    </row>
    <row r="2083" spans="1:31">
      <c r="A2083" s="957" t="str">
        <f t="shared" ca="1" si="345"/>
        <v>45/46</v>
      </c>
      <c r="B2083" s="566" t="s">
        <v>177</v>
      </c>
      <c r="C2083" s="567" t="str">
        <f t="shared" ca="1" si="346"/>
        <v>Green Star - Public Building</v>
      </c>
      <c r="D2083" s="958">
        <v>1</v>
      </c>
      <c r="E2083" s="959" t="s">
        <v>404</v>
      </c>
      <c r="F2083" s="558" t="s">
        <v>1499</v>
      </c>
      <c r="G2083" s="558">
        <v>535</v>
      </c>
      <c r="H2083" s="558" t="s">
        <v>1233</v>
      </c>
      <c r="I2083" s="559" t="s">
        <v>1234</v>
      </c>
      <c r="J2083" s="567" t="s">
        <v>1746</v>
      </c>
      <c r="K2083" s="961" t="s">
        <v>1568</v>
      </c>
      <c r="L2083" s="555" t="str">
        <f t="shared" ca="1" si="351"/>
        <v/>
      </c>
      <c r="M2083" s="494" t="s">
        <v>1373</v>
      </c>
      <c r="N2083" s="555" t="str">
        <f t="shared" ca="1" si="352"/>
        <v/>
      </c>
      <c r="O2083" s="494" t="s">
        <v>1598</v>
      </c>
      <c r="P2083" s="555" t="str">
        <f t="shared" ca="1" si="353"/>
        <v/>
      </c>
      <c r="Q2083" s="494" t="s">
        <v>1747</v>
      </c>
      <c r="R2083" s="494" t="str">
        <f t="shared" si="347"/>
        <v>I2083</v>
      </c>
      <c r="S2083" s="494" t="s">
        <v>1748</v>
      </c>
      <c r="T2083" s="494">
        <v>5</v>
      </c>
      <c r="U2083" s="556" t="str">
        <f t="shared" ca="1" si="349"/>
        <v/>
      </c>
      <c r="V2083" s="494">
        <v>6</v>
      </c>
      <c r="W2083" s="556" t="str">
        <f t="shared" ca="1" si="350"/>
        <v/>
      </c>
      <c r="X2083" s="494" t="s">
        <v>1749</v>
      </c>
      <c r="Y2083" s="547" t="str">
        <f t="shared" ca="1" si="354"/>
        <v/>
      </c>
      <c r="Z2083" s="494" t="s">
        <v>1603</v>
      </c>
      <c r="AA2083" s="547" t="str">
        <f t="shared" ca="1" si="355"/>
        <v/>
      </c>
      <c r="AB2083" s="494" t="s">
        <v>1750</v>
      </c>
      <c r="AC2083" s="547" t="str">
        <f t="shared" ca="1" si="356"/>
        <v/>
      </c>
      <c r="AD2083" s="557"/>
      <c r="AE2083" s="958"/>
    </row>
    <row r="2084" spans="1:31">
      <c r="A2084" s="957" t="str">
        <f t="shared" ca="1" si="345"/>
        <v>45/46</v>
      </c>
      <c r="B2084" s="566" t="s">
        <v>177</v>
      </c>
      <c r="C2084" s="567" t="str">
        <f t="shared" ca="1" si="346"/>
        <v>Green Star - Public Building</v>
      </c>
      <c r="D2084" s="958">
        <v>1</v>
      </c>
      <c r="E2084" s="959" t="s">
        <v>404</v>
      </c>
      <c r="F2084" s="558" t="s">
        <v>1499</v>
      </c>
      <c r="G2084" s="558">
        <v>536</v>
      </c>
      <c r="H2084" s="558" t="s">
        <v>1237</v>
      </c>
      <c r="I2084" s="559" t="s">
        <v>409</v>
      </c>
      <c r="J2084" s="567" t="s">
        <v>1746</v>
      </c>
      <c r="K2084" s="961" t="s">
        <v>1568</v>
      </c>
      <c r="L2084" s="555" t="str">
        <f t="shared" ca="1" si="351"/>
        <v/>
      </c>
      <c r="M2084" s="494" t="s">
        <v>1373</v>
      </c>
      <c r="N2084" s="555" t="str">
        <f t="shared" ca="1" si="352"/>
        <v/>
      </c>
      <c r="O2084" s="494" t="s">
        <v>1598</v>
      </c>
      <c r="P2084" s="555" t="str">
        <f t="shared" ca="1" si="353"/>
        <v/>
      </c>
      <c r="Q2084" s="494" t="s">
        <v>1747</v>
      </c>
      <c r="R2084" s="494" t="str">
        <f t="shared" si="347"/>
        <v>I2084</v>
      </c>
      <c r="S2084" s="494" t="s">
        <v>1748</v>
      </c>
      <c r="T2084" s="494">
        <v>5</v>
      </c>
      <c r="U2084" s="556" t="str">
        <f t="shared" ca="1" si="349"/>
        <v/>
      </c>
      <c r="V2084" s="494">
        <v>6</v>
      </c>
      <c r="W2084" s="556" t="str">
        <f t="shared" ca="1" si="350"/>
        <v/>
      </c>
      <c r="X2084" s="494" t="s">
        <v>1749</v>
      </c>
      <c r="Y2084" s="547" t="str">
        <f t="shared" ca="1" si="354"/>
        <v/>
      </c>
      <c r="Z2084" s="494" t="s">
        <v>1603</v>
      </c>
      <c r="AA2084" s="547" t="str">
        <f t="shared" ca="1" si="355"/>
        <v/>
      </c>
      <c r="AB2084" s="494" t="s">
        <v>1750</v>
      </c>
      <c r="AC2084" s="547" t="str">
        <f t="shared" ca="1" si="356"/>
        <v/>
      </c>
      <c r="AD2084" s="557"/>
      <c r="AE2084" s="958"/>
    </row>
    <row r="2085" spans="1:31">
      <c r="A2085" s="957" t="str">
        <f t="shared" ca="1" si="345"/>
        <v>45/46</v>
      </c>
      <c r="B2085" s="566" t="s">
        <v>177</v>
      </c>
      <c r="C2085" s="567" t="str">
        <f t="shared" ca="1" si="346"/>
        <v>Green Star - Public Building</v>
      </c>
      <c r="D2085" s="958">
        <v>1</v>
      </c>
      <c r="E2085" s="959" t="s">
        <v>404</v>
      </c>
      <c r="F2085" s="558" t="s">
        <v>1499</v>
      </c>
      <c r="G2085" s="558">
        <v>537</v>
      </c>
      <c r="H2085" s="558" t="s">
        <v>1238</v>
      </c>
      <c r="I2085" s="559" t="s">
        <v>1289</v>
      </c>
      <c r="J2085" s="567" t="s">
        <v>1746</v>
      </c>
      <c r="K2085" s="961" t="s">
        <v>1568</v>
      </c>
      <c r="L2085" s="555" t="str">
        <f t="shared" ca="1" si="351"/>
        <v/>
      </c>
      <c r="M2085" s="494" t="s">
        <v>1373</v>
      </c>
      <c r="N2085" s="555" t="str">
        <f t="shared" ca="1" si="352"/>
        <v/>
      </c>
      <c r="O2085" s="494" t="s">
        <v>1598</v>
      </c>
      <c r="P2085" s="555" t="str">
        <f t="shared" ca="1" si="353"/>
        <v/>
      </c>
      <c r="Q2085" s="494" t="s">
        <v>1747</v>
      </c>
      <c r="R2085" s="494" t="str">
        <f t="shared" si="347"/>
        <v>I2085</v>
      </c>
      <c r="S2085" s="494" t="s">
        <v>1748</v>
      </c>
      <c r="T2085" s="494">
        <v>5</v>
      </c>
      <c r="U2085" s="556" t="str">
        <f t="shared" ca="1" si="349"/>
        <v/>
      </c>
      <c r="V2085" s="494">
        <v>6</v>
      </c>
      <c r="W2085" s="556" t="str">
        <f t="shared" ca="1" si="350"/>
        <v/>
      </c>
      <c r="X2085" s="494" t="s">
        <v>1749</v>
      </c>
      <c r="Y2085" s="547" t="str">
        <f t="shared" ca="1" si="354"/>
        <v/>
      </c>
      <c r="Z2085" s="494" t="s">
        <v>1603</v>
      </c>
      <c r="AA2085" s="547" t="str">
        <f t="shared" ca="1" si="355"/>
        <v/>
      </c>
      <c r="AB2085" s="494" t="s">
        <v>1750</v>
      </c>
      <c r="AC2085" s="547" t="str">
        <f t="shared" ca="1" si="356"/>
        <v/>
      </c>
      <c r="AD2085" s="557"/>
      <c r="AE2085" s="958"/>
    </row>
    <row r="2086" spans="1:31">
      <c r="A2086" s="957" t="str">
        <f t="shared" ca="1" si="345"/>
        <v>45/46</v>
      </c>
      <c r="B2086" s="566" t="s">
        <v>177</v>
      </c>
      <c r="C2086" s="567" t="str">
        <f t="shared" ca="1" si="346"/>
        <v>Green Star - Public Building</v>
      </c>
      <c r="D2086" s="958">
        <v>1</v>
      </c>
      <c r="E2086" s="959" t="s">
        <v>419</v>
      </c>
      <c r="F2086" s="558" t="s">
        <v>1501</v>
      </c>
      <c r="G2086" s="558">
        <v>538</v>
      </c>
      <c r="H2086" s="558" t="s">
        <v>1079</v>
      </c>
      <c r="I2086" s="559" t="s">
        <v>1242</v>
      </c>
      <c r="J2086" s="567" t="s">
        <v>1746</v>
      </c>
      <c r="K2086" s="961" t="s">
        <v>1568</v>
      </c>
      <c r="L2086" s="555" t="str">
        <f t="shared" ca="1" si="351"/>
        <v/>
      </c>
      <c r="M2086" s="494" t="s">
        <v>1373</v>
      </c>
      <c r="N2086" s="555" t="str">
        <f t="shared" ca="1" si="352"/>
        <v/>
      </c>
      <c r="O2086" s="494" t="s">
        <v>1598</v>
      </c>
      <c r="P2086" s="555" t="str">
        <f t="shared" ca="1" si="353"/>
        <v/>
      </c>
      <c r="Q2086" s="494" t="s">
        <v>1747</v>
      </c>
      <c r="R2086" s="494" t="str">
        <f>CONCATENATE("I",ROW(J2086))</f>
        <v>I2086</v>
      </c>
      <c r="S2086" s="494" t="s">
        <v>1748</v>
      </c>
      <c r="T2086" s="494">
        <v>5</v>
      </c>
      <c r="U2086" s="556" t="str">
        <f t="shared" ca="1" si="349"/>
        <v/>
      </c>
      <c r="V2086" s="494">
        <v>6</v>
      </c>
      <c r="W2086" s="556" t="str">
        <f t="shared" ca="1" si="350"/>
        <v/>
      </c>
      <c r="X2086" s="494" t="s">
        <v>1749</v>
      </c>
      <c r="Y2086" s="547" t="str">
        <f t="shared" ca="1" si="354"/>
        <v/>
      </c>
      <c r="Z2086" s="494" t="s">
        <v>1603</v>
      </c>
      <c r="AA2086" s="547" t="str">
        <f t="shared" ca="1" si="355"/>
        <v/>
      </c>
      <c r="AB2086" s="494" t="s">
        <v>1750</v>
      </c>
      <c r="AC2086" s="547" t="str">
        <f t="shared" ca="1" si="356"/>
        <v/>
      </c>
      <c r="AD2086" s="557"/>
      <c r="AE2086" s="958"/>
    </row>
    <row r="2087" spans="1:31">
      <c r="A2087" s="957" t="str">
        <f t="shared" ca="1" si="345"/>
        <v>45/46</v>
      </c>
      <c r="B2087" s="566" t="s">
        <v>177</v>
      </c>
      <c r="C2087" s="567" t="str">
        <f t="shared" ca="1" si="346"/>
        <v>Green Star - Public Building</v>
      </c>
      <c r="D2087" s="958">
        <v>1</v>
      </c>
      <c r="E2087" s="959" t="s">
        <v>419</v>
      </c>
      <c r="F2087" s="558" t="s">
        <v>1501</v>
      </c>
      <c r="G2087" s="558">
        <v>539</v>
      </c>
      <c r="H2087" s="558" t="s">
        <v>1243</v>
      </c>
      <c r="I2087" s="559" t="s">
        <v>1244</v>
      </c>
      <c r="J2087" s="567" t="s">
        <v>1746</v>
      </c>
      <c r="K2087" s="961" t="s">
        <v>1568</v>
      </c>
      <c r="L2087" s="555" t="str">
        <f t="shared" ca="1" si="351"/>
        <v/>
      </c>
      <c r="M2087" s="494" t="s">
        <v>1373</v>
      </c>
      <c r="N2087" s="555" t="str">
        <f t="shared" ca="1" si="352"/>
        <v/>
      </c>
      <c r="O2087" s="494" t="s">
        <v>1598</v>
      </c>
      <c r="P2087" s="555" t="str">
        <f t="shared" ca="1" si="353"/>
        <v/>
      </c>
      <c r="Q2087" s="494" t="s">
        <v>1747</v>
      </c>
      <c r="R2087" s="494" t="str">
        <f>CONCATENATE("I",ROW(J2087))</f>
        <v>I2087</v>
      </c>
      <c r="S2087" s="494" t="s">
        <v>1748</v>
      </c>
      <c r="T2087" s="494">
        <v>5</v>
      </c>
      <c r="U2087" s="556" t="str">
        <f t="shared" ca="1" si="349"/>
        <v/>
      </c>
      <c r="V2087" s="494">
        <v>6</v>
      </c>
      <c r="W2087" s="556" t="str">
        <f t="shared" ca="1" si="350"/>
        <v/>
      </c>
      <c r="X2087" s="494" t="s">
        <v>1749</v>
      </c>
      <c r="Y2087" s="547" t="str">
        <f t="shared" ca="1" si="354"/>
        <v/>
      </c>
      <c r="Z2087" s="494" t="s">
        <v>1603</v>
      </c>
      <c r="AA2087" s="547" t="str">
        <f t="shared" ca="1" si="355"/>
        <v/>
      </c>
      <c r="AB2087" s="494" t="s">
        <v>1750</v>
      </c>
      <c r="AC2087" s="547" t="str">
        <f t="shared" ca="1" si="356"/>
        <v/>
      </c>
      <c r="AD2087" s="557"/>
      <c r="AE2087" s="958"/>
    </row>
    <row r="2088" spans="1:31">
      <c r="A2088" s="957" t="str">
        <f t="shared" ca="1" si="345"/>
        <v>45/46</v>
      </c>
      <c r="B2088" s="566" t="s">
        <v>177</v>
      </c>
      <c r="C2088" s="567" t="str">
        <f t="shared" ca="1" si="346"/>
        <v>Green Star - Public Building</v>
      </c>
      <c r="D2088" s="958">
        <v>1</v>
      </c>
      <c r="E2088" s="959" t="s">
        <v>419</v>
      </c>
      <c r="F2088" s="558" t="s">
        <v>1501</v>
      </c>
      <c r="G2088" s="558">
        <v>540</v>
      </c>
      <c r="H2088" s="558" t="s">
        <v>1245</v>
      </c>
      <c r="I2088" s="559" t="s">
        <v>1246</v>
      </c>
      <c r="J2088" s="567" t="s">
        <v>1746</v>
      </c>
      <c r="K2088" s="961" t="s">
        <v>1568</v>
      </c>
      <c r="L2088" s="555" t="str">
        <f t="shared" ca="1" si="351"/>
        <v/>
      </c>
      <c r="M2088" s="494" t="s">
        <v>1373</v>
      </c>
      <c r="N2088" s="555" t="str">
        <f t="shared" ca="1" si="352"/>
        <v/>
      </c>
      <c r="O2088" s="494" t="s">
        <v>1598</v>
      </c>
      <c r="P2088" s="555" t="str">
        <f t="shared" ca="1" si="353"/>
        <v/>
      </c>
      <c r="Q2088" s="494" t="s">
        <v>1747</v>
      </c>
      <c r="R2088" s="494" t="str">
        <f>CONCATENATE("I",ROW(J2088))</f>
        <v>I2088</v>
      </c>
      <c r="S2088" s="494" t="s">
        <v>1748</v>
      </c>
      <c r="T2088" s="494">
        <v>5</v>
      </c>
      <c r="U2088" s="556" t="str">
        <f t="shared" ca="1" si="349"/>
        <v/>
      </c>
      <c r="V2088" s="494">
        <v>6</v>
      </c>
      <c r="W2088" s="556" t="str">
        <f t="shared" ca="1" si="350"/>
        <v/>
      </c>
      <c r="X2088" s="494" t="s">
        <v>1749</v>
      </c>
      <c r="Y2088" s="547" t="str">
        <f t="shared" ca="1" si="354"/>
        <v/>
      </c>
      <c r="Z2088" s="494" t="s">
        <v>1603</v>
      </c>
      <c r="AA2088" s="547" t="str">
        <f t="shared" ca="1" si="355"/>
        <v/>
      </c>
      <c r="AB2088" s="494" t="s">
        <v>1750</v>
      </c>
      <c r="AC2088" s="547" t="str">
        <f t="shared" ca="1" si="356"/>
        <v/>
      </c>
      <c r="AD2088" s="557"/>
      <c r="AE2088" s="958"/>
    </row>
    <row r="2089" spans="1:31">
      <c r="A2089" s="957" t="str">
        <f ca="1">IF(N2089="Design Review",24,IF(N2089="As Built",25,"24/25"))</f>
        <v>24/25</v>
      </c>
      <c r="B2089" s="566" t="s">
        <v>182</v>
      </c>
      <c r="C2089" s="567" t="str">
        <f ca="1">IF(N2089="Design Review","Green Star - Retail Centre Design",IF(N2089="As Built","Green Star - Retail Centre As Built","Green Star - Retail Centre"))</f>
        <v>Green Star - Retail Centre</v>
      </c>
      <c r="D2089" s="958">
        <v>1</v>
      </c>
      <c r="E2089" s="959" t="s">
        <v>254</v>
      </c>
      <c r="F2089" s="558" t="s">
        <v>1444</v>
      </c>
      <c r="G2089" s="558">
        <v>16</v>
      </c>
      <c r="H2089" s="558" t="s">
        <v>1091</v>
      </c>
      <c r="I2089" s="559" t="s">
        <v>257</v>
      </c>
      <c r="J2089" s="567" t="s">
        <v>1751</v>
      </c>
      <c r="K2089" s="961" t="s">
        <v>1568</v>
      </c>
      <c r="L2089" s="555" t="str">
        <f t="shared" ca="1" si="351"/>
        <v/>
      </c>
      <c r="M2089" s="494" t="s">
        <v>1569</v>
      </c>
      <c r="N2089" s="555" t="str">
        <f t="shared" ca="1" si="352"/>
        <v/>
      </c>
      <c r="O2089" s="494" t="s">
        <v>1570</v>
      </c>
      <c r="P2089" s="555" t="str">
        <f t="shared" ca="1" si="353"/>
        <v/>
      </c>
      <c r="Q2089" s="494" t="s">
        <v>1752</v>
      </c>
      <c r="R2089" s="494" t="str">
        <f>CONCATENATE("I",ROW(J2089))</f>
        <v>I2089</v>
      </c>
      <c r="S2089" s="494" t="s">
        <v>1753</v>
      </c>
      <c r="T2089" s="494">
        <v>6</v>
      </c>
      <c r="U2089" s="556" t="str">
        <f t="shared" ca="1" si="349"/>
        <v/>
      </c>
      <c r="V2089" s="494">
        <v>7</v>
      </c>
      <c r="W2089" s="556" t="str">
        <f t="shared" ca="1" si="350"/>
        <v/>
      </c>
      <c r="X2089" s="494" t="s">
        <v>1754</v>
      </c>
      <c r="Y2089" s="547" t="str">
        <f t="shared" ca="1" si="354"/>
        <v/>
      </c>
      <c r="Z2089" s="494" t="s">
        <v>1755</v>
      </c>
      <c r="AA2089" s="547" t="str">
        <f t="shared" ca="1" si="355"/>
        <v/>
      </c>
      <c r="AB2089" s="494" t="s">
        <v>1592</v>
      </c>
      <c r="AC2089" s="547" t="str">
        <f t="shared" ca="1" si="356"/>
        <v/>
      </c>
      <c r="AD2089" s="557"/>
      <c r="AE2089" s="958"/>
    </row>
    <row r="2090" spans="1:31">
      <c r="A2090" s="957" t="str">
        <f t="shared" ref="A2090:A2153" ca="1" si="357">IF(N2090="Design Review",24,IF(N2090="As Built",25,"24/25"))</f>
        <v>24/25</v>
      </c>
      <c r="B2090" s="566" t="s">
        <v>182</v>
      </c>
      <c r="C2090" s="567" t="str">
        <f t="shared" ref="C2090:C2153" ca="1" si="358">IF(N2090="Design Review","Green Star - Retail Centre Design",IF(N2090="As Built","Green Star - Retail Centre As Built","Green Star - Retail Centre"))</f>
        <v>Green Star - Retail Centre</v>
      </c>
      <c r="D2090" s="958">
        <v>1</v>
      </c>
      <c r="E2090" s="959" t="s">
        <v>254</v>
      </c>
      <c r="F2090" s="558" t="s">
        <v>1444</v>
      </c>
      <c r="G2090" s="558">
        <v>210</v>
      </c>
      <c r="H2090" s="558" t="s">
        <v>1093</v>
      </c>
      <c r="I2090" s="559" t="s">
        <v>1095</v>
      </c>
      <c r="J2090" s="567" t="s">
        <v>1751</v>
      </c>
      <c r="K2090" s="961" t="s">
        <v>1568</v>
      </c>
      <c r="L2090" s="555" t="str">
        <f t="shared" ca="1" si="351"/>
        <v/>
      </c>
      <c r="M2090" s="494" t="s">
        <v>1569</v>
      </c>
      <c r="N2090" s="555" t="str">
        <f t="shared" ref="N2090:N2121" ca="1" si="359">IF(AND(INDIRECT(CONCATENATE($J2090,$K2090,5))=$B2090,ISNUMBER(SEARCH("Select",INDIRECT(CONCATENATE($J2090,$M2090,6)),1))=FALSE),INDIRECT(CONCATENATE($J2090,$M2090,6)),"")</f>
        <v/>
      </c>
      <c r="O2090" s="494" t="s">
        <v>1570</v>
      </c>
      <c r="P2090" s="555" t="str">
        <f t="shared" ref="P2090:P2121" ca="1" si="360">IF(AND(INDIRECT(CONCATENATE($J2090,$K2090,5))=$B2090,ISNUMBER(SEARCH("Select",INDIRECT(CONCATENATE($J2090,$O2090,6)),1))=FALSE),INDIRECT(CONCATENATE($J2090,$O2090,6)),"")</f>
        <v/>
      </c>
      <c r="Q2090" s="494" t="s">
        <v>1752</v>
      </c>
      <c r="R2090" s="494" t="str">
        <f t="shared" ref="R2090:R2153" si="361">CONCATENATE("I",ROW(J2090))</f>
        <v>I2090</v>
      </c>
      <c r="S2090" s="494" t="s">
        <v>1756</v>
      </c>
      <c r="T2090" s="494">
        <v>6</v>
      </c>
      <c r="U2090" s="556" t="str">
        <f t="shared" ca="1" si="349"/>
        <v/>
      </c>
      <c r="V2090" s="494">
        <v>7</v>
      </c>
      <c r="W2090" s="556" t="str">
        <f t="shared" ca="1" si="350"/>
        <v/>
      </c>
      <c r="X2090" s="494" t="s">
        <v>1754</v>
      </c>
      <c r="Y2090" s="547" t="str">
        <f t="shared" ref="Y2090:Y2121" ca="1" si="362">IF(AND(INDIRECT(CONCATENATE($J2090,$K2090,5))=$B2090,ISBLANK(INDIRECT(CONCATENATE($J2090,X2090)))=FALSE),INDIRECT(CONCATENATE($J2090,X2090)),"")</f>
        <v/>
      </c>
      <c r="Z2090" s="494" t="s">
        <v>1755</v>
      </c>
      <c r="AA2090" s="547" t="str">
        <f t="shared" ref="AA2090:AA2121" ca="1" si="363">IF(AND(INDIRECT(CONCATENATE($J2090,$K2090,5))=$B2090,ISBLANK(INDIRECT(CONCATENATE($J2090,Z2090)))=FALSE),INDIRECT(CONCATENATE($J2090,Z2090)),"")</f>
        <v/>
      </c>
      <c r="AB2090" s="494" t="s">
        <v>1592</v>
      </c>
      <c r="AC2090" s="547" t="str">
        <f t="shared" ca="1" si="356"/>
        <v/>
      </c>
      <c r="AD2090" s="557"/>
      <c r="AE2090" s="958"/>
    </row>
    <row r="2091" spans="1:31">
      <c r="A2091" s="957" t="str">
        <f t="shared" ca="1" si="357"/>
        <v>24/25</v>
      </c>
      <c r="B2091" s="566" t="s">
        <v>182</v>
      </c>
      <c r="C2091" s="567" t="str">
        <f t="shared" ca="1" si="358"/>
        <v>Green Star - Retail Centre</v>
      </c>
      <c r="D2091" s="958">
        <v>1</v>
      </c>
      <c r="E2091" s="959" t="s">
        <v>254</v>
      </c>
      <c r="F2091" s="558" t="s">
        <v>1444</v>
      </c>
      <c r="G2091" s="558">
        <v>210</v>
      </c>
      <c r="H2091" s="558" t="s">
        <v>1093</v>
      </c>
      <c r="I2091" s="559" t="s">
        <v>1097</v>
      </c>
      <c r="J2091" s="567" t="s">
        <v>1751</v>
      </c>
      <c r="K2091" s="961" t="s">
        <v>1568</v>
      </c>
      <c r="L2091" s="555" t="str">
        <f t="shared" ca="1" si="351"/>
        <v/>
      </c>
      <c r="M2091" s="494" t="s">
        <v>1569</v>
      </c>
      <c r="N2091" s="555" t="str">
        <f t="shared" ca="1" si="359"/>
        <v/>
      </c>
      <c r="O2091" s="494" t="s">
        <v>1570</v>
      </c>
      <c r="P2091" s="555" t="str">
        <f t="shared" ca="1" si="360"/>
        <v/>
      </c>
      <c r="Q2091" s="494" t="s">
        <v>1752</v>
      </c>
      <c r="R2091" s="494" t="str">
        <f t="shared" si="361"/>
        <v>I2091</v>
      </c>
      <c r="S2091" s="494" t="s">
        <v>1756</v>
      </c>
      <c r="T2091" s="494">
        <v>6</v>
      </c>
      <c r="U2091" s="556" t="str">
        <f t="shared" ca="1" si="349"/>
        <v/>
      </c>
      <c r="V2091" s="494">
        <v>7</v>
      </c>
      <c r="W2091" s="556" t="str">
        <f t="shared" ca="1" si="350"/>
        <v/>
      </c>
      <c r="X2091" s="494" t="s">
        <v>1754</v>
      </c>
      <c r="Y2091" s="547" t="str">
        <f t="shared" ca="1" si="362"/>
        <v/>
      </c>
      <c r="Z2091" s="494" t="s">
        <v>1755</v>
      </c>
      <c r="AA2091" s="547" t="str">
        <f t="shared" ca="1" si="363"/>
        <v/>
      </c>
      <c r="AB2091" s="494" t="s">
        <v>1592</v>
      </c>
      <c r="AC2091" s="547" t="str">
        <f t="shared" ca="1" si="356"/>
        <v/>
      </c>
      <c r="AD2091" s="557"/>
      <c r="AE2091" s="958"/>
    </row>
    <row r="2092" spans="1:31">
      <c r="A2092" s="957" t="str">
        <f t="shared" ca="1" si="357"/>
        <v>24/25</v>
      </c>
      <c r="B2092" s="566" t="s">
        <v>182</v>
      </c>
      <c r="C2092" s="567" t="str">
        <f t="shared" ca="1" si="358"/>
        <v>Green Star - Retail Centre</v>
      </c>
      <c r="D2092" s="958">
        <v>1</v>
      </c>
      <c r="E2092" s="959" t="s">
        <v>254</v>
      </c>
      <c r="F2092" s="558" t="s">
        <v>1444</v>
      </c>
      <c r="G2092" s="558">
        <v>132</v>
      </c>
      <c r="H2092" s="558" t="s">
        <v>1098</v>
      </c>
      <c r="I2092" s="559" t="s">
        <v>1099</v>
      </c>
      <c r="J2092" s="567" t="s">
        <v>1751</v>
      </c>
      <c r="K2092" s="961" t="s">
        <v>1568</v>
      </c>
      <c r="L2092" s="555" t="str">
        <f t="shared" ca="1" si="351"/>
        <v/>
      </c>
      <c r="M2092" s="494" t="s">
        <v>1569</v>
      </c>
      <c r="N2092" s="555" t="str">
        <f t="shared" ca="1" si="359"/>
        <v/>
      </c>
      <c r="O2092" s="494" t="s">
        <v>1570</v>
      </c>
      <c r="P2092" s="555" t="str">
        <f t="shared" ca="1" si="360"/>
        <v/>
      </c>
      <c r="Q2092" s="494" t="s">
        <v>1752</v>
      </c>
      <c r="R2092" s="494" t="str">
        <f t="shared" si="361"/>
        <v>I2092</v>
      </c>
      <c r="S2092" s="494" t="s">
        <v>1753</v>
      </c>
      <c r="T2092" s="494">
        <v>6</v>
      </c>
      <c r="U2092" s="556" t="str">
        <f t="shared" ca="1" si="349"/>
        <v/>
      </c>
      <c r="V2092" s="494">
        <v>7</v>
      </c>
      <c r="W2092" s="556" t="str">
        <f t="shared" ca="1" si="350"/>
        <v/>
      </c>
      <c r="X2092" s="494" t="s">
        <v>1754</v>
      </c>
      <c r="Y2092" s="547" t="str">
        <f t="shared" ca="1" si="362"/>
        <v/>
      </c>
      <c r="Z2092" s="494" t="s">
        <v>1755</v>
      </c>
      <c r="AA2092" s="547" t="str">
        <f t="shared" ca="1" si="363"/>
        <v/>
      </c>
      <c r="AB2092" s="494" t="s">
        <v>1592</v>
      </c>
      <c r="AC2092" s="547" t="str">
        <f t="shared" ca="1" si="356"/>
        <v/>
      </c>
      <c r="AD2092" s="557"/>
      <c r="AE2092" s="958"/>
    </row>
    <row r="2093" spans="1:31">
      <c r="A2093" s="957" t="str">
        <f t="shared" ca="1" si="357"/>
        <v>24/25</v>
      </c>
      <c r="B2093" s="566" t="s">
        <v>182</v>
      </c>
      <c r="C2093" s="567" t="str">
        <f t="shared" ca="1" si="358"/>
        <v>Green Star - Retail Centre</v>
      </c>
      <c r="D2093" s="958">
        <v>1</v>
      </c>
      <c r="E2093" s="959" t="s">
        <v>254</v>
      </c>
      <c r="F2093" s="558" t="s">
        <v>1444</v>
      </c>
      <c r="G2093" s="558">
        <v>133</v>
      </c>
      <c r="H2093" s="558" t="s">
        <v>1100</v>
      </c>
      <c r="I2093" s="559" t="s">
        <v>281</v>
      </c>
      <c r="J2093" s="567" t="s">
        <v>1751</v>
      </c>
      <c r="K2093" s="961" t="s">
        <v>1568</v>
      </c>
      <c r="L2093" s="555" t="str">
        <f t="shared" ca="1" si="351"/>
        <v/>
      </c>
      <c r="M2093" s="494" t="s">
        <v>1569</v>
      </c>
      <c r="N2093" s="555" t="str">
        <f t="shared" ca="1" si="359"/>
        <v/>
      </c>
      <c r="O2093" s="494" t="s">
        <v>1570</v>
      </c>
      <c r="P2093" s="555" t="str">
        <f t="shared" ca="1" si="360"/>
        <v/>
      </c>
      <c r="Q2093" s="494" t="s">
        <v>1752</v>
      </c>
      <c r="R2093" s="494" t="str">
        <f t="shared" si="361"/>
        <v>I2093</v>
      </c>
      <c r="S2093" s="494" t="s">
        <v>1753</v>
      </c>
      <c r="T2093" s="494">
        <v>6</v>
      </c>
      <c r="U2093" s="556" t="str">
        <f t="shared" ca="1" si="349"/>
        <v/>
      </c>
      <c r="V2093" s="494">
        <v>7</v>
      </c>
      <c r="W2093" s="556" t="str">
        <f t="shared" ca="1" si="350"/>
        <v/>
      </c>
      <c r="X2093" s="494" t="s">
        <v>1754</v>
      </c>
      <c r="Y2093" s="547" t="str">
        <f t="shared" ca="1" si="362"/>
        <v/>
      </c>
      <c r="Z2093" s="494" t="s">
        <v>1755</v>
      </c>
      <c r="AA2093" s="547" t="str">
        <f t="shared" ca="1" si="363"/>
        <v/>
      </c>
      <c r="AB2093" s="494" t="s">
        <v>1592</v>
      </c>
      <c r="AC2093" s="547" t="str">
        <f t="shared" ca="1" si="356"/>
        <v/>
      </c>
      <c r="AD2093" s="557"/>
      <c r="AE2093" s="958"/>
    </row>
    <row r="2094" spans="1:31">
      <c r="A2094" s="957" t="str">
        <f t="shared" ca="1" si="357"/>
        <v>24/25</v>
      </c>
      <c r="B2094" s="566" t="s">
        <v>182</v>
      </c>
      <c r="C2094" s="567" t="str">
        <f t="shared" ca="1" si="358"/>
        <v>Green Star - Retail Centre</v>
      </c>
      <c r="D2094" s="958">
        <v>1</v>
      </c>
      <c r="E2094" s="959" t="s">
        <v>254</v>
      </c>
      <c r="F2094" s="558" t="s">
        <v>1444</v>
      </c>
      <c r="G2094" s="558">
        <v>211</v>
      </c>
      <c r="H2094" s="558" t="s">
        <v>1101</v>
      </c>
      <c r="I2094" s="559" t="s">
        <v>1272</v>
      </c>
      <c r="J2094" s="567" t="s">
        <v>1751</v>
      </c>
      <c r="K2094" s="961" t="s">
        <v>1568</v>
      </c>
      <c r="L2094" s="555" t="str">
        <f t="shared" ca="1" si="351"/>
        <v/>
      </c>
      <c r="M2094" s="494" t="s">
        <v>1569</v>
      </c>
      <c r="N2094" s="555" t="str">
        <f t="shared" ca="1" si="359"/>
        <v/>
      </c>
      <c r="O2094" s="494" t="s">
        <v>1570</v>
      </c>
      <c r="P2094" s="555" t="str">
        <f t="shared" ca="1" si="360"/>
        <v/>
      </c>
      <c r="Q2094" s="494" t="s">
        <v>1752</v>
      </c>
      <c r="R2094" s="494" t="str">
        <f t="shared" si="361"/>
        <v>I2094</v>
      </c>
      <c r="S2094" s="494" t="s">
        <v>1756</v>
      </c>
      <c r="T2094" s="494">
        <v>6</v>
      </c>
      <c r="U2094" s="556" t="str">
        <f t="shared" ca="1" si="349"/>
        <v/>
      </c>
      <c r="V2094" s="494">
        <v>7</v>
      </c>
      <c r="W2094" s="556" t="str">
        <f t="shared" ca="1" si="350"/>
        <v/>
      </c>
      <c r="X2094" s="494" t="s">
        <v>1754</v>
      </c>
      <c r="Y2094" s="547" t="str">
        <f t="shared" ca="1" si="362"/>
        <v/>
      </c>
      <c r="Z2094" s="494" t="s">
        <v>1755</v>
      </c>
      <c r="AA2094" s="547" t="str">
        <f t="shared" ca="1" si="363"/>
        <v/>
      </c>
      <c r="AB2094" s="494" t="s">
        <v>1592</v>
      </c>
      <c r="AC2094" s="547" t="str">
        <f t="shared" ca="1" si="356"/>
        <v/>
      </c>
      <c r="AD2094" s="557"/>
      <c r="AE2094" s="958"/>
    </row>
    <row r="2095" spans="1:31">
      <c r="A2095" s="957" t="str">
        <f t="shared" ca="1" si="357"/>
        <v>24/25</v>
      </c>
      <c r="B2095" s="566" t="s">
        <v>182</v>
      </c>
      <c r="C2095" s="567" t="str">
        <f t="shared" ca="1" si="358"/>
        <v>Green Star - Retail Centre</v>
      </c>
      <c r="D2095" s="958">
        <v>1</v>
      </c>
      <c r="E2095" s="959" t="s">
        <v>254</v>
      </c>
      <c r="F2095" s="558" t="s">
        <v>1444</v>
      </c>
      <c r="G2095" s="558">
        <v>211</v>
      </c>
      <c r="H2095" s="558" t="s">
        <v>1101</v>
      </c>
      <c r="I2095" s="559" t="s">
        <v>1333</v>
      </c>
      <c r="J2095" s="567" t="s">
        <v>1751</v>
      </c>
      <c r="K2095" s="961" t="s">
        <v>1568</v>
      </c>
      <c r="L2095" s="555" t="str">
        <f t="shared" ca="1" si="351"/>
        <v/>
      </c>
      <c r="M2095" s="494" t="s">
        <v>1569</v>
      </c>
      <c r="N2095" s="555" t="str">
        <f t="shared" ca="1" si="359"/>
        <v/>
      </c>
      <c r="O2095" s="494" t="s">
        <v>1570</v>
      </c>
      <c r="P2095" s="555" t="str">
        <f t="shared" ca="1" si="360"/>
        <v/>
      </c>
      <c r="Q2095" s="494" t="s">
        <v>1752</v>
      </c>
      <c r="R2095" s="494" t="str">
        <f t="shared" si="361"/>
        <v>I2095</v>
      </c>
      <c r="S2095" s="494" t="s">
        <v>1756</v>
      </c>
      <c r="T2095" s="494">
        <v>6</v>
      </c>
      <c r="U2095" s="556" t="str">
        <f t="shared" ca="1" si="349"/>
        <v/>
      </c>
      <c r="V2095" s="494">
        <v>7</v>
      </c>
      <c r="W2095" s="556" t="str">
        <f t="shared" ca="1" si="350"/>
        <v/>
      </c>
      <c r="X2095" s="494" t="s">
        <v>1754</v>
      </c>
      <c r="Y2095" s="547" t="str">
        <f t="shared" ca="1" si="362"/>
        <v/>
      </c>
      <c r="Z2095" s="494" t="s">
        <v>1755</v>
      </c>
      <c r="AA2095" s="547" t="str">
        <f t="shared" ca="1" si="363"/>
        <v/>
      </c>
      <c r="AB2095" s="494" t="s">
        <v>1592</v>
      </c>
      <c r="AC2095" s="547" t="str">
        <f t="shared" ca="1" si="356"/>
        <v/>
      </c>
      <c r="AD2095" s="557"/>
      <c r="AE2095" s="958"/>
    </row>
    <row r="2096" spans="1:31">
      <c r="A2096" s="957" t="str">
        <f t="shared" ca="1" si="357"/>
        <v>24/25</v>
      </c>
      <c r="B2096" s="566" t="s">
        <v>182</v>
      </c>
      <c r="C2096" s="567" t="str">
        <f t="shared" ca="1" si="358"/>
        <v>Green Star - Retail Centre</v>
      </c>
      <c r="D2096" s="958">
        <v>1</v>
      </c>
      <c r="E2096" s="959" t="s">
        <v>254</v>
      </c>
      <c r="F2096" s="558" t="s">
        <v>1444</v>
      </c>
      <c r="G2096" s="558">
        <v>30</v>
      </c>
      <c r="H2096" s="558" t="s">
        <v>1103</v>
      </c>
      <c r="I2096" s="559" t="s">
        <v>680</v>
      </c>
      <c r="J2096" s="567" t="s">
        <v>1751</v>
      </c>
      <c r="K2096" s="961" t="s">
        <v>1568</v>
      </c>
      <c r="L2096" s="555" t="str">
        <f t="shared" ca="1" si="351"/>
        <v/>
      </c>
      <c r="M2096" s="494" t="s">
        <v>1569</v>
      </c>
      <c r="N2096" s="555" t="str">
        <f t="shared" ca="1" si="359"/>
        <v/>
      </c>
      <c r="O2096" s="494" t="s">
        <v>1570</v>
      </c>
      <c r="P2096" s="555" t="str">
        <f t="shared" ca="1" si="360"/>
        <v/>
      </c>
      <c r="Q2096" s="494" t="s">
        <v>1752</v>
      </c>
      <c r="R2096" s="494" t="str">
        <f t="shared" si="361"/>
        <v>I2096</v>
      </c>
      <c r="S2096" s="494" t="s">
        <v>1753</v>
      </c>
      <c r="T2096" s="494">
        <v>6</v>
      </c>
      <c r="U2096" s="556" t="str">
        <f t="shared" ca="1" si="349"/>
        <v/>
      </c>
      <c r="V2096" s="494">
        <v>7</v>
      </c>
      <c r="W2096" s="556" t="str">
        <f t="shared" ca="1" si="350"/>
        <v/>
      </c>
      <c r="X2096" s="494" t="s">
        <v>1754</v>
      </c>
      <c r="Y2096" s="547" t="str">
        <f t="shared" ca="1" si="362"/>
        <v/>
      </c>
      <c r="Z2096" s="494" t="s">
        <v>1755</v>
      </c>
      <c r="AA2096" s="547" t="str">
        <f t="shared" ca="1" si="363"/>
        <v/>
      </c>
      <c r="AB2096" s="494" t="s">
        <v>1592</v>
      </c>
      <c r="AC2096" s="547" t="str">
        <f t="shared" ca="1" si="356"/>
        <v/>
      </c>
      <c r="AD2096" s="557"/>
      <c r="AE2096" s="958"/>
    </row>
    <row r="2097" spans="1:31">
      <c r="A2097" s="957" t="str">
        <f t="shared" ca="1" si="357"/>
        <v>24/25</v>
      </c>
      <c r="B2097" s="566" t="s">
        <v>182</v>
      </c>
      <c r="C2097" s="567" t="str">
        <f t="shared" ca="1" si="358"/>
        <v>Green Star - Retail Centre</v>
      </c>
      <c r="D2097" s="958">
        <v>1</v>
      </c>
      <c r="E2097" s="959" t="s">
        <v>254</v>
      </c>
      <c r="F2097" s="558" t="s">
        <v>1444</v>
      </c>
      <c r="G2097" s="558">
        <v>232</v>
      </c>
      <c r="H2097" s="558" t="s">
        <v>1104</v>
      </c>
      <c r="I2097" s="559" t="s">
        <v>785</v>
      </c>
      <c r="J2097" s="567" t="s">
        <v>1751</v>
      </c>
      <c r="K2097" s="961" t="s">
        <v>1568</v>
      </c>
      <c r="L2097" s="555" t="str">
        <f t="shared" ca="1" si="351"/>
        <v/>
      </c>
      <c r="M2097" s="494" t="s">
        <v>1569</v>
      </c>
      <c r="N2097" s="555" t="str">
        <f t="shared" ca="1" si="359"/>
        <v/>
      </c>
      <c r="O2097" s="494" t="s">
        <v>1570</v>
      </c>
      <c r="P2097" s="555" t="str">
        <f t="shared" ca="1" si="360"/>
        <v/>
      </c>
      <c r="Q2097" s="494" t="s">
        <v>1752</v>
      </c>
      <c r="R2097" s="494" t="str">
        <f t="shared" si="361"/>
        <v>I2097</v>
      </c>
      <c r="S2097" s="494" t="s">
        <v>1753</v>
      </c>
      <c r="T2097" s="494">
        <v>6</v>
      </c>
      <c r="U2097" s="556" t="str">
        <f t="shared" ca="1" si="349"/>
        <v/>
      </c>
      <c r="V2097" s="494">
        <v>7</v>
      </c>
      <c r="W2097" s="556" t="str">
        <f t="shared" ca="1" si="350"/>
        <v/>
      </c>
      <c r="X2097" s="494" t="s">
        <v>1754</v>
      </c>
      <c r="Y2097" s="547" t="str">
        <f t="shared" ca="1" si="362"/>
        <v/>
      </c>
      <c r="Z2097" s="494" t="s">
        <v>1755</v>
      </c>
      <c r="AA2097" s="547" t="str">
        <f t="shared" ca="1" si="363"/>
        <v/>
      </c>
      <c r="AB2097" s="494" t="s">
        <v>1592</v>
      </c>
      <c r="AC2097" s="547" t="str">
        <f t="shared" ca="1" si="356"/>
        <v/>
      </c>
      <c r="AD2097" s="557"/>
      <c r="AE2097" s="958"/>
    </row>
    <row r="2098" spans="1:31">
      <c r="A2098" s="957" t="str">
        <f t="shared" ca="1" si="357"/>
        <v>24/25</v>
      </c>
      <c r="B2098" s="566" t="s">
        <v>182</v>
      </c>
      <c r="C2098" s="567" t="str">
        <f t="shared" ca="1" si="358"/>
        <v>Green Star - Retail Centre</v>
      </c>
      <c r="D2098" s="958">
        <v>1</v>
      </c>
      <c r="E2098" s="959" t="s">
        <v>254</v>
      </c>
      <c r="F2098" s="558" t="s">
        <v>1444</v>
      </c>
      <c r="G2098" s="558">
        <v>231</v>
      </c>
      <c r="H2098" s="558" t="s">
        <v>1334</v>
      </c>
      <c r="I2098" s="559" t="s">
        <v>1336</v>
      </c>
      <c r="J2098" s="567" t="s">
        <v>1751</v>
      </c>
      <c r="K2098" s="961" t="s">
        <v>1568</v>
      </c>
      <c r="L2098" s="555" t="str">
        <f t="shared" ca="1" si="351"/>
        <v/>
      </c>
      <c r="M2098" s="494" t="s">
        <v>1569</v>
      </c>
      <c r="N2098" s="555" t="str">
        <f t="shared" ca="1" si="359"/>
        <v/>
      </c>
      <c r="O2098" s="494" t="s">
        <v>1570</v>
      </c>
      <c r="P2098" s="555" t="str">
        <f t="shared" ca="1" si="360"/>
        <v/>
      </c>
      <c r="Q2098" s="494" t="s">
        <v>1752</v>
      </c>
      <c r="R2098" s="494" t="str">
        <f t="shared" si="361"/>
        <v>I2098</v>
      </c>
      <c r="S2098" s="494" t="s">
        <v>1756</v>
      </c>
      <c r="T2098" s="494">
        <v>6</v>
      </c>
      <c r="U2098" s="556" t="str">
        <f t="shared" ca="1" si="349"/>
        <v/>
      </c>
      <c r="V2098" s="494">
        <v>7</v>
      </c>
      <c r="W2098" s="556" t="str">
        <f t="shared" ca="1" si="350"/>
        <v/>
      </c>
      <c r="X2098" s="494" t="s">
        <v>1754</v>
      </c>
      <c r="Y2098" s="547" t="str">
        <f t="shared" ca="1" si="362"/>
        <v/>
      </c>
      <c r="Z2098" s="494" t="s">
        <v>1755</v>
      </c>
      <c r="AA2098" s="547" t="str">
        <f t="shared" ca="1" si="363"/>
        <v/>
      </c>
      <c r="AB2098" s="494" t="s">
        <v>1592</v>
      </c>
      <c r="AC2098" s="547" t="str">
        <f t="shared" ca="1" si="356"/>
        <v/>
      </c>
      <c r="AD2098" s="557"/>
      <c r="AE2098" s="958"/>
    </row>
    <row r="2099" spans="1:31">
      <c r="A2099" s="957" t="str">
        <f t="shared" ca="1" si="357"/>
        <v>24/25</v>
      </c>
      <c r="B2099" s="566" t="s">
        <v>182</v>
      </c>
      <c r="C2099" s="567" t="str">
        <f t="shared" ca="1" si="358"/>
        <v>Green Star - Retail Centre</v>
      </c>
      <c r="D2099" s="958">
        <v>1</v>
      </c>
      <c r="E2099" s="959" t="s">
        <v>254</v>
      </c>
      <c r="F2099" s="558" t="s">
        <v>1444</v>
      </c>
      <c r="G2099" s="558">
        <v>231</v>
      </c>
      <c r="H2099" s="558" t="s">
        <v>1334</v>
      </c>
      <c r="I2099" s="559" t="s">
        <v>1337</v>
      </c>
      <c r="J2099" s="567" t="s">
        <v>1751</v>
      </c>
      <c r="K2099" s="961" t="s">
        <v>1568</v>
      </c>
      <c r="L2099" s="555" t="str">
        <f t="shared" ca="1" si="351"/>
        <v/>
      </c>
      <c r="M2099" s="494" t="s">
        <v>1569</v>
      </c>
      <c r="N2099" s="555" t="str">
        <f t="shared" ca="1" si="359"/>
        <v/>
      </c>
      <c r="O2099" s="494" t="s">
        <v>1570</v>
      </c>
      <c r="P2099" s="555" t="str">
        <f t="shared" ca="1" si="360"/>
        <v/>
      </c>
      <c r="Q2099" s="494" t="s">
        <v>1752</v>
      </c>
      <c r="R2099" s="494" t="str">
        <f t="shared" si="361"/>
        <v>I2099</v>
      </c>
      <c r="S2099" s="494" t="s">
        <v>1756</v>
      </c>
      <c r="T2099" s="494">
        <v>6</v>
      </c>
      <c r="U2099" s="556" t="str">
        <f t="shared" ca="1" si="349"/>
        <v/>
      </c>
      <c r="V2099" s="494">
        <v>7</v>
      </c>
      <c r="W2099" s="556" t="str">
        <f t="shared" ca="1" si="350"/>
        <v/>
      </c>
      <c r="X2099" s="494" t="s">
        <v>1754</v>
      </c>
      <c r="Y2099" s="547" t="str">
        <f t="shared" ca="1" si="362"/>
        <v/>
      </c>
      <c r="Z2099" s="494" t="s">
        <v>1755</v>
      </c>
      <c r="AA2099" s="547" t="str">
        <f t="shared" ca="1" si="363"/>
        <v/>
      </c>
      <c r="AB2099" s="494" t="s">
        <v>1592</v>
      </c>
      <c r="AC2099" s="547" t="str">
        <f t="shared" ref="AC2099:AC2130" ca="1" si="364">IF(AND(INDIRECT(CONCATENATE($J2099,$K2099,"5"))=$B2099,ISBLANK(INDIRECT(CONCATENATE($J2099,AB2099)))=FALSE),INDIRECT(CONCATENATE($J2099,AB2099)),"")</f>
        <v/>
      </c>
      <c r="AD2099" s="557"/>
      <c r="AE2099" s="958"/>
    </row>
    <row r="2100" spans="1:31">
      <c r="A2100" s="957" t="str">
        <f t="shared" ca="1" si="357"/>
        <v>24/25</v>
      </c>
      <c r="B2100" s="566" t="s">
        <v>182</v>
      </c>
      <c r="C2100" s="567" t="str">
        <f t="shared" ca="1" si="358"/>
        <v>Green Star - Retail Centre</v>
      </c>
      <c r="D2100" s="958">
        <v>1</v>
      </c>
      <c r="E2100" s="959" t="s">
        <v>254</v>
      </c>
      <c r="F2100" s="558" t="s">
        <v>1444</v>
      </c>
      <c r="G2100" s="558">
        <v>187</v>
      </c>
      <c r="H2100" s="558" t="s">
        <v>1105</v>
      </c>
      <c r="I2100" s="559" t="s">
        <v>1106</v>
      </c>
      <c r="J2100" s="567" t="s">
        <v>1751</v>
      </c>
      <c r="K2100" s="961" t="s">
        <v>1568</v>
      </c>
      <c r="L2100" s="555" t="str">
        <f t="shared" ca="1" si="351"/>
        <v/>
      </c>
      <c r="M2100" s="494" t="s">
        <v>1569</v>
      </c>
      <c r="N2100" s="555" t="str">
        <f t="shared" ca="1" si="359"/>
        <v/>
      </c>
      <c r="O2100" s="494" t="s">
        <v>1570</v>
      </c>
      <c r="P2100" s="555" t="str">
        <f t="shared" ca="1" si="360"/>
        <v/>
      </c>
      <c r="Q2100" s="494" t="s">
        <v>1752</v>
      </c>
      <c r="R2100" s="494" t="str">
        <f t="shared" si="361"/>
        <v>I2100</v>
      </c>
      <c r="S2100" s="494" t="s">
        <v>1753</v>
      </c>
      <c r="T2100" s="494">
        <v>6</v>
      </c>
      <c r="U2100" s="556" t="str">
        <f t="shared" ca="1" si="349"/>
        <v/>
      </c>
      <c r="V2100" s="494">
        <v>7</v>
      </c>
      <c r="W2100" s="556" t="str">
        <f t="shared" ca="1" si="350"/>
        <v/>
      </c>
      <c r="X2100" s="494" t="s">
        <v>1754</v>
      </c>
      <c r="Y2100" s="547" t="str">
        <f t="shared" ca="1" si="362"/>
        <v/>
      </c>
      <c r="Z2100" s="494" t="s">
        <v>1755</v>
      </c>
      <c r="AA2100" s="547" t="str">
        <f t="shared" ca="1" si="363"/>
        <v/>
      </c>
      <c r="AB2100" s="494" t="s">
        <v>1592</v>
      </c>
      <c r="AC2100" s="547" t="str">
        <f t="shared" ca="1" si="364"/>
        <v/>
      </c>
      <c r="AD2100" s="557"/>
      <c r="AE2100" s="958"/>
    </row>
    <row r="2101" spans="1:31">
      <c r="A2101" s="957" t="str">
        <f t="shared" ca="1" si="357"/>
        <v>24/25</v>
      </c>
      <c r="B2101" s="566" t="s">
        <v>182</v>
      </c>
      <c r="C2101" s="567" t="str">
        <f t="shared" ca="1" si="358"/>
        <v>Green Star - Retail Centre</v>
      </c>
      <c r="D2101" s="958">
        <v>1</v>
      </c>
      <c r="E2101" s="959" t="s">
        <v>306</v>
      </c>
      <c r="F2101" s="558" t="s">
        <v>1454</v>
      </c>
      <c r="G2101" s="558">
        <v>34</v>
      </c>
      <c r="H2101" s="558" t="s">
        <v>1116</v>
      </c>
      <c r="I2101" s="559" t="s">
        <v>1117</v>
      </c>
      <c r="J2101" s="567" t="s">
        <v>1751</v>
      </c>
      <c r="K2101" s="961" t="s">
        <v>1568</v>
      </c>
      <c r="L2101" s="555" t="str">
        <f t="shared" ca="1" si="351"/>
        <v/>
      </c>
      <c r="M2101" s="494" t="s">
        <v>1569</v>
      </c>
      <c r="N2101" s="555" t="str">
        <f t="shared" ca="1" si="359"/>
        <v/>
      </c>
      <c r="O2101" s="494" t="s">
        <v>1570</v>
      </c>
      <c r="P2101" s="555" t="str">
        <f t="shared" ca="1" si="360"/>
        <v/>
      </c>
      <c r="Q2101" s="494" t="s">
        <v>1752</v>
      </c>
      <c r="R2101" s="494" t="str">
        <f t="shared" si="361"/>
        <v>I2101</v>
      </c>
      <c r="S2101" s="494" t="s">
        <v>1753</v>
      </c>
      <c r="T2101" s="494">
        <v>6</v>
      </c>
      <c r="U2101" s="556" t="str">
        <f t="shared" ca="1" si="349"/>
        <v/>
      </c>
      <c r="V2101" s="494">
        <v>7</v>
      </c>
      <c r="W2101" s="556" t="str">
        <f t="shared" ca="1" si="350"/>
        <v/>
      </c>
      <c r="X2101" s="494" t="s">
        <v>1754</v>
      </c>
      <c r="Y2101" s="547" t="str">
        <f t="shared" ca="1" si="362"/>
        <v/>
      </c>
      <c r="Z2101" s="494" t="s">
        <v>1755</v>
      </c>
      <c r="AA2101" s="547" t="str">
        <f t="shared" ca="1" si="363"/>
        <v/>
      </c>
      <c r="AB2101" s="494" t="s">
        <v>1592</v>
      </c>
      <c r="AC2101" s="547" t="str">
        <f t="shared" ca="1" si="364"/>
        <v/>
      </c>
      <c r="AD2101" s="557"/>
      <c r="AE2101" s="958"/>
    </row>
    <row r="2102" spans="1:31">
      <c r="A2102" s="957" t="str">
        <f t="shared" ca="1" si="357"/>
        <v>24/25</v>
      </c>
      <c r="B2102" s="566" t="s">
        <v>182</v>
      </c>
      <c r="C2102" s="567" t="str">
        <f t="shared" ca="1" si="358"/>
        <v>Green Star - Retail Centre</v>
      </c>
      <c r="D2102" s="958">
        <v>1</v>
      </c>
      <c r="E2102" s="959" t="s">
        <v>306</v>
      </c>
      <c r="F2102" s="558" t="s">
        <v>1454</v>
      </c>
      <c r="G2102" s="558">
        <v>65</v>
      </c>
      <c r="H2102" s="558" t="s">
        <v>1118</v>
      </c>
      <c r="I2102" s="559" t="s">
        <v>1119</v>
      </c>
      <c r="J2102" s="567" t="s">
        <v>1751</v>
      </c>
      <c r="K2102" s="961" t="s">
        <v>1568</v>
      </c>
      <c r="L2102" s="555" t="str">
        <f t="shared" ca="1" si="351"/>
        <v/>
      </c>
      <c r="M2102" s="494" t="s">
        <v>1569</v>
      </c>
      <c r="N2102" s="555" t="str">
        <f t="shared" ca="1" si="359"/>
        <v/>
      </c>
      <c r="O2102" s="494" t="s">
        <v>1570</v>
      </c>
      <c r="P2102" s="555" t="str">
        <f t="shared" ca="1" si="360"/>
        <v/>
      </c>
      <c r="Q2102" s="494" t="s">
        <v>1752</v>
      </c>
      <c r="R2102" s="494" t="str">
        <f t="shared" si="361"/>
        <v>I2102</v>
      </c>
      <c r="S2102" s="494" t="s">
        <v>1753</v>
      </c>
      <c r="T2102" s="494">
        <v>6</v>
      </c>
      <c r="U2102" s="556" t="str">
        <f t="shared" ca="1" si="349"/>
        <v/>
      </c>
      <c r="V2102" s="494">
        <v>7</v>
      </c>
      <c r="W2102" s="556" t="str">
        <f t="shared" ca="1" si="350"/>
        <v/>
      </c>
      <c r="X2102" s="494" t="s">
        <v>1754</v>
      </c>
      <c r="Y2102" s="547" t="str">
        <f t="shared" ca="1" si="362"/>
        <v/>
      </c>
      <c r="Z2102" s="494" t="s">
        <v>1755</v>
      </c>
      <c r="AA2102" s="547" t="str">
        <f t="shared" ca="1" si="363"/>
        <v/>
      </c>
      <c r="AB2102" s="494" t="s">
        <v>1592</v>
      </c>
      <c r="AC2102" s="547" t="str">
        <f t="shared" ca="1" si="364"/>
        <v/>
      </c>
      <c r="AD2102" s="557"/>
      <c r="AE2102" s="958"/>
    </row>
    <row r="2103" spans="1:31">
      <c r="A2103" s="957" t="str">
        <f t="shared" ca="1" si="357"/>
        <v>24/25</v>
      </c>
      <c r="B2103" s="566" t="s">
        <v>182</v>
      </c>
      <c r="C2103" s="567" t="str">
        <f t="shared" ca="1" si="358"/>
        <v>Green Star - Retail Centre</v>
      </c>
      <c r="D2103" s="958">
        <v>1</v>
      </c>
      <c r="E2103" s="959" t="s">
        <v>306</v>
      </c>
      <c r="F2103" s="558" t="s">
        <v>1454</v>
      </c>
      <c r="G2103" s="558">
        <v>100</v>
      </c>
      <c r="H2103" s="558" t="s">
        <v>1120</v>
      </c>
      <c r="I2103" s="559" t="s">
        <v>1338</v>
      </c>
      <c r="J2103" s="567" t="s">
        <v>1751</v>
      </c>
      <c r="K2103" s="961" t="s">
        <v>1568</v>
      </c>
      <c r="L2103" s="555" t="str">
        <f t="shared" ca="1" si="351"/>
        <v/>
      </c>
      <c r="M2103" s="494" t="s">
        <v>1569</v>
      </c>
      <c r="N2103" s="555" t="str">
        <f t="shared" ca="1" si="359"/>
        <v/>
      </c>
      <c r="O2103" s="494" t="s">
        <v>1570</v>
      </c>
      <c r="P2103" s="555" t="str">
        <f t="shared" ca="1" si="360"/>
        <v/>
      </c>
      <c r="Q2103" s="494" t="s">
        <v>1752</v>
      </c>
      <c r="R2103" s="494" t="str">
        <f t="shared" si="361"/>
        <v>I2103</v>
      </c>
      <c r="S2103" s="494" t="s">
        <v>1753</v>
      </c>
      <c r="T2103" s="494">
        <v>6</v>
      </c>
      <c r="U2103" s="556" t="str">
        <f t="shared" ca="1" si="349"/>
        <v/>
      </c>
      <c r="V2103" s="494">
        <v>7</v>
      </c>
      <c r="W2103" s="556" t="str">
        <f t="shared" ca="1" si="350"/>
        <v/>
      </c>
      <c r="X2103" s="494" t="s">
        <v>1754</v>
      </c>
      <c r="Y2103" s="547" t="str">
        <f t="shared" ca="1" si="362"/>
        <v/>
      </c>
      <c r="Z2103" s="494" t="s">
        <v>1755</v>
      </c>
      <c r="AA2103" s="547" t="str">
        <f t="shared" ca="1" si="363"/>
        <v/>
      </c>
      <c r="AB2103" s="494" t="s">
        <v>1592</v>
      </c>
      <c r="AC2103" s="547" t="str">
        <f t="shared" ca="1" si="364"/>
        <v/>
      </c>
      <c r="AD2103" s="557"/>
      <c r="AE2103" s="958"/>
    </row>
    <row r="2104" spans="1:31">
      <c r="A2104" s="957" t="str">
        <f t="shared" ca="1" si="357"/>
        <v>24/25</v>
      </c>
      <c r="B2104" s="566" t="s">
        <v>182</v>
      </c>
      <c r="C2104" s="567" t="str">
        <f t="shared" ca="1" si="358"/>
        <v>Green Star - Retail Centre</v>
      </c>
      <c r="D2104" s="958">
        <v>1</v>
      </c>
      <c r="E2104" s="959" t="s">
        <v>306</v>
      </c>
      <c r="F2104" s="558" t="s">
        <v>1454</v>
      </c>
      <c r="G2104" s="558">
        <v>44</v>
      </c>
      <c r="H2104" s="558" t="s">
        <v>1122</v>
      </c>
      <c r="I2104" s="559" t="s">
        <v>326</v>
      </c>
      <c r="J2104" s="567" t="s">
        <v>1751</v>
      </c>
      <c r="K2104" s="961" t="s">
        <v>1568</v>
      </c>
      <c r="L2104" s="555" t="str">
        <f t="shared" ca="1" si="351"/>
        <v/>
      </c>
      <c r="M2104" s="494" t="s">
        <v>1569</v>
      </c>
      <c r="N2104" s="555" t="str">
        <f t="shared" ca="1" si="359"/>
        <v/>
      </c>
      <c r="O2104" s="494" t="s">
        <v>1570</v>
      </c>
      <c r="P2104" s="555" t="str">
        <f t="shared" ca="1" si="360"/>
        <v/>
      </c>
      <c r="Q2104" s="494" t="s">
        <v>1752</v>
      </c>
      <c r="R2104" s="494" t="str">
        <f t="shared" si="361"/>
        <v>I2104</v>
      </c>
      <c r="S2104" s="494" t="s">
        <v>1753</v>
      </c>
      <c r="T2104" s="494">
        <v>6</v>
      </c>
      <c r="U2104" s="556" t="str">
        <f t="shared" ca="1" si="349"/>
        <v/>
      </c>
      <c r="V2104" s="494">
        <v>7</v>
      </c>
      <c r="W2104" s="556" t="str">
        <f t="shared" ca="1" si="350"/>
        <v/>
      </c>
      <c r="X2104" s="494" t="s">
        <v>1754</v>
      </c>
      <c r="Y2104" s="547" t="str">
        <f t="shared" ca="1" si="362"/>
        <v/>
      </c>
      <c r="Z2104" s="494" t="s">
        <v>1755</v>
      </c>
      <c r="AA2104" s="547" t="str">
        <f t="shared" ca="1" si="363"/>
        <v/>
      </c>
      <c r="AB2104" s="494" t="s">
        <v>1592</v>
      </c>
      <c r="AC2104" s="547" t="str">
        <f t="shared" ca="1" si="364"/>
        <v/>
      </c>
      <c r="AD2104" s="557"/>
      <c r="AE2104" s="958"/>
    </row>
    <row r="2105" spans="1:31">
      <c r="A2105" s="957" t="str">
        <f t="shared" ca="1" si="357"/>
        <v>24/25</v>
      </c>
      <c r="B2105" s="566" t="s">
        <v>182</v>
      </c>
      <c r="C2105" s="567" t="str">
        <f t="shared" ca="1" si="358"/>
        <v>Green Star - Retail Centre</v>
      </c>
      <c r="D2105" s="958">
        <v>1</v>
      </c>
      <c r="E2105" s="959" t="s">
        <v>306</v>
      </c>
      <c r="F2105" s="558" t="s">
        <v>1454</v>
      </c>
      <c r="G2105" s="558">
        <v>73</v>
      </c>
      <c r="H2105" s="558" t="s">
        <v>1123</v>
      </c>
      <c r="I2105" s="559" t="s">
        <v>332</v>
      </c>
      <c r="J2105" s="567" t="s">
        <v>1751</v>
      </c>
      <c r="K2105" s="961" t="s">
        <v>1568</v>
      </c>
      <c r="L2105" s="555" t="str">
        <f t="shared" ca="1" si="351"/>
        <v/>
      </c>
      <c r="M2105" s="494" t="s">
        <v>1569</v>
      </c>
      <c r="N2105" s="555" t="str">
        <f t="shared" ca="1" si="359"/>
        <v/>
      </c>
      <c r="O2105" s="494" t="s">
        <v>1570</v>
      </c>
      <c r="P2105" s="555" t="str">
        <f t="shared" ca="1" si="360"/>
        <v/>
      </c>
      <c r="Q2105" s="494" t="s">
        <v>1752</v>
      </c>
      <c r="R2105" s="494" t="str">
        <f t="shared" si="361"/>
        <v>I2105</v>
      </c>
      <c r="S2105" s="494" t="s">
        <v>1753</v>
      </c>
      <c r="T2105" s="494">
        <v>6</v>
      </c>
      <c r="U2105" s="556" t="str">
        <f t="shared" ca="1" si="349"/>
        <v/>
      </c>
      <c r="V2105" s="494">
        <v>7</v>
      </c>
      <c r="W2105" s="556" t="str">
        <f t="shared" ca="1" si="350"/>
        <v/>
      </c>
      <c r="X2105" s="494" t="s">
        <v>1754</v>
      </c>
      <c r="Y2105" s="547" t="str">
        <f t="shared" ca="1" si="362"/>
        <v/>
      </c>
      <c r="Z2105" s="494" t="s">
        <v>1755</v>
      </c>
      <c r="AA2105" s="547" t="str">
        <f t="shared" ca="1" si="363"/>
        <v/>
      </c>
      <c r="AB2105" s="494" t="s">
        <v>1592</v>
      </c>
      <c r="AC2105" s="547" t="str">
        <f t="shared" ca="1" si="364"/>
        <v/>
      </c>
      <c r="AD2105" s="557"/>
      <c r="AE2105" s="958"/>
    </row>
    <row r="2106" spans="1:31">
      <c r="A2106" s="957" t="str">
        <f t="shared" ca="1" si="357"/>
        <v>24/25</v>
      </c>
      <c r="B2106" s="566" t="s">
        <v>182</v>
      </c>
      <c r="C2106" s="567" t="str">
        <f t="shared" ca="1" si="358"/>
        <v>Green Star - Retail Centre</v>
      </c>
      <c r="D2106" s="958">
        <v>1</v>
      </c>
      <c r="E2106" s="959" t="s">
        <v>306</v>
      </c>
      <c r="F2106" s="558" t="s">
        <v>1454</v>
      </c>
      <c r="G2106" s="558">
        <v>134</v>
      </c>
      <c r="H2106" s="558" t="s">
        <v>1124</v>
      </c>
      <c r="I2106" s="559" t="s">
        <v>597</v>
      </c>
      <c r="J2106" s="567" t="s">
        <v>1751</v>
      </c>
      <c r="K2106" s="961" t="s">
        <v>1568</v>
      </c>
      <c r="L2106" s="555" t="str">
        <f t="shared" ca="1" si="351"/>
        <v/>
      </c>
      <c r="M2106" s="494" t="s">
        <v>1569</v>
      </c>
      <c r="N2106" s="555" t="str">
        <f t="shared" ca="1" si="359"/>
        <v/>
      </c>
      <c r="O2106" s="494" t="s">
        <v>1570</v>
      </c>
      <c r="P2106" s="555" t="str">
        <f t="shared" ca="1" si="360"/>
        <v/>
      </c>
      <c r="Q2106" s="494" t="s">
        <v>1752</v>
      </c>
      <c r="R2106" s="494" t="str">
        <f t="shared" si="361"/>
        <v>I2106</v>
      </c>
      <c r="S2106" s="494" t="s">
        <v>1753</v>
      </c>
      <c r="T2106" s="494">
        <v>6</v>
      </c>
      <c r="U2106" s="556" t="str">
        <f t="shared" ca="1" si="349"/>
        <v/>
      </c>
      <c r="V2106" s="494">
        <v>7</v>
      </c>
      <c r="W2106" s="556" t="str">
        <f t="shared" ca="1" si="350"/>
        <v/>
      </c>
      <c r="X2106" s="494" t="s">
        <v>1754</v>
      </c>
      <c r="Y2106" s="547" t="str">
        <f t="shared" ca="1" si="362"/>
        <v/>
      </c>
      <c r="Z2106" s="494" t="s">
        <v>1755</v>
      </c>
      <c r="AA2106" s="547" t="str">
        <f t="shared" ca="1" si="363"/>
        <v/>
      </c>
      <c r="AB2106" s="494" t="s">
        <v>1592</v>
      </c>
      <c r="AC2106" s="547" t="str">
        <f t="shared" ca="1" si="364"/>
        <v/>
      </c>
      <c r="AD2106" s="557"/>
      <c r="AE2106" s="958"/>
    </row>
    <row r="2107" spans="1:31">
      <c r="A2107" s="957" t="str">
        <f t="shared" ca="1" si="357"/>
        <v>24/25</v>
      </c>
      <c r="B2107" s="566" t="s">
        <v>182</v>
      </c>
      <c r="C2107" s="567" t="str">
        <f t="shared" ca="1" si="358"/>
        <v>Green Star - Retail Centre</v>
      </c>
      <c r="D2107" s="958">
        <v>1</v>
      </c>
      <c r="E2107" s="959" t="s">
        <v>306</v>
      </c>
      <c r="F2107" s="558" t="s">
        <v>1454</v>
      </c>
      <c r="G2107" s="558">
        <v>109</v>
      </c>
      <c r="H2107" s="558" t="s">
        <v>1125</v>
      </c>
      <c r="I2107" s="559" t="s">
        <v>314</v>
      </c>
      <c r="J2107" s="567" t="s">
        <v>1751</v>
      </c>
      <c r="K2107" s="961" t="s">
        <v>1568</v>
      </c>
      <c r="L2107" s="555" t="str">
        <f t="shared" ca="1" si="351"/>
        <v/>
      </c>
      <c r="M2107" s="494" t="s">
        <v>1569</v>
      </c>
      <c r="N2107" s="555" t="str">
        <f t="shared" ca="1" si="359"/>
        <v/>
      </c>
      <c r="O2107" s="494" t="s">
        <v>1570</v>
      </c>
      <c r="P2107" s="555" t="str">
        <f t="shared" ca="1" si="360"/>
        <v/>
      </c>
      <c r="Q2107" s="494" t="s">
        <v>1752</v>
      </c>
      <c r="R2107" s="494" t="str">
        <f t="shared" si="361"/>
        <v>I2107</v>
      </c>
      <c r="S2107" s="494" t="s">
        <v>1753</v>
      </c>
      <c r="T2107" s="494">
        <v>6</v>
      </c>
      <c r="U2107" s="556" t="str">
        <f t="shared" ca="1" si="349"/>
        <v/>
      </c>
      <c r="V2107" s="494">
        <v>7</v>
      </c>
      <c r="W2107" s="556" t="str">
        <f t="shared" ca="1" si="350"/>
        <v/>
      </c>
      <c r="X2107" s="494" t="s">
        <v>1754</v>
      </c>
      <c r="Y2107" s="547" t="str">
        <f t="shared" ca="1" si="362"/>
        <v/>
      </c>
      <c r="Z2107" s="494" t="s">
        <v>1755</v>
      </c>
      <c r="AA2107" s="547" t="str">
        <f t="shared" ca="1" si="363"/>
        <v/>
      </c>
      <c r="AB2107" s="494" t="s">
        <v>1592</v>
      </c>
      <c r="AC2107" s="547" t="str">
        <f t="shared" ca="1" si="364"/>
        <v/>
      </c>
      <c r="AD2107" s="557"/>
      <c r="AE2107" s="958"/>
    </row>
    <row r="2108" spans="1:31">
      <c r="A2108" s="957" t="str">
        <f t="shared" ca="1" si="357"/>
        <v>24/25</v>
      </c>
      <c r="B2108" s="566" t="s">
        <v>182</v>
      </c>
      <c r="C2108" s="567" t="str">
        <f t="shared" ca="1" si="358"/>
        <v>Green Star - Retail Centre</v>
      </c>
      <c r="D2108" s="958">
        <v>1</v>
      </c>
      <c r="E2108" s="959" t="s">
        <v>306</v>
      </c>
      <c r="F2108" s="558" t="s">
        <v>1454</v>
      </c>
      <c r="G2108" s="558">
        <v>110</v>
      </c>
      <c r="H2108" s="558" t="s">
        <v>1126</v>
      </c>
      <c r="I2108" s="559" t="s">
        <v>1128</v>
      </c>
      <c r="J2108" s="567" t="s">
        <v>1751</v>
      </c>
      <c r="K2108" s="961" t="s">
        <v>1568</v>
      </c>
      <c r="L2108" s="555" t="str">
        <f t="shared" ca="1" si="351"/>
        <v/>
      </c>
      <c r="M2108" s="494" t="s">
        <v>1569</v>
      </c>
      <c r="N2108" s="555" t="str">
        <f t="shared" ca="1" si="359"/>
        <v/>
      </c>
      <c r="O2108" s="494" t="s">
        <v>1570</v>
      </c>
      <c r="P2108" s="555" t="str">
        <f t="shared" ca="1" si="360"/>
        <v/>
      </c>
      <c r="Q2108" s="494" t="s">
        <v>1752</v>
      </c>
      <c r="R2108" s="494" t="str">
        <f t="shared" si="361"/>
        <v>I2108</v>
      </c>
      <c r="S2108" s="494" t="s">
        <v>1756</v>
      </c>
      <c r="T2108" s="494">
        <v>6</v>
      </c>
      <c r="U2108" s="556" t="str">
        <f t="shared" ca="1" si="349"/>
        <v/>
      </c>
      <c r="V2108" s="494">
        <v>7</v>
      </c>
      <c r="W2108" s="556" t="str">
        <f t="shared" ca="1" si="350"/>
        <v/>
      </c>
      <c r="X2108" s="494" t="s">
        <v>1754</v>
      </c>
      <c r="Y2108" s="547" t="str">
        <f t="shared" ca="1" si="362"/>
        <v/>
      </c>
      <c r="Z2108" s="494" t="s">
        <v>1755</v>
      </c>
      <c r="AA2108" s="547" t="str">
        <f t="shared" ca="1" si="363"/>
        <v/>
      </c>
      <c r="AB2108" s="494" t="s">
        <v>1592</v>
      </c>
      <c r="AC2108" s="547" t="str">
        <f t="shared" ca="1" si="364"/>
        <v/>
      </c>
      <c r="AD2108" s="557"/>
      <c r="AE2108" s="958"/>
    </row>
    <row r="2109" spans="1:31">
      <c r="A2109" s="957" t="str">
        <f t="shared" ca="1" si="357"/>
        <v>24/25</v>
      </c>
      <c r="B2109" s="566" t="s">
        <v>182</v>
      </c>
      <c r="C2109" s="567" t="str">
        <f t="shared" ca="1" si="358"/>
        <v>Green Star - Retail Centre</v>
      </c>
      <c r="D2109" s="958">
        <v>1</v>
      </c>
      <c r="E2109" s="959" t="s">
        <v>306</v>
      </c>
      <c r="F2109" s="558" t="s">
        <v>1454</v>
      </c>
      <c r="G2109" s="558">
        <v>110</v>
      </c>
      <c r="H2109" s="558" t="s">
        <v>1126</v>
      </c>
      <c r="I2109" s="559" t="s">
        <v>1260</v>
      </c>
      <c r="J2109" s="567" t="s">
        <v>1751</v>
      </c>
      <c r="K2109" s="961" t="s">
        <v>1568</v>
      </c>
      <c r="L2109" s="555" t="str">
        <f t="shared" ca="1" si="351"/>
        <v/>
      </c>
      <c r="M2109" s="494" t="s">
        <v>1569</v>
      </c>
      <c r="N2109" s="555" t="str">
        <f t="shared" ca="1" si="359"/>
        <v/>
      </c>
      <c r="O2109" s="494" t="s">
        <v>1570</v>
      </c>
      <c r="P2109" s="555" t="str">
        <f t="shared" ca="1" si="360"/>
        <v/>
      </c>
      <c r="Q2109" s="494" t="s">
        <v>1752</v>
      </c>
      <c r="R2109" s="494" t="str">
        <f t="shared" si="361"/>
        <v>I2109</v>
      </c>
      <c r="S2109" s="494" t="s">
        <v>1756</v>
      </c>
      <c r="T2109" s="494">
        <v>6</v>
      </c>
      <c r="U2109" s="556" t="str">
        <f t="shared" ca="1" si="349"/>
        <v/>
      </c>
      <c r="V2109" s="494">
        <v>7</v>
      </c>
      <c r="W2109" s="556" t="str">
        <f t="shared" ca="1" si="350"/>
        <v/>
      </c>
      <c r="X2109" s="494" t="s">
        <v>1754</v>
      </c>
      <c r="Y2109" s="547" t="str">
        <f t="shared" ca="1" si="362"/>
        <v/>
      </c>
      <c r="Z2109" s="494" t="s">
        <v>1755</v>
      </c>
      <c r="AA2109" s="547" t="str">
        <f t="shared" ca="1" si="363"/>
        <v/>
      </c>
      <c r="AB2109" s="494" t="s">
        <v>1592</v>
      </c>
      <c r="AC2109" s="547" t="str">
        <f t="shared" ca="1" si="364"/>
        <v/>
      </c>
      <c r="AD2109" s="557"/>
      <c r="AE2109" s="958"/>
    </row>
    <row r="2110" spans="1:31">
      <c r="A2110" s="957" t="str">
        <f t="shared" ca="1" si="357"/>
        <v>24/25</v>
      </c>
      <c r="B2110" s="566" t="s">
        <v>182</v>
      </c>
      <c r="C2110" s="567" t="str">
        <f t="shared" ca="1" si="358"/>
        <v>Green Star - Retail Centre</v>
      </c>
      <c r="D2110" s="958">
        <v>1</v>
      </c>
      <c r="E2110" s="959" t="s">
        <v>306</v>
      </c>
      <c r="F2110" s="558" t="s">
        <v>1454</v>
      </c>
      <c r="G2110" s="558">
        <v>110</v>
      </c>
      <c r="H2110" s="558" t="s">
        <v>1126</v>
      </c>
      <c r="I2110" s="559" t="s">
        <v>1129</v>
      </c>
      <c r="J2110" s="567" t="s">
        <v>1751</v>
      </c>
      <c r="K2110" s="961" t="s">
        <v>1568</v>
      </c>
      <c r="L2110" s="555" t="str">
        <f t="shared" ca="1" si="351"/>
        <v/>
      </c>
      <c r="M2110" s="494" t="s">
        <v>1569</v>
      </c>
      <c r="N2110" s="555" t="str">
        <f t="shared" ca="1" si="359"/>
        <v/>
      </c>
      <c r="O2110" s="494" t="s">
        <v>1570</v>
      </c>
      <c r="P2110" s="555" t="str">
        <f t="shared" ca="1" si="360"/>
        <v/>
      </c>
      <c r="Q2110" s="494" t="s">
        <v>1752</v>
      </c>
      <c r="R2110" s="494" t="str">
        <f t="shared" si="361"/>
        <v>I2110</v>
      </c>
      <c r="S2110" s="494" t="s">
        <v>1756</v>
      </c>
      <c r="T2110" s="494">
        <v>6</v>
      </c>
      <c r="U2110" s="556" t="str">
        <f t="shared" ca="1" si="349"/>
        <v/>
      </c>
      <c r="V2110" s="494">
        <v>7</v>
      </c>
      <c r="W2110" s="556" t="str">
        <f t="shared" ca="1" si="350"/>
        <v/>
      </c>
      <c r="X2110" s="494" t="s">
        <v>1754</v>
      </c>
      <c r="Y2110" s="547" t="str">
        <f t="shared" ca="1" si="362"/>
        <v/>
      </c>
      <c r="Z2110" s="494" t="s">
        <v>1755</v>
      </c>
      <c r="AA2110" s="547" t="str">
        <f t="shared" ca="1" si="363"/>
        <v/>
      </c>
      <c r="AB2110" s="494" t="s">
        <v>1592</v>
      </c>
      <c r="AC2110" s="547" t="str">
        <f t="shared" ca="1" si="364"/>
        <v/>
      </c>
      <c r="AD2110" s="557"/>
      <c r="AE2110" s="958"/>
    </row>
    <row r="2111" spans="1:31">
      <c r="A2111" s="957" t="str">
        <f t="shared" ca="1" si="357"/>
        <v>24/25</v>
      </c>
      <c r="B2111" s="566" t="s">
        <v>182</v>
      </c>
      <c r="C2111" s="567" t="str">
        <f t="shared" ca="1" si="358"/>
        <v>Green Star - Retail Centre</v>
      </c>
      <c r="D2111" s="958">
        <v>1</v>
      </c>
      <c r="E2111" s="959" t="s">
        <v>306</v>
      </c>
      <c r="F2111" s="558" t="s">
        <v>1454</v>
      </c>
      <c r="G2111" s="558">
        <v>111</v>
      </c>
      <c r="H2111" s="558" t="s">
        <v>1132</v>
      </c>
      <c r="I2111" s="559" t="s">
        <v>1133</v>
      </c>
      <c r="J2111" s="567" t="s">
        <v>1751</v>
      </c>
      <c r="K2111" s="961" t="s">
        <v>1568</v>
      </c>
      <c r="L2111" s="555" t="str">
        <f t="shared" ca="1" si="351"/>
        <v/>
      </c>
      <c r="M2111" s="494" t="s">
        <v>1569</v>
      </c>
      <c r="N2111" s="555" t="str">
        <f t="shared" ca="1" si="359"/>
        <v/>
      </c>
      <c r="O2111" s="494" t="s">
        <v>1570</v>
      </c>
      <c r="P2111" s="555" t="str">
        <f t="shared" ca="1" si="360"/>
        <v/>
      </c>
      <c r="Q2111" s="494" t="s">
        <v>1752</v>
      </c>
      <c r="R2111" s="494" t="str">
        <f t="shared" si="361"/>
        <v>I2111</v>
      </c>
      <c r="S2111" s="494" t="s">
        <v>1753</v>
      </c>
      <c r="T2111" s="494">
        <v>6</v>
      </c>
      <c r="U2111" s="556" t="str">
        <f t="shared" ref="U2111:U2157" ca="1" si="365">IF(AND($B2111=INDIRECT(CONCATENATE($J2111,$K2111,5)),ISBLANK(INDEX(INDIRECT(CONCATENATE($J2111,$Q2111)),MATCH(INDIRECT($R2111),INDIRECT(CONCATENATE($J2111,$S2111)),0),T2111))=FALSE),INDEX(INDIRECT(CONCATENATE($J2111,$Q2111)),MATCH(INDIRECT($R2111),INDIRECT(CONCATENATE($J2111,$S2111)),0),T2111),"")</f>
        <v/>
      </c>
      <c r="V2111" s="494">
        <v>7</v>
      </c>
      <c r="W2111" s="556" t="str">
        <f t="shared" ref="W2111:W2157" ca="1" si="366">IF(AND($B2111=INDIRECT(CONCATENATE($J2111,$K2111,5)),ISBLANK(INDEX(INDIRECT(CONCATENATE($J2111,$Q2111)),MATCH(INDIRECT($R2111),INDIRECT(CONCATENATE($J2111,$S2111)),0),V2111))=FALSE),INDEX(INDIRECT(CONCATENATE($J2111,$Q2111)),MATCH(INDIRECT($R2111),INDIRECT(CONCATENATE($J2111,$S2111)),0),V2111),"")</f>
        <v/>
      </c>
      <c r="X2111" s="494" t="s">
        <v>1754</v>
      </c>
      <c r="Y2111" s="547" t="str">
        <f t="shared" ca="1" si="362"/>
        <v/>
      </c>
      <c r="Z2111" s="494" t="s">
        <v>1755</v>
      </c>
      <c r="AA2111" s="547" t="str">
        <f t="shared" ca="1" si="363"/>
        <v/>
      </c>
      <c r="AB2111" s="494" t="s">
        <v>1592</v>
      </c>
      <c r="AC2111" s="547" t="str">
        <f t="shared" ca="1" si="364"/>
        <v/>
      </c>
      <c r="AD2111" s="557"/>
      <c r="AE2111" s="958"/>
    </row>
    <row r="2112" spans="1:31">
      <c r="A2112" s="957" t="str">
        <f t="shared" ca="1" si="357"/>
        <v>24/25</v>
      </c>
      <c r="B2112" s="566" t="s">
        <v>182</v>
      </c>
      <c r="C2112" s="567" t="str">
        <f t="shared" ca="1" si="358"/>
        <v>Green Star - Retail Centre</v>
      </c>
      <c r="D2112" s="958">
        <v>1</v>
      </c>
      <c r="E2112" s="959" t="s">
        <v>306</v>
      </c>
      <c r="F2112" s="558" t="s">
        <v>1454</v>
      </c>
      <c r="G2112" s="558">
        <v>76</v>
      </c>
      <c r="H2112" s="558" t="s">
        <v>1134</v>
      </c>
      <c r="I2112" s="559" t="s">
        <v>1135</v>
      </c>
      <c r="J2112" s="567" t="s">
        <v>1751</v>
      </c>
      <c r="K2112" s="961" t="s">
        <v>1568</v>
      </c>
      <c r="L2112" s="555" t="str">
        <f t="shared" ca="1" si="351"/>
        <v/>
      </c>
      <c r="M2112" s="494" t="s">
        <v>1569</v>
      </c>
      <c r="N2112" s="555" t="str">
        <f t="shared" ca="1" si="359"/>
        <v/>
      </c>
      <c r="O2112" s="494" t="s">
        <v>1570</v>
      </c>
      <c r="P2112" s="555" t="str">
        <f t="shared" ca="1" si="360"/>
        <v/>
      </c>
      <c r="Q2112" s="494" t="s">
        <v>1752</v>
      </c>
      <c r="R2112" s="494" t="str">
        <f>CONCATENATE("I",ROW(J2112))</f>
        <v>I2112</v>
      </c>
      <c r="S2112" s="494" t="s">
        <v>1753</v>
      </c>
      <c r="T2112" s="494">
        <v>6</v>
      </c>
      <c r="U2112" s="556" t="str">
        <f t="shared" ca="1" si="365"/>
        <v/>
      </c>
      <c r="V2112" s="494">
        <v>7</v>
      </c>
      <c r="W2112" s="556" t="str">
        <f t="shared" ca="1" si="366"/>
        <v/>
      </c>
      <c r="X2112" s="494" t="s">
        <v>1754</v>
      </c>
      <c r="Y2112" s="547" t="str">
        <f t="shared" ca="1" si="362"/>
        <v/>
      </c>
      <c r="Z2112" s="494" t="s">
        <v>1755</v>
      </c>
      <c r="AA2112" s="547" t="str">
        <f t="shared" ca="1" si="363"/>
        <v/>
      </c>
      <c r="AB2112" s="494" t="s">
        <v>1592</v>
      </c>
      <c r="AC2112" s="547" t="str">
        <f t="shared" ca="1" si="364"/>
        <v/>
      </c>
      <c r="AD2112" s="557"/>
      <c r="AE2112" s="958"/>
    </row>
    <row r="2113" spans="1:31">
      <c r="A2113" s="957" t="str">
        <f t="shared" ca="1" si="357"/>
        <v>24/25</v>
      </c>
      <c r="B2113" s="566" t="s">
        <v>182</v>
      </c>
      <c r="C2113" s="567" t="str">
        <f t="shared" ca="1" si="358"/>
        <v>Green Star - Retail Centre</v>
      </c>
      <c r="D2113" s="958">
        <v>1</v>
      </c>
      <c r="E2113" s="959" t="s">
        <v>335</v>
      </c>
      <c r="F2113" s="558" t="s">
        <v>1455</v>
      </c>
      <c r="G2113" s="558">
        <v>130</v>
      </c>
      <c r="H2113" s="558" t="s">
        <v>1153</v>
      </c>
      <c r="I2113" s="559" t="s">
        <v>336</v>
      </c>
      <c r="J2113" s="567" t="s">
        <v>1751</v>
      </c>
      <c r="K2113" s="961" t="s">
        <v>1568</v>
      </c>
      <c r="L2113" s="555" t="str">
        <f t="shared" ca="1" si="351"/>
        <v/>
      </c>
      <c r="M2113" s="494" t="s">
        <v>1569</v>
      </c>
      <c r="N2113" s="555" t="str">
        <f t="shared" ca="1" si="359"/>
        <v/>
      </c>
      <c r="O2113" s="494" t="s">
        <v>1570</v>
      </c>
      <c r="P2113" s="555" t="str">
        <f t="shared" ca="1" si="360"/>
        <v/>
      </c>
      <c r="Q2113" s="494" t="s">
        <v>1752</v>
      </c>
      <c r="R2113" s="494" t="str">
        <f t="shared" si="361"/>
        <v>I2113</v>
      </c>
      <c r="S2113" s="494" t="s">
        <v>1753</v>
      </c>
      <c r="T2113" s="494">
        <v>6</v>
      </c>
      <c r="U2113" s="556" t="str">
        <f t="shared" ca="1" si="365"/>
        <v/>
      </c>
      <c r="V2113" s="494">
        <v>7</v>
      </c>
      <c r="W2113" s="556" t="str">
        <f t="shared" ca="1" si="366"/>
        <v/>
      </c>
      <c r="X2113" s="494" t="s">
        <v>1754</v>
      </c>
      <c r="Y2113" s="547" t="str">
        <f t="shared" ca="1" si="362"/>
        <v/>
      </c>
      <c r="Z2113" s="494" t="s">
        <v>1755</v>
      </c>
      <c r="AA2113" s="547" t="str">
        <f t="shared" ca="1" si="363"/>
        <v/>
      </c>
      <c r="AB2113" s="494" t="s">
        <v>1592</v>
      </c>
      <c r="AC2113" s="547" t="str">
        <f t="shared" ca="1" si="364"/>
        <v/>
      </c>
      <c r="AD2113" s="557"/>
      <c r="AE2113" s="958"/>
    </row>
    <row r="2114" spans="1:31">
      <c r="A2114" s="957" t="str">
        <f t="shared" ca="1" si="357"/>
        <v>24/25</v>
      </c>
      <c r="B2114" s="566" t="s">
        <v>182</v>
      </c>
      <c r="C2114" s="567" t="str">
        <f t="shared" ca="1" si="358"/>
        <v>Green Star - Retail Centre</v>
      </c>
      <c r="D2114" s="958">
        <v>1</v>
      </c>
      <c r="E2114" s="959" t="s">
        <v>335</v>
      </c>
      <c r="F2114" s="558" t="s">
        <v>1455</v>
      </c>
      <c r="G2114" s="558">
        <v>135</v>
      </c>
      <c r="H2114" s="558" t="s">
        <v>1154</v>
      </c>
      <c r="I2114" s="559" t="s">
        <v>1339</v>
      </c>
      <c r="J2114" s="567" t="s">
        <v>1751</v>
      </c>
      <c r="K2114" s="961" t="s">
        <v>1568</v>
      </c>
      <c r="L2114" s="555" t="str">
        <f t="shared" ref="L2114:L2157" ca="1" si="367">IF(AND(INDIRECT(CONCATENATE($J2114,$K2114,5))=$B2114,ISNUMBER(SEARCH("Please",INDIRECT(CONCATENATE($J2114,$K2114,2)),1))=FALSE),SUMPRODUCT(MID(0&amp;INDIRECT(CONCATENATE($J2114,$K2114,2)), LARGE(INDEX(ISNUMBER(--MID(INDIRECT(CONCATENATE($J2114,$K2114,2)), ROW(INDIRECT("1:"&amp;LEN(INDIRECT(CONCATENATE($J2114,$K2114,2))))),1))*ROW(INDIRECT("1:"&amp;LEN(INDIRECT(CONCATENATE($J2114,$K2114,2))))),0), ROW(INDIRECT("1:"&amp;LEN(INDIRECT(CONCATENATE($J2114,$K2114,2))))))+1,1)*10^ROW(INDIRECT("1:"&amp;LEN(INDIRECT(CONCATENATE($J2114,$K2114,2)))))/10),"")</f>
        <v/>
      </c>
      <c r="M2114" s="494" t="s">
        <v>1569</v>
      </c>
      <c r="N2114" s="555" t="str">
        <f t="shared" ca="1" si="359"/>
        <v/>
      </c>
      <c r="O2114" s="494" t="s">
        <v>1570</v>
      </c>
      <c r="P2114" s="555" t="str">
        <f t="shared" ca="1" si="360"/>
        <v/>
      </c>
      <c r="Q2114" s="494" t="s">
        <v>1752</v>
      </c>
      <c r="R2114" s="494" t="str">
        <f t="shared" si="361"/>
        <v>I2114</v>
      </c>
      <c r="S2114" s="494" t="s">
        <v>1756</v>
      </c>
      <c r="T2114" s="494">
        <v>6</v>
      </c>
      <c r="U2114" s="556" t="str">
        <f t="shared" ca="1" si="365"/>
        <v/>
      </c>
      <c r="V2114" s="494">
        <v>7</v>
      </c>
      <c r="W2114" s="556" t="str">
        <f t="shared" ca="1" si="366"/>
        <v/>
      </c>
      <c r="X2114" s="494" t="s">
        <v>1754</v>
      </c>
      <c r="Y2114" s="547" t="str">
        <f t="shared" ca="1" si="362"/>
        <v/>
      </c>
      <c r="Z2114" s="494" t="s">
        <v>1755</v>
      </c>
      <c r="AA2114" s="547" t="str">
        <f t="shared" ca="1" si="363"/>
        <v/>
      </c>
      <c r="AB2114" s="494" t="s">
        <v>1592</v>
      </c>
      <c r="AC2114" s="547" t="str">
        <f t="shared" ca="1" si="364"/>
        <v/>
      </c>
      <c r="AD2114" s="557"/>
      <c r="AE2114" s="958"/>
    </row>
    <row r="2115" spans="1:31">
      <c r="A2115" s="957" t="str">
        <f t="shared" ca="1" si="357"/>
        <v>24/25</v>
      </c>
      <c r="B2115" s="566" t="s">
        <v>182</v>
      </c>
      <c r="C2115" s="567" t="str">
        <f t="shared" ca="1" si="358"/>
        <v>Green Star - Retail Centre</v>
      </c>
      <c r="D2115" s="958">
        <v>1</v>
      </c>
      <c r="E2115" s="959" t="s">
        <v>335</v>
      </c>
      <c r="F2115" s="558" t="s">
        <v>1455</v>
      </c>
      <c r="G2115" s="558">
        <v>135</v>
      </c>
      <c r="H2115" s="558" t="s">
        <v>1154</v>
      </c>
      <c r="I2115" s="559" t="s">
        <v>1340</v>
      </c>
      <c r="J2115" s="567" t="s">
        <v>1751</v>
      </c>
      <c r="K2115" s="961" t="s">
        <v>1568</v>
      </c>
      <c r="L2115" s="555" t="str">
        <f t="shared" ca="1" si="367"/>
        <v/>
      </c>
      <c r="M2115" s="494" t="s">
        <v>1569</v>
      </c>
      <c r="N2115" s="555" t="str">
        <f t="shared" ca="1" si="359"/>
        <v/>
      </c>
      <c r="O2115" s="494" t="s">
        <v>1570</v>
      </c>
      <c r="P2115" s="555" t="str">
        <f t="shared" ca="1" si="360"/>
        <v/>
      </c>
      <c r="Q2115" s="494" t="s">
        <v>1752</v>
      </c>
      <c r="R2115" s="494" t="str">
        <f t="shared" si="361"/>
        <v>I2115</v>
      </c>
      <c r="S2115" s="494" t="s">
        <v>1756</v>
      </c>
      <c r="T2115" s="494">
        <v>6</v>
      </c>
      <c r="U2115" s="556" t="str">
        <f t="shared" ca="1" si="365"/>
        <v/>
      </c>
      <c r="V2115" s="494">
        <v>7</v>
      </c>
      <c r="W2115" s="556" t="str">
        <f t="shared" ca="1" si="366"/>
        <v/>
      </c>
      <c r="X2115" s="494" t="s">
        <v>1754</v>
      </c>
      <c r="Y2115" s="547" t="str">
        <f t="shared" ca="1" si="362"/>
        <v/>
      </c>
      <c r="Z2115" s="494" t="s">
        <v>1755</v>
      </c>
      <c r="AA2115" s="547" t="str">
        <f t="shared" ca="1" si="363"/>
        <v/>
      </c>
      <c r="AB2115" s="494" t="s">
        <v>1592</v>
      </c>
      <c r="AC2115" s="547" t="str">
        <f t="shared" ca="1" si="364"/>
        <v/>
      </c>
      <c r="AD2115" s="557"/>
      <c r="AE2115" s="958"/>
    </row>
    <row r="2116" spans="1:31">
      <c r="A2116" s="957" t="str">
        <f t="shared" ca="1" si="357"/>
        <v>24/25</v>
      </c>
      <c r="B2116" s="566" t="s">
        <v>182</v>
      </c>
      <c r="C2116" s="567" t="str">
        <f t="shared" ca="1" si="358"/>
        <v>Green Star - Retail Centre</v>
      </c>
      <c r="D2116" s="958">
        <v>1</v>
      </c>
      <c r="E2116" s="959" t="s">
        <v>335</v>
      </c>
      <c r="F2116" s="558" t="s">
        <v>1455</v>
      </c>
      <c r="G2116" s="558">
        <v>45</v>
      </c>
      <c r="H2116" s="558" t="s">
        <v>1156</v>
      </c>
      <c r="I2116" s="559" t="s">
        <v>1157</v>
      </c>
      <c r="J2116" s="567" t="s">
        <v>1751</v>
      </c>
      <c r="K2116" s="961" t="s">
        <v>1568</v>
      </c>
      <c r="L2116" s="555" t="str">
        <f t="shared" ca="1" si="367"/>
        <v/>
      </c>
      <c r="M2116" s="494" t="s">
        <v>1569</v>
      </c>
      <c r="N2116" s="555" t="str">
        <f t="shared" ca="1" si="359"/>
        <v/>
      </c>
      <c r="O2116" s="494" t="s">
        <v>1570</v>
      </c>
      <c r="P2116" s="555" t="str">
        <f t="shared" ca="1" si="360"/>
        <v/>
      </c>
      <c r="Q2116" s="494" t="s">
        <v>1752</v>
      </c>
      <c r="R2116" s="494" t="str">
        <f t="shared" si="361"/>
        <v>I2116</v>
      </c>
      <c r="S2116" s="494" t="s">
        <v>1753</v>
      </c>
      <c r="T2116" s="494">
        <v>6</v>
      </c>
      <c r="U2116" s="556" t="str">
        <f t="shared" ca="1" si="365"/>
        <v/>
      </c>
      <c r="V2116" s="494">
        <v>7</v>
      </c>
      <c r="W2116" s="556" t="str">
        <f t="shared" ca="1" si="366"/>
        <v/>
      </c>
      <c r="X2116" s="494" t="s">
        <v>1754</v>
      </c>
      <c r="Y2116" s="547" t="str">
        <f t="shared" ca="1" si="362"/>
        <v/>
      </c>
      <c r="Z2116" s="494" t="s">
        <v>1755</v>
      </c>
      <c r="AA2116" s="547" t="str">
        <f t="shared" ca="1" si="363"/>
        <v/>
      </c>
      <c r="AB2116" s="494" t="s">
        <v>1592</v>
      </c>
      <c r="AC2116" s="547" t="str">
        <f t="shared" ca="1" si="364"/>
        <v/>
      </c>
      <c r="AD2116" s="557"/>
      <c r="AE2116" s="958"/>
    </row>
    <row r="2117" spans="1:31">
      <c r="A2117" s="957" t="str">
        <f t="shared" ca="1" si="357"/>
        <v>24/25</v>
      </c>
      <c r="B2117" s="566" t="s">
        <v>182</v>
      </c>
      <c r="C2117" s="567" t="str">
        <f t="shared" ca="1" si="358"/>
        <v>Green Star - Retail Centre</v>
      </c>
      <c r="D2117" s="958">
        <v>1</v>
      </c>
      <c r="E2117" s="959" t="s">
        <v>335</v>
      </c>
      <c r="F2117" s="558" t="s">
        <v>1455</v>
      </c>
      <c r="G2117" s="558">
        <v>176</v>
      </c>
      <c r="H2117" s="558" t="s">
        <v>1160</v>
      </c>
      <c r="I2117" s="559" t="s">
        <v>1161</v>
      </c>
      <c r="J2117" s="567" t="s">
        <v>1751</v>
      </c>
      <c r="K2117" s="961" t="s">
        <v>1568</v>
      </c>
      <c r="L2117" s="555" t="str">
        <f t="shared" ca="1" si="367"/>
        <v/>
      </c>
      <c r="M2117" s="494" t="s">
        <v>1569</v>
      </c>
      <c r="N2117" s="555" t="str">
        <f t="shared" ca="1" si="359"/>
        <v/>
      </c>
      <c r="O2117" s="494" t="s">
        <v>1570</v>
      </c>
      <c r="P2117" s="555" t="str">
        <f t="shared" ca="1" si="360"/>
        <v/>
      </c>
      <c r="Q2117" s="494" t="s">
        <v>1752</v>
      </c>
      <c r="R2117" s="494" t="str">
        <f t="shared" si="361"/>
        <v>I2117</v>
      </c>
      <c r="S2117" s="494" t="s">
        <v>1753</v>
      </c>
      <c r="T2117" s="494">
        <v>6</v>
      </c>
      <c r="U2117" s="556" t="str">
        <f t="shared" ca="1" si="365"/>
        <v/>
      </c>
      <c r="V2117" s="494">
        <v>7</v>
      </c>
      <c r="W2117" s="556" t="str">
        <f t="shared" ca="1" si="366"/>
        <v/>
      </c>
      <c r="X2117" s="494" t="s">
        <v>1754</v>
      </c>
      <c r="Y2117" s="547" t="str">
        <f t="shared" ca="1" si="362"/>
        <v/>
      </c>
      <c r="Z2117" s="494" t="s">
        <v>1755</v>
      </c>
      <c r="AA2117" s="547" t="str">
        <f t="shared" ca="1" si="363"/>
        <v/>
      </c>
      <c r="AB2117" s="494" t="s">
        <v>1592</v>
      </c>
      <c r="AC2117" s="547" t="str">
        <f t="shared" ca="1" si="364"/>
        <v/>
      </c>
      <c r="AD2117" s="557"/>
      <c r="AE2117" s="958"/>
    </row>
    <row r="2118" spans="1:31">
      <c r="A2118" s="957" t="str">
        <f t="shared" ca="1" si="357"/>
        <v>24/25</v>
      </c>
      <c r="B2118" s="566" t="s">
        <v>182</v>
      </c>
      <c r="C2118" s="567" t="str">
        <f t="shared" ca="1" si="358"/>
        <v>Green Star - Retail Centre</v>
      </c>
      <c r="D2118" s="958">
        <v>1</v>
      </c>
      <c r="E2118" s="959" t="s">
        <v>345</v>
      </c>
      <c r="F2118" s="558" t="s">
        <v>1484</v>
      </c>
      <c r="G2118" s="558">
        <v>50</v>
      </c>
      <c r="H2118" s="558" t="s">
        <v>1164</v>
      </c>
      <c r="I2118" s="559" t="s">
        <v>1165</v>
      </c>
      <c r="J2118" s="567" t="s">
        <v>1751</v>
      </c>
      <c r="K2118" s="961" t="s">
        <v>1568</v>
      </c>
      <c r="L2118" s="555" t="str">
        <f t="shared" ca="1" si="367"/>
        <v/>
      </c>
      <c r="M2118" s="494" t="s">
        <v>1569</v>
      </c>
      <c r="N2118" s="555" t="str">
        <f t="shared" ca="1" si="359"/>
        <v/>
      </c>
      <c r="O2118" s="494" t="s">
        <v>1570</v>
      </c>
      <c r="P2118" s="555" t="str">
        <f t="shared" ca="1" si="360"/>
        <v/>
      </c>
      <c r="Q2118" s="494" t="s">
        <v>1752</v>
      </c>
      <c r="R2118" s="494" t="str">
        <f t="shared" si="361"/>
        <v>I2118</v>
      </c>
      <c r="S2118" s="494" t="s">
        <v>1753</v>
      </c>
      <c r="T2118" s="494">
        <v>6</v>
      </c>
      <c r="U2118" s="556" t="str">
        <f t="shared" ca="1" si="365"/>
        <v/>
      </c>
      <c r="V2118" s="494">
        <v>7</v>
      </c>
      <c r="W2118" s="556" t="str">
        <f t="shared" ca="1" si="366"/>
        <v/>
      </c>
      <c r="X2118" s="494" t="s">
        <v>1754</v>
      </c>
      <c r="Y2118" s="547" t="str">
        <f t="shared" ca="1" si="362"/>
        <v/>
      </c>
      <c r="Z2118" s="494" t="s">
        <v>1755</v>
      </c>
      <c r="AA2118" s="547" t="str">
        <f t="shared" ca="1" si="363"/>
        <v/>
      </c>
      <c r="AB2118" s="494" t="s">
        <v>1592</v>
      </c>
      <c r="AC2118" s="547" t="str">
        <f t="shared" ca="1" si="364"/>
        <v/>
      </c>
      <c r="AD2118" s="557"/>
      <c r="AE2118" s="958"/>
    </row>
    <row r="2119" spans="1:31">
      <c r="A2119" s="957" t="str">
        <f t="shared" ca="1" si="357"/>
        <v>24/25</v>
      </c>
      <c r="B2119" s="566" t="s">
        <v>182</v>
      </c>
      <c r="C2119" s="567" t="str">
        <f t="shared" ca="1" si="358"/>
        <v>Green Star - Retail Centre</v>
      </c>
      <c r="D2119" s="958">
        <v>1</v>
      </c>
      <c r="E2119" s="959" t="s">
        <v>345</v>
      </c>
      <c r="F2119" s="558" t="s">
        <v>1484</v>
      </c>
      <c r="G2119" s="558">
        <v>138</v>
      </c>
      <c r="H2119" s="558" t="s">
        <v>1166</v>
      </c>
      <c r="I2119" s="559" t="s">
        <v>1327</v>
      </c>
      <c r="J2119" s="567" t="s">
        <v>1751</v>
      </c>
      <c r="K2119" s="961" t="s">
        <v>1568</v>
      </c>
      <c r="L2119" s="555" t="str">
        <f t="shared" ca="1" si="367"/>
        <v/>
      </c>
      <c r="M2119" s="494" t="s">
        <v>1569</v>
      </c>
      <c r="N2119" s="555" t="str">
        <f t="shared" ca="1" si="359"/>
        <v/>
      </c>
      <c r="O2119" s="494" t="s">
        <v>1570</v>
      </c>
      <c r="P2119" s="555" t="str">
        <f t="shared" ca="1" si="360"/>
        <v/>
      </c>
      <c r="Q2119" s="494" t="s">
        <v>1752</v>
      </c>
      <c r="R2119" s="494" t="str">
        <f t="shared" si="361"/>
        <v>I2119</v>
      </c>
      <c r="S2119" s="494" t="s">
        <v>1753</v>
      </c>
      <c r="T2119" s="494">
        <v>6</v>
      </c>
      <c r="U2119" s="556" t="str">
        <f t="shared" ca="1" si="365"/>
        <v/>
      </c>
      <c r="V2119" s="494">
        <v>7</v>
      </c>
      <c r="W2119" s="556" t="str">
        <f t="shared" ca="1" si="366"/>
        <v/>
      </c>
      <c r="X2119" s="494" t="s">
        <v>1754</v>
      </c>
      <c r="Y2119" s="547" t="str">
        <f t="shared" ca="1" si="362"/>
        <v/>
      </c>
      <c r="Z2119" s="494" t="s">
        <v>1755</v>
      </c>
      <c r="AA2119" s="547" t="str">
        <f t="shared" ca="1" si="363"/>
        <v/>
      </c>
      <c r="AB2119" s="494" t="s">
        <v>1592</v>
      </c>
      <c r="AC2119" s="547" t="str">
        <f t="shared" ca="1" si="364"/>
        <v/>
      </c>
      <c r="AD2119" s="557"/>
      <c r="AE2119" s="958"/>
    </row>
    <row r="2120" spans="1:31">
      <c r="A2120" s="957" t="str">
        <f t="shared" ca="1" si="357"/>
        <v>24/25</v>
      </c>
      <c r="B2120" s="566" t="s">
        <v>182</v>
      </c>
      <c r="C2120" s="567" t="str">
        <f t="shared" ca="1" si="358"/>
        <v>Green Star - Retail Centre</v>
      </c>
      <c r="D2120" s="958">
        <v>1</v>
      </c>
      <c r="E2120" s="959" t="s">
        <v>345</v>
      </c>
      <c r="F2120" s="558" t="s">
        <v>1484</v>
      </c>
      <c r="G2120" s="558">
        <v>53</v>
      </c>
      <c r="H2120" s="558" t="s">
        <v>1168</v>
      </c>
      <c r="I2120" s="559" t="s">
        <v>1270</v>
      </c>
      <c r="J2120" s="567" t="s">
        <v>1751</v>
      </c>
      <c r="K2120" s="961" t="s">
        <v>1568</v>
      </c>
      <c r="L2120" s="555" t="str">
        <f t="shared" ca="1" si="367"/>
        <v/>
      </c>
      <c r="M2120" s="494" t="s">
        <v>1569</v>
      </c>
      <c r="N2120" s="555" t="str">
        <f t="shared" ca="1" si="359"/>
        <v/>
      </c>
      <c r="O2120" s="494" t="s">
        <v>1570</v>
      </c>
      <c r="P2120" s="555" t="str">
        <f t="shared" ca="1" si="360"/>
        <v/>
      </c>
      <c r="Q2120" s="494" t="s">
        <v>1752</v>
      </c>
      <c r="R2120" s="494" t="str">
        <f t="shared" si="361"/>
        <v>I2120</v>
      </c>
      <c r="S2120" s="494" t="s">
        <v>1756</v>
      </c>
      <c r="T2120" s="494">
        <v>6</v>
      </c>
      <c r="U2120" s="556" t="str">
        <f t="shared" ca="1" si="365"/>
        <v/>
      </c>
      <c r="V2120" s="494">
        <v>7</v>
      </c>
      <c r="W2120" s="556" t="str">
        <f t="shared" ca="1" si="366"/>
        <v/>
      </c>
      <c r="X2120" s="494" t="s">
        <v>1754</v>
      </c>
      <c r="Y2120" s="547" t="str">
        <f t="shared" ca="1" si="362"/>
        <v/>
      </c>
      <c r="Z2120" s="494" t="s">
        <v>1755</v>
      </c>
      <c r="AA2120" s="547" t="str">
        <f t="shared" ca="1" si="363"/>
        <v/>
      </c>
      <c r="AB2120" s="494" t="s">
        <v>1592</v>
      </c>
      <c r="AC2120" s="547" t="str">
        <f t="shared" ca="1" si="364"/>
        <v/>
      </c>
      <c r="AD2120" s="557"/>
      <c r="AE2120" s="958"/>
    </row>
    <row r="2121" spans="1:31">
      <c r="A2121" s="957" t="str">
        <f t="shared" ca="1" si="357"/>
        <v>24/25</v>
      </c>
      <c r="B2121" s="566" t="s">
        <v>182</v>
      </c>
      <c r="C2121" s="567" t="str">
        <f t="shared" ca="1" si="358"/>
        <v>Green Star - Retail Centre</v>
      </c>
      <c r="D2121" s="958">
        <v>1</v>
      </c>
      <c r="E2121" s="959" t="s">
        <v>345</v>
      </c>
      <c r="F2121" s="558" t="s">
        <v>1484</v>
      </c>
      <c r="G2121" s="558">
        <v>53</v>
      </c>
      <c r="H2121" s="558" t="s">
        <v>1168</v>
      </c>
      <c r="I2121" s="559" t="s">
        <v>1171</v>
      </c>
      <c r="J2121" s="567" t="s">
        <v>1751</v>
      </c>
      <c r="K2121" s="961" t="s">
        <v>1568</v>
      </c>
      <c r="L2121" s="555" t="str">
        <f t="shared" ca="1" si="367"/>
        <v/>
      </c>
      <c r="M2121" s="494" t="s">
        <v>1569</v>
      </c>
      <c r="N2121" s="555" t="str">
        <f t="shared" ca="1" si="359"/>
        <v/>
      </c>
      <c r="O2121" s="494" t="s">
        <v>1570</v>
      </c>
      <c r="P2121" s="555" t="str">
        <f t="shared" ca="1" si="360"/>
        <v/>
      </c>
      <c r="Q2121" s="494" t="s">
        <v>1752</v>
      </c>
      <c r="R2121" s="494" t="str">
        <f t="shared" si="361"/>
        <v>I2121</v>
      </c>
      <c r="S2121" s="494" t="s">
        <v>1756</v>
      </c>
      <c r="T2121" s="494">
        <v>6</v>
      </c>
      <c r="U2121" s="556" t="str">
        <f t="shared" ca="1" si="365"/>
        <v/>
      </c>
      <c r="V2121" s="494">
        <v>7</v>
      </c>
      <c r="W2121" s="556" t="str">
        <f t="shared" ca="1" si="366"/>
        <v/>
      </c>
      <c r="X2121" s="494" t="s">
        <v>1754</v>
      </c>
      <c r="Y2121" s="547" t="str">
        <f t="shared" ca="1" si="362"/>
        <v/>
      </c>
      <c r="Z2121" s="494" t="s">
        <v>1755</v>
      </c>
      <c r="AA2121" s="547" t="str">
        <f t="shared" ca="1" si="363"/>
        <v/>
      </c>
      <c r="AB2121" s="494" t="s">
        <v>1592</v>
      </c>
      <c r="AC2121" s="547" t="str">
        <f t="shared" ca="1" si="364"/>
        <v/>
      </c>
      <c r="AD2121" s="557"/>
      <c r="AE2121" s="958"/>
    </row>
    <row r="2122" spans="1:31">
      <c r="A2122" s="957" t="str">
        <f t="shared" ca="1" si="357"/>
        <v>24/25</v>
      </c>
      <c r="B2122" s="566" t="s">
        <v>182</v>
      </c>
      <c r="C2122" s="567" t="str">
        <f t="shared" ca="1" si="358"/>
        <v>Green Star - Retail Centre</v>
      </c>
      <c r="D2122" s="958">
        <v>1</v>
      </c>
      <c r="E2122" s="959" t="s">
        <v>345</v>
      </c>
      <c r="F2122" s="558" t="s">
        <v>1484</v>
      </c>
      <c r="G2122" s="558">
        <v>139</v>
      </c>
      <c r="H2122" s="558" t="s">
        <v>1172</v>
      </c>
      <c r="I2122" s="559" t="s">
        <v>985</v>
      </c>
      <c r="J2122" s="567" t="s">
        <v>1751</v>
      </c>
      <c r="K2122" s="961" t="s">
        <v>1568</v>
      </c>
      <c r="L2122" s="555" t="str">
        <f t="shared" ca="1" si="367"/>
        <v/>
      </c>
      <c r="M2122" s="494" t="s">
        <v>1569</v>
      </c>
      <c r="N2122" s="555" t="str">
        <f t="shared" ref="N2122:N2157" ca="1" si="368">IF(AND(INDIRECT(CONCATENATE($J2122,$K2122,5))=$B2122,ISNUMBER(SEARCH("Select",INDIRECT(CONCATENATE($J2122,$M2122,6)),1))=FALSE),INDIRECT(CONCATENATE($J2122,$M2122,6)),"")</f>
        <v/>
      </c>
      <c r="O2122" s="494" t="s">
        <v>1570</v>
      </c>
      <c r="P2122" s="555" t="str">
        <f t="shared" ref="P2122:P2157" ca="1" si="369">IF(AND(INDIRECT(CONCATENATE($J2122,$K2122,5))=$B2122,ISNUMBER(SEARCH("Select",INDIRECT(CONCATENATE($J2122,$O2122,6)),1))=FALSE),INDIRECT(CONCATENATE($J2122,$O2122,6)),"")</f>
        <v/>
      </c>
      <c r="Q2122" s="494" t="s">
        <v>1752</v>
      </c>
      <c r="R2122" s="494" t="str">
        <f t="shared" si="361"/>
        <v>I2122</v>
      </c>
      <c r="S2122" s="494" t="s">
        <v>1753</v>
      </c>
      <c r="T2122" s="494">
        <v>6</v>
      </c>
      <c r="U2122" s="556" t="str">
        <f t="shared" ca="1" si="365"/>
        <v/>
      </c>
      <c r="V2122" s="494">
        <v>7</v>
      </c>
      <c r="W2122" s="556" t="str">
        <f t="shared" ca="1" si="366"/>
        <v/>
      </c>
      <c r="X2122" s="494" t="s">
        <v>1754</v>
      </c>
      <c r="Y2122" s="547" t="str">
        <f t="shared" ref="Y2122:Y2153" ca="1" si="370">IF(AND(INDIRECT(CONCATENATE($J2122,$K2122,5))=$B2122,ISBLANK(INDIRECT(CONCATENATE($J2122,X2122)))=FALSE),INDIRECT(CONCATENATE($J2122,X2122)),"")</f>
        <v/>
      </c>
      <c r="Z2122" s="494" t="s">
        <v>1755</v>
      </c>
      <c r="AA2122" s="547" t="str">
        <f t="shared" ref="AA2122:AA2153" ca="1" si="371">IF(AND(INDIRECT(CONCATENATE($J2122,$K2122,5))=$B2122,ISBLANK(INDIRECT(CONCATENATE($J2122,Z2122)))=FALSE),INDIRECT(CONCATENATE($J2122,Z2122)),"")</f>
        <v/>
      </c>
      <c r="AB2122" s="494" t="s">
        <v>1592</v>
      </c>
      <c r="AC2122" s="547" t="str">
        <f t="shared" ca="1" si="364"/>
        <v/>
      </c>
      <c r="AD2122" s="557"/>
      <c r="AE2122" s="958"/>
    </row>
    <row r="2123" spans="1:31">
      <c r="A2123" s="957" t="str">
        <f t="shared" ca="1" si="357"/>
        <v>24/25</v>
      </c>
      <c r="B2123" s="566" t="s">
        <v>182</v>
      </c>
      <c r="C2123" s="567" t="str">
        <f t="shared" ca="1" si="358"/>
        <v>Green Star - Retail Centre</v>
      </c>
      <c r="D2123" s="958">
        <v>1</v>
      </c>
      <c r="E2123" s="959" t="s">
        <v>345</v>
      </c>
      <c r="F2123" s="558" t="s">
        <v>1484</v>
      </c>
      <c r="G2123" s="558">
        <v>161</v>
      </c>
      <c r="H2123" s="558" t="s">
        <v>1341</v>
      </c>
      <c r="I2123" s="559" t="s">
        <v>1342</v>
      </c>
      <c r="J2123" s="567" t="s">
        <v>1751</v>
      </c>
      <c r="K2123" s="961" t="s">
        <v>1568</v>
      </c>
      <c r="L2123" s="555" t="str">
        <f t="shared" ca="1" si="367"/>
        <v/>
      </c>
      <c r="M2123" s="494" t="s">
        <v>1569</v>
      </c>
      <c r="N2123" s="555" t="str">
        <f t="shared" ca="1" si="368"/>
        <v/>
      </c>
      <c r="O2123" s="494" t="s">
        <v>1570</v>
      </c>
      <c r="P2123" s="555" t="str">
        <f t="shared" ca="1" si="369"/>
        <v/>
      </c>
      <c r="Q2123" s="494" t="s">
        <v>1752</v>
      </c>
      <c r="R2123" s="494" t="str">
        <f t="shared" si="361"/>
        <v>I2123</v>
      </c>
      <c r="S2123" s="494" t="s">
        <v>1753</v>
      </c>
      <c r="T2123" s="494">
        <v>6</v>
      </c>
      <c r="U2123" s="556" t="str">
        <f t="shared" ca="1" si="365"/>
        <v/>
      </c>
      <c r="V2123" s="494">
        <v>7</v>
      </c>
      <c r="W2123" s="556" t="str">
        <f t="shared" ca="1" si="366"/>
        <v/>
      </c>
      <c r="X2123" s="494" t="s">
        <v>1754</v>
      </c>
      <c r="Y2123" s="547" t="str">
        <f t="shared" ca="1" si="370"/>
        <v/>
      </c>
      <c r="Z2123" s="494" t="s">
        <v>1755</v>
      </c>
      <c r="AA2123" s="547" t="str">
        <f t="shared" ca="1" si="371"/>
        <v/>
      </c>
      <c r="AB2123" s="494" t="s">
        <v>1592</v>
      </c>
      <c r="AC2123" s="547" t="str">
        <f t="shared" ca="1" si="364"/>
        <v/>
      </c>
      <c r="AD2123" s="557"/>
      <c r="AE2123" s="958"/>
    </row>
    <row r="2124" spans="1:31">
      <c r="A2124" s="957" t="str">
        <f t="shared" ca="1" si="357"/>
        <v>24/25</v>
      </c>
      <c r="B2124" s="566" t="s">
        <v>182</v>
      </c>
      <c r="C2124" s="567" t="str">
        <f t="shared" ca="1" si="358"/>
        <v>Green Star - Retail Centre</v>
      </c>
      <c r="D2124" s="958">
        <v>1</v>
      </c>
      <c r="E2124" s="959" t="s">
        <v>353</v>
      </c>
      <c r="F2124" s="558" t="s">
        <v>1486</v>
      </c>
      <c r="G2124" s="558">
        <v>140</v>
      </c>
      <c r="H2124" s="558" t="s">
        <v>1175</v>
      </c>
      <c r="I2124" s="559" t="s">
        <v>1176</v>
      </c>
      <c r="J2124" s="567" t="s">
        <v>1751</v>
      </c>
      <c r="K2124" s="961" t="s">
        <v>1568</v>
      </c>
      <c r="L2124" s="555" t="str">
        <f t="shared" ca="1" si="367"/>
        <v/>
      </c>
      <c r="M2124" s="494" t="s">
        <v>1569</v>
      </c>
      <c r="N2124" s="555" t="str">
        <f t="shared" ca="1" si="368"/>
        <v/>
      </c>
      <c r="O2124" s="494" t="s">
        <v>1570</v>
      </c>
      <c r="P2124" s="555" t="str">
        <f t="shared" ca="1" si="369"/>
        <v/>
      </c>
      <c r="Q2124" s="494" t="s">
        <v>1752</v>
      </c>
      <c r="R2124" s="494" t="str">
        <f t="shared" si="361"/>
        <v>I2124</v>
      </c>
      <c r="S2124" s="494" t="s">
        <v>1753</v>
      </c>
      <c r="T2124" s="494">
        <v>6</v>
      </c>
      <c r="U2124" s="556" t="str">
        <f t="shared" ca="1" si="365"/>
        <v/>
      </c>
      <c r="V2124" s="494">
        <v>7</v>
      </c>
      <c r="W2124" s="556" t="str">
        <f t="shared" ca="1" si="366"/>
        <v/>
      </c>
      <c r="X2124" s="494" t="s">
        <v>1754</v>
      </c>
      <c r="Y2124" s="547" t="str">
        <f t="shared" ca="1" si="370"/>
        <v/>
      </c>
      <c r="Z2124" s="494" t="s">
        <v>1755</v>
      </c>
      <c r="AA2124" s="547" t="str">
        <f t="shared" ca="1" si="371"/>
        <v/>
      </c>
      <c r="AB2124" s="494" t="s">
        <v>1592</v>
      </c>
      <c r="AC2124" s="547" t="str">
        <f t="shared" ca="1" si="364"/>
        <v/>
      </c>
      <c r="AD2124" s="557"/>
      <c r="AE2124" s="958"/>
    </row>
    <row r="2125" spans="1:31">
      <c r="A2125" s="957" t="str">
        <f t="shared" ca="1" si="357"/>
        <v>24/25</v>
      </c>
      <c r="B2125" s="566" t="s">
        <v>182</v>
      </c>
      <c r="C2125" s="567" t="str">
        <f t="shared" ca="1" si="358"/>
        <v>Green Star - Retail Centre</v>
      </c>
      <c r="D2125" s="958">
        <v>1</v>
      </c>
      <c r="E2125" s="959" t="s">
        <v>353</v>
      </c>
      <c r="F2125" s="558" t="s">
        <v>1486</v>
      </c>
      <c r="G2125" s="558">
        <v>68</v>
      </c>
      <c r="H2125" s="558" t="s">
        <v>1177</v>
      </c>
      <c r="I2125" s="559" t="s">
        <v>1178</v>
      </c>
      <c r="J2125" s="567" t="s">
        <v>1751</v>
      </c>
      <c r="K2125" s="961" t="s">
        <v>1568</v>
      </c>
      <c r="L2125" s="555" t="str">
        <f t="shared" ca="1" si="367"/>
        <v/>
      </c>
      <c r="M2125" s="494" t="s">
        <v>1569</v>
      </c>
      <c r="N2125" s="555" t="str">
        <f t="shared" ca="1" si="368"/>
        <v/>
      </c>
      <c r="O2125" s="494" t="s">
        <v>1570</v>
      </c>
      <c r="P2125" s="555" t="str">
        <f t="shared" ca="1" si="369"/>
        <v/>
      </c>
      <c r="Q2125" s="494" t="s">
        <v>1752</v>
      </c>
      <c r="R2125" s="494" t="str">
        <f t="shared" si="361"/>
        <v>I2125</v>
      </c>
      <c r="S2125" s="494" t="s">
        <v>1753</v>
      </c>
      <c r="T2125" s="494">
        <v>6</v>
      </c>
      <c r="U2125" s="556" t="str">
        <f t="shared" ca="1" si="365"/>
        <v/>
      </c>
      <c r="V2125" s="494">
        <v>7</v>
      </c>
      <c r="W2125" s="556" t="str">
        <f t="shared" ca="1" si="366"/>
        <v/>
      </c>
      <c r="X2125" s="494" t="s">
        <v>1754</v>
      </c>
      <c r="Y2125" s="547" t="str">
        <f t="shared" ca="1" si="370"/>
        <v/>
      </c>
      <c r="Z2125" s="494" t="s">
        <v>1755</v>
      </c>
      <c r="AA2125" s="547" t="str">
        <f t="shared" ca="1" si="371"/>
        <v/>
      </c>
      <c r="AB2125" s="494" t="s">
        <v>1592</v>
      </c>
      <c r="AC2125" s="547" t="str">
        <f t="shared" ca="1" si="364"/>
        <v/>
      </c>
      <c r="AD2125" s="557"/>
      <c r="AE2125" s="958"/>
    </row>
    <row r="2126" spans="1:31">
      <c r="A2126" s="957" t="str">
        <f t="shared" ca="1" si="357"/>
        <v>24/25</v>
      </c>
      <c r="B2126" s="566" t="s">
        <v>182</v>
      </c>
      <c r="C2126" s="567" t="str">
        <f t="shared" ca="1" si="358"/>
        <v>Green Star - Retail Centre</v>
      </c>
      <c r="D2126" s="958">
        <v>1</v>
      </c>
      <c r="E2126" s="959" t="s">
        <v>353</v>
      </c>
      <c r="F2126" s="558" t="s">
        <v>1486</v>
      </c>
      <c r="G2126" s="558">
        <v>141</v>
      </c>
      <c r="H2126" s="558" t="s">
        <v>1179</v>
      </c>
      <c r="I2126" s="559" t="s">
        <v>364</v>
      </c>
      <c r="J2126" s="567" t="s">
        <v>1751</v>
      </c>
      <c r="K2126" s="961" t="s">
        <v>1568</v>
      </c>
      <c r="L2126" s="555" t="str">
        <f t="shared" ca="1" si="367"/>
        <v/>
      </c>
      <c r="M2126" s="494" t="s">
        <v>1569</v>
      </c>
      <c r="N2126" s="555" t="str">
        <f t="shared" ca="1" si="368"/>
        <v/>
      </c>
      <c r="O2126" s="494" t="s">
        <v>1570</v>
      </c>
      <c r="P2126" s="555" t="str">
        <f t="shared" ca="1" si="369"/>
        <v/>
      </c>
      <c r="Q2126" s="494" t="s">
        <v>1752</v>
      </c>
      <c r="R2126" s="494" t="str">
        <f t="shared" si="361"/>
        <v>I2126</v>
      </c>
      <c r="S2126" s="494" t="s">
        <v>1753</v>
      </c>
      <c r="T2126" s="494">
        <v>6</v>
      </c>
      <c r="U2126" s="556" t="str">
        <f t="shared" ca="1" si="365"/>
        <v/>
      </c>
      <c r="V2126" s="494">
        <v>7</v>
      </c>
      <c r="W2126" s="556" t="str">
        <f t="shared" ca="1" si="366"/>
        <v/>
      </c>
      <c r="X2126" s="494" t="s">
        <v>1754</v>
      </c>
      <c r="Y2126" s="547" t="str">
        <f t="shared" ca="1" si="370"/>
        <v/>
      </c>
      <c r="Z2126" s="494" t="s">
        <v>1755</v>
      </c>
      <c r="AA2126" s="547" t="str">
        <f t="shared" ca="1" si="371"/>
        <v/>
      </c>
      <c r="AB2126" s="494" t="s">
        <v>1592</v>
      </c>
      <c r="AC2126" s="547" t="str">
        <f t="shared" ca="1" si="364"/>
        <v/>
      </c>
      <c r="AD2126" s="557"/>
      <c r="AE2126" s="958"/>
    </row>
    <row r="2127" spans="1:31">
      <c r="A2127" s="957" t="str">
        <f t="shared" ca="1" si="357"/>
        <v>24/25</v>
      </c>
      <c r="B2127" s="566" t="s">
        <v>182</v>
      </c>
      <c r="C2127" s="567" t="str">
        <f t="shared" ca="1" si="358"/>
        <v>Green Star - Retail Centre</v>
      </c>
      <c r="D2127" s="958">
        <v>1</v>
      </c>
      <c r="E2127" s="959" t="s">
        <v>353</v>
      </c>
      <c r="F2127" s="558" t="s">
        <v>1486</v>
      </c>
      <c r="G2127" s="558">
        <v>142</v>
      </c>
      <c r="H2127" s="558" t="s">
        <v>1180</v>
      </c>
      <c r="I2127" s="559" t="s">
        <v>1181</v>
      </c>
      <c r="J2127" s="567" t="s">
        <v>1751</v>
      </c>
      <c r="K2127" s="961" t="s">
        <v>1568</v>
      </c>
      <c r="L2127" s="555" t="str">
        <f t="shared" ca="1" si="367"/>
        <v/>
      </c>
      <c r="M2127" s="494" t="s">
        <v>1569</v>
      </c>
      <c r="N2127" s="555" t="str">
        <f t="shared" ca="1" si="368"/>
        <v/>
      </c>
      <c r="O2127" s="494" t="s">
        <v>1570</v>
      </c>
      <c r="P2127" s="555" t="str">
        <f t="shared" ca="1" si="369"/>
        <v/>
      </c>
      <c r="Q2127" s="494" t="s">
        <v>1752</v>
      </c>
      <c r="R2127" s="494" t="str">
        <f t="shared" si="361"/>
        <v>I2127</v>
      </c>
      <c r="S2127" s="494" t="s">
        <v>1753</v>
      </c>
      <c r="T2127" s="494">
        <v>6</v>
      </c>
      <c r="U2127" s="556" t="str">
        <f t="shared" ca="1" si="365"/>
        <v/>
      </c>
      <c r="V2127" s="494">
        <v>7</v>
      </c>
      <c r="W2127" s="556" t="str">
        <f t="shared" ca="1" si="366"/>
        <v/>
      </c>
      <c r="X2127" s="494" t="s">
        <v>1754</v>
      </c>
      <c r="Y2127" s="547" t="str">
        <f t="shared" ca="1" si="370"/>
        <v/>
      </c>
      <c r="Z2127" s="494" t="s">
        <v>1755</v>
      </c>
      <c r="AA2127" s="547" t="str">
        <f t="shared" ca="1" si="371"/>
        <v/>
      </c>
      <c r="AB2127" s="494" t="s">
        <v>1592</v>
      </c>
      <c r="AC2127" s="547" t="str">
        <f t="shared" ca="1" si="364"/>
        <v/>
      </c>
      <c r="AD2127" s="557"/>
      <c r="AE2127" s="958"/>
    </row>
    <row r="2128" spans="1:31">
      <c r="A2128" s="957" t="str">
        <f t="shared" ca="1" si="357"/>
        <v>24/25</v>
      </c>
      <c r="B2128" s="566" t="s">
        <v>182</v>
      </c>
      <c r="C2128" s="567" t="str">
        <f t="shared" ca="1" si="358"/>
        <v>Green Star - Retail Centre</v>
      </c>
      <c r="D2128" s="958">
        <v>1</v>
      </c>
      <c r="E2128" s="959" t="s">
        <v>353</v>
      </c>
      <c r="F2128" s="558" t="s">
        <v>1486</v>
      </c>
      <c r="G2128" s="558">
        <v>213</v>
      </c>
      <c r="H2128" s="558" t="s">
        <v>1182</v>
      </c>
      <c r="I2128" s="559" t="s">
        <v>1183</v>
      </c>
      <c r="J2128" s="567" t="s">
        <v>1751</v>
      </c>
      <c r="K2128" s="961" t="s">
        <v>1568</v>
      </c>
      <c r="L2128" s="555" t="str">
        <f t="shared" ca="1" si="367"/>
        <v/>
      </c>
      <c r="M2128" s="494" t="s">
        <v>1569</v>
      </c>
      <c r="N2128" s="555" t="str">
        <f t="shared" ca="1" si="368"/>
        <v/>
      </c>
      <c r="O2128" s="494" t="s">
        <v>1570</v>
      </c>
      <c r="P2128" s="555" t="str">
        <f t="shared" ca="1" si="369"/>
        <v/>
      </c>
      <c r="Q2128" s="494" t="s">
        <v>1752</v>
      </c>
      <c r="R2128" s="494" t="str">
        <f t="shared" si="361"/>
        <v>I2128</v>
      </c>
      <c r="S2128" s="494" t="s">
        <v>1753</v>
      </c>
      <c r="T2128" s="494">
        <v>6</v>
      </c>
      <c r="U2128" s="556" t="str">
        <f t="shared" ca="1" si="365"/>
        <v/>
      </c>
      <c r="V2128" s="494">
        <v>7</v>
      </c>
      <c r="W2128" s="556" t="str">
        <f t="shared" ca="1" si="366"/>
        <v/>
      </c>
      <c r="X2128" s="494" t="s">
        <v>1754</v>
      </c>
      <c r="Y2128" s="547" t="str">
        <f t="shared" ca="1" si="370"/>
        <v/>
      </c>
      <c r="Z2128" s="494" t="s">
        <v>1755</v>
      </c>
      <c r="AA2128" s="547" t="str">
        <f t="shared" ca="1" si="371"/>
        <v/>
      </c>
      <c r="AB2128" s="494" t="s">
        <v>1592</v>
      </c>
      <c r="AC2128" s="547" t="str">
        <f t="shared" ca="1" si="364"/>
        <v/>
      </c>
      <c r="AD2128" s="557"/>
      <c r="AE2128" s="958"/>
    </row>
    <row r="2129" spans="1:31">
      <c r="A2129" s="957" t="str">
        <f t="shared" ca="1" si="357"/>
        <v>24/25</v>
      </c>
      <c r="B2129" s="566" t="s">
        <v>182</v>
      </c>
      <c r="C2129" s="567" t="str">
        <f t="shared" ca="1" si="358"/>
        <v>Green Star - Retail Centre</v>
      </c>
      <c r="D2129" s="958">
        <v>1</v>
      </c>
      <c r="E2129" s="959" t="s">
        <v>367</v>
      </c>
      <c r="F2129" s="558" t="s">
        <v>1488</v>
      </c>
      <c r="G2129" s="558">
        <v>46</v>
      </c>
      <c r="H2129" s="558" t="s">
        <v>1186</v>
      </c>
      <c r="I2129" s="559" t="s">
        <v>1187</v>
      </c>
      <c r="J2129" s="567" t="s">
        <v>1751</v>
      </c>
      <c r="K2129" s="961" t="s">
        <v>1568</v>
      </c>
      <c r="L2129" s="555" t="str">
        <f t="shared" ca="1" si="367"/>
        <v/>
      </c>
      <c r="M2129" s="494" t="s">
        <v>1569</v>
      </c>
      <c r="N2129" s="555" t="str">
        <f t="shared" ca="1" si="368"/>
        <v/>
      </c>
      <c r="O2129" s="494" t="s">
        <v>1570</v>
      </c>
      <c r="P2129" s="555" t="str">
        <f t="shared" ca="1" si="369"/>
        <v/>
      </c>
      <c r="Q2129" s="494" t="s">
        <v>1752</v>
      </c>
      <c r="R2129" s="494" t="str">
        <f t="shared" si="361"/>
        <v>I2129</v>
      </c>
      <c r="S2129" s="494" t="s">
        <v>1753</v>
      </c>
      <c r="T2129" s="494">
        <v>6</v>
      </c>
      <c r="U2129" s="556" t="str">
        <f t="shared" ca="1" si="365"/>
        <v/>
      </c>
      <c r="V2129" s="494">
        <v>7</v>
      </c>
      <c r="W2129" s="556" t="str">
        <f t="shared" ca="1" si="366"/>
        <v/>
      </c>
      <c r="X2129" s="494" t="s">
        <v>1754</v>
      </c>
      <c r="Y2129" s="547" t="str">
        <f t="shared" ca="1" si="370"/>
        <v/>
      </c>
      <c r="Z2129" s="494" t="s">
        <v>1755</v>
      </c>
      <c r="AA2129" s="547" t="str">
        <f t="shared" ca="1" si="371"/>
        <v/>
      </c>
      <c r="AB2129" s="494" t="s">
        <v>1592</v>
      </c>
      <c r="AC2129" s="547" t="str">
        <f t="shared" ca="1" si="364"/>
        <v/>
      </c>
      <c r="AD2129" s="557"/>
      <c r="AE2129" s="958"/>
    </row>
    <row r="2130" spans="1:31">
      <c r="A2130" s="957" t="str">
        <f t="shared" ca="1" si="357"/>
        <v>24/25</v>
      </c>
      <c r="B2130" s="566" t="s">
        <v>182</v>
      </c>
      <c r="C2130" s="567" t="str">
        <f t="shared" ca="1" si="358"/>
        <v>Green Star - Retail Centre</v>
      </c>
      <c r="D2130" s="958">
        <v>1</v>
      </c>
      <c r="E2130" s="959" t="s">
        <v>367</v>
      </c>
      <c r="F2130" s="558" t="s">
        <v>1488</v>
      </c>
      <c r="G2130" s="558">
        <v>143</v>
      </c>
      <c r="H2130" s="558" t="s">
        <v>1188</v>
      </c>
      <c r="I2130" s="559" t="s">
        <v>1189</v>
      </c>
      <c r="J2130" s="567" t="s">
        <v>1751</v>
      </c>
      <c r="K2130" s="961" t="s">
        <v>1568</v>
      </c>
      <c r="L2130" s="555" t="str">
        <f t="shared" ca="1" si="367"/>
        <v/>
      </c>
      <c r="M2130" s="494" t="s">
        <v>1569</v>
      </c>
      <c r="N2130" s="555" t="str">
        <f t="shared" ca="1" si="368"/>
        <v/>
      </c>
      <c r="O2130" s="494" t="s">
        <v>1570</v>
      </c>
      <c r="P2130" s="555" t="str">
        <f t="shared" ca="1" si="369"/>
        <v/>
      </c>
      <c r="Q2130" s="494" t="s">
        <v>1752</v>
      </c>
      <c r="R2130" s="494" t="str">
        <f t="shared" si="361"/>
        <v>I2130</v>
      </c>
      <c r="S2130" s="494" t="s">
        <v>1756</v>
      </c>
      <c r="T2130" s="494">
        <v>6</v>
      </c>
      <c r="U2130" s="556" t="str">
        <f t="shared" ca="1" si="365"/>
        <v/>
      </c>
      <c r="V2130" s="494">
        <v>7</v>
      </c>
      <c r="W2130" s="556" t="str">
        <f t="shared" ca="1" si="366"/>
        <v/>
      </c>
      <c r="X2130" s="494" t="s">
        <v>1754</v>
      </c>
      <c r="Y2130" s="547" t="str">
        <f t="shared" ca="1" si="370"/>
        <v/>
      </c>
      <c r="Z2130" s="494" t="s">
        <v>1755</v>
      </c>
      <c r="AA2130" s="547" t="str">
        <f t="shared" ca="1" si="371"/>
        <v/>
      </c>
      <c r="AB2130" s="494" t="s">
        <v>1592</v>
      </c>
      <c r="AC2130" s="547" t="str">
        <f t="shared" ca="1" si="364"/>
        <v/>
      </c>
      <c r="AD2130" s="557"/>
      <c r="AE2130" s="958"/>
    </row>
    <row r="2131" spans="1:31">
      <c r="A2131" s="957" t="str">
        <f t="shared" ca="1" si="357"/>
        <v>24/25</v>
      </c>
      <c r="B2131" s="566" t="s">
        <v>182</v>
      </c>
      <c r="C2131" s="567" t="str">
        <f t="shared" ca="1" si="358"/>
        <v>Green Star - Retail Centre</v>
      </c>
      <c r="D2131" s="958">
        <v>1</v>
      </c>
      <c r="E2131" s="959" t="s">
        <v>367</v>
      </c>
      <c r="F2131" s="558" t="s">
        <v>1488</v>
      </c>
      <c r="G2131" s="558">
        <v>143</v>
      </c>
      <c r="H2131" s="558" t="s">
        <v>1188</v>
      </c>
      <c r="I2131" s="559" t="s">
        <v>1343</v>
      </c>
      <c r="J2131" s="567" t="s">
        <v>1751</v>
      </c>
      <c r="K2131" s="961" t="s">
        <v>1568</v>
      </c>
      <c r="L2131" s="555" t="str">
        <f t="shared" ca="1" si="367"/>
        <v/>
      </c>
      <c r="M2131" s="494" t="s">
        <v>1569</v>
      </c>
      <c r="N2131" s="555" t="str">
        <f t="shared" ca="1" si="368"/>
        <v/>
      </c>
      <c r="O2131" s="494" t="s">
        <v>1570</v>
      </c>
      <c r="P2131" s="555" t="str">
        <f t="shared" ca="1" si="369"/>
        <v/>
      </c>
      <c r="Q2131" s="494" t="s">
        <v>1752</v>
      </c>
      <c r="R2131" s="494" t="str">
        <f t="shared" si="361"/>
        <v>I2131</v>
      </c>
      <c r="S2131" s="494" t="s">
        <v>1756</v>
      </c>
      <c r="T2131" s="494">
        <v>6</v>
      </c>
      <c r="U2131" s="556" t="str">
        <f t="shared" ca="1" si="365"/>
        <v/>
      </c>
      <c r="V2131" s="494">
        <v>7</v>
      </c>
      <c r="W2131" s="556" t="str">
        <f t="shared" ca="1" si="366"/>
        <v/>
      </c>
      <c r="X2131" s="494" t="s">
        <v>1754</v>
      </c>
      <c r="Y2131" s="547" t="str">
        <f t="shared" ca="1" si="370"/>
        <v/>
      </c>
      <c r="Z2131" s="494" t="s">
        <v>1755</v>
      </c>
      <c r="AA2131" s="547" t="str">
        <f t="shared" ca="1" si="371"/>
        <v/>
      </c>
      <c r="AB2131" s="494" t="s">
        <v>1592</v>
      </c>
      <c r="AC2131" s="547" t="str">
        <f t="shared" ref="AC2131:AC2157" ca="1" si="372">IF(AND(INDIRECT(CONCATENATE($J2131,$K2131,"5"))=$B2131,ISBLANK(INDIRECT(CONCATENATE($J2131,AB2131)))=FALSE),INDIRECT(CONCATENATE($J2131,AB2131)),"")</f>
        <v/>
      </c>
      <c r="AD2131" s="557"/>
      <c r="AE2131" s="958"/>
    </row>
    <row r="2132" spans="1:31">
      <c r="A2132" s="957" t="str">
        <f t="shared" ca="1" si="357"/>
        <v>24/25</v>
      </c>
      <c r="B2132" s="566" t="s">
        <v>182</v>
      </c>
      <c r="C2132" s="567" t="str">
        <f t="shared" ca="1" si="358"/>
        <v>Green Star - Retail Centre</v>
      </c>
      <c r="D2132" s="958">
        <v>1</v>
      </c>
      <c r="E2132" s="959" t="s">
        <v>367</v>
      </c>
      <c r="F2132" s="558" t="s">
        <v>1488</v>
      </c>
      <c r="G2132" s="558">
        <v>182</v>
      </c>
      <c r="H2132" s="558" t="s">
        <v>1191</v>
      </c>
      <c r="I2132" s="559" t="s">
        <v>1344</v>
      </c>
      <c r="J2132" s="567" t="s">
        <v>1751</v>
      </c>
      <c r="K2132" s="961" t="s">
        <v>1568</v>
      </c>
      <c r="L2132" s="555" t="str">
        <f t="shared" ca="1" si="367"/>
        <v/>
      </c>
      <c r="M2132" s="494" t="s">
        <v>1569</v>
      </c>
      <c r="N2132" s="555" t="str">
        <f t="shared" ca="1" si="368"/>
        <v/>
      </c>
      <c r="O2132" s="494" t="s">
        <v>1570</v>
      </c>
      <c r="P2132" s="555" t="str">
        <f t="shared" ca="1" si="369"/>
        <v/>
      </c>
      <c r="Q2132" s="494" t="s">
        <v>1752</v>
      </c>
      <c r="R2132" s="494" t="str">
        <f t="shared" si="361"/>
        <v>I2132</v>
      </c>
      <c r="S2132" s="494" t="s">
        <v>1753</v>
      </c>
      <c r="T2132" s="494">
        <v>6</v>
      </c>
      <c r="U2132" s="556" t="str">
        <f t="shared" ca="1" si="365"/>
        <v/>
      </c>
      <c r="V2132" s="494">
        <v>7</v>
      </c>
      <c r="W2132" s="556" t="str">
        <f t="shared" ca="1" si="366"/>
        <v/>
      </c>
      <c r="X2132" s="494" t="s">
        <v>1754</v>
      </c>
      <c r="Y2132" s="547" t="str">
        <f t="shared" ca="1" si="370"/>
        <v/>
      </c>
      <c r="Z2132" s="494" t="s">
        <v>1755</v>
      </c>
      <c r="AA2132" s="547" t="str">
        <f t="shared" ca="1" si="371"/>
        <v/>
      </c>
      <c r="AB2132" s="494" t="s">
        <v>1592</v>
      </c>
      <c r="AC2132" s="547" t="str">
        <f t="shared" ca="1" si="372"/>
        <v/>
      </c>
      <c r="AD2132" s="557"/>
      <c r="AE2132" s="958"/>
    </row>
    <row r="2133" spans="1:31">
      <c r="A2133" s="957" t="str">
        <f t="shared" ca="1" si="357"/>
        <v>24/25</v>
      </c>
      <c r="B2133" s="566" t="s">
        <v>182</v>
      </c>
      <c r="C2133" s="567" t="str">
        <f t="shared" ca="1" si="358"/>
        <v>Green Star - Retail Centre</v>
      </c>
      <c r="D2133" s="958">
        <v>1</v>
      </c>
      <c r="E2133" s="959" t="s">
        <v>367</v>
      </c>
      <c r="F2133" s="558" t="s">
        <v>1488</v>
      </c>
      <c r="G2133" s="558">
        <v>145</v>
      </c>
      <c r="H2133" s="558" t="s">
        <v>1193</v>
      </c>
      <c r="I2133" s="559" t="s">
        <v>1195</v>
      </c>
      <c r="J2133" s="567" t="s">
        <v>1751</v>
      </c>
      <c r="K2133" s="961" t="s">
        <v>1568</v>
      </c>
      <c r="L2133" s="555" t="str">
        <f t="shared" ca="1" si="367"/>
        <v/>
      </c>
      <c r="M2133" s="494" t="s">
        <v>1569</v>
      </c>
      <c r="N2133" s="555" t="str">
        <f t="shared" ca="1" si="368"/>
        <v/>
      </c>
      <c r="O2133" s="494" t="s">
        <v>1570</v>
      </c>
      <c r="P2133" s="555" t="str">
        <f t="shared" ca="1" si="369"/>
        <v/>
      </c>
      <c r="Q2133" s="494" t="s">
        <v>1752</v>
      </c>
      <c r="R2133" s="494" t="str">
        <f t="shared" si="361"/>
        <v>I2133</v>
      </c>
      <c r="S2133" s="494" t="s">
        <v>1756</v>
      </c>
      <c r="T2133" s="494">
        <v>6</v>
      </c>
      <c r="U2133" s="556" t="str">
        <f t="shared" ca="1" si="365"/>
        <v/>
      </c>
      <c r="V2133" s="494">
        <v>7</v>
      </c>
      <c r="W2133" s="556" t="str">
        <f t="shared" ca="1" si="366"/>
        <v/>
      </c>
      <c r="X2133" s="494" t="s">
        <v>1754</v>
      </c>
      <c r="Y2133" s="547" t="str">
        <f t="shared" ca="1" si="370"/>
        <v/>
      </c>
      <c r="Z2133" s="494" t="s">
        <v>1755</v>
      </c>
      <c r="AA2133" s="547" t="str">
        <f t="shared" ca="1" si="371"/>
        <v/>
      </c>
      <c r="AB2133" s="494" t="s">
        <v>1592</v>
      </c>
      <c r="AC2133" s="547" t="str">
        <f t="shared" ca="1" si="372"/>
        <v/>
      </c>
      <c r="AD2133" s="557"/>
      <c r="AE2133" s="958"/>
    </row>
    <row r="2134" spans="1:31">
      <c r="A2134" s="957" t="str">
        <f t="shared" ca="1" si="357"/>
        <v>24/25</v>
      </c>
      <c r="B2134" s="566" t="s">
        <v>182</v>
      </c>
      <c r="C2134" s="567" t="str">
        <f t="shared" ca="1" si="358"/>
        <v>Green Star - Retail Centre</v>
      </c>
      <c r="D2134" s="958">
        <v>1</v>
      </c>
      <c r="E2134" s="959" t="s">
        <v>367</v>
      </c>
      <c r="F2134" s="558" t="s">
        <v>1488</v>
      </c>
      <c r="G2134" s="558">
        <v>145</v>
      </c>
      <c r="H2134" s="558" t="s">
        <v>1193</v>
      </c>
      <c r="I2134" s="559" t="s">
        <v>1196</v>
      </c>
      <c r="J2134" s="567" t="s">
        <v>1751</v>
      </c>
      <c r="K2134" s="961" t="s">
        <v>1568</v>
      </c>
      <c r="L2134" s="555" t="str">
        <f t="shared" ca="1" si="367"/>
        <v/>
      </c>
      <c r="M2134" s="494" t="s">
        <v>1569</v>
      </c>
      <c r="N2134" s="555" t="str">
        <f t="shared" ca="1" si="368"/>
        <v/>
      </c>
      <c r="O2134" s="494" t="s">
        <v>1570</v>
      </c>
      <c r="P2134" s="555" t="str">
        <f t="shared" ca="1" si="369"/>
        <v/>
      </c>
      <c r="Q2134" s="494" t="s">
        <v>1752</v>
      </c>
      <c r="R2134" s="494" t="str">
        <f t="shared" si="361"/>
        <v>I2134</v>
      </c>
      <c r="S2134" s="494" t="s">
        <v>1756</v>
      </c>
      <c r="T2134" s="494">
        <v>6</v>
      </c>
      <c r="U2134" s="556" t="str">
        <f t="shared" ca="1" si="365"/>
        <v/>
      </c>
      <c r="V2134" s="494">
        <v>7</v>
      </c>
      <c r="W2134" s="556" t="str">
        <f t="shared" ca="1" si="366"/>
        <v/>
      </c>
      <c r="X2134" s="494" t="s">
        <v>1754</v>
      </c>
      <c r="Y2134" s="547" t="str">
        <f t="shared" ca="1" si="370"/>
        <v/>
      </c>
      <c r="Z2134" s="494" t="s">
        <v>1755</v>
      </c>
      <c r="AA2134" s="547" t="str">
        <f t="shared" ca="1" si="371"/>
        <v/>
      </c>
      <c r="AB2134" s="494" t="s">
        <v>1592</v>
      </c>
      <c r="AC2134" s="547" t="str">
        <f t="shared" ca="1" si="372"/>
        <v/>
      </c>
      <c r="AD2134" s="557"/>
      <c r="AE2134" s="958"/>
    </row>
    <row r="2135" spans="1:31">
      <c r="A2135" s="957" t="str">
        <f t="shared" ca="1" si="357"/>
        <v>24/25</v>
      </c>
      <c r="B2135" s="566" t="s">
        <v>182</v>
      </c>
      <c r="C2135" s="567" t="str">
        <f t="shared" ca="1" si="358"/>
        <v>Green Star - Retail Centre</v>
      </c>
      <c r="D2135" s="958">
        <v>1</v>
      </c>
      <c r="E2135" s="959" t="s">
        <v>367</v>
      </c>
      <c r="F2135" s="558" t="s">
        <v>1488</v>
      </c>
      <c r="G2135" s="558">
        <v>146</v>
      </c>
      <c r="H2135" s="558" t="s">
        <v>1197</v>
      </c>
      <c r="I2135" s="559" t="s">
        <v>1199</v>
      </c>
      <c r="J2135" s="567" t="s">
        <v>1751</v>
      </c>
      <c r="K2135" s="961" t="s">
        <v>1568</v>
      </c>
      <c r="L2135" s="555" t="str">
        <f t="shared" ca="1" si="367"/>
        <v/>
      </c>
      <c r="M2135" s="494" t="s">
        <v>1569</v>
      </c>
      <c r="N2135" s="555" t="str">
        <f t="shared" ca="1" si="368"/>
        <v/>
      </c>
      <c r="O2135" s="494" t="s">
        <v>1570</v>
      </c>
      <c r="P2135" s="555" t="str">
        <f t="shared" ca="1" si="369"/>
        <v/>
      </c>
      <c r="Q2135" s="494" t="s">
        <v>1752</v>
      </c>
      <c r="R2135" s="494" t="str">
        <f t="shared" si="361"/>
        <v>I2135</v>
      </c>
      <c r="S2135" s="494" t="s">
        <v>1756</v>
      </c>
      <c r="T2135" s="494">
        <v>6</v>
      </c>
      <c r="U2135" s="556" t="str">
        <f t="shared" ca="1" si="365"/>
        <v/>
      </c>
      <c r="V2135" s="494">
        <v>7</v>
      </c>
      <c r="W2135" s="556" t="str">
        <f t="shared" ca="1" si="366"/>
        <v/>
      </c>
      <c r="X2135" s="494" t="s">
        <v>1754</v>
      </c>
      <c r="Y2135" s="547" t="str">
        <f t="shared" ca="1" si="370"/>
        <v/>
      </c>
      <c r="Z2135" s="494" t="s">
        <v>1755</v>
      </c>
      <c r="AA2135" s="547" t="str">
        <f t="shared" ca="1" si="371"/>
        <v/>
      </c>
      <c r="AB2135" s="494" t="s">
        <v>1592</v>
      </c>
      <c r="AC2135" s="547" t="str">
        <f t="shared" ca="1" si="372"/>
        <v/>
      </c>
      <c r="AD2135" s="557"/>
      <c r="AE2135" s="958"/>
    </row>
    <row r="2136" spans="1:31">
      <c r="A2136" s="957" t="str">
        <f t="shared" ca="1" si="357"/>
        <v>24/25</v>
      </c>
      <c r="B2136" s="566" t="s">
        <v>182</v>
      </c>
      <c r="C2136" s="567" t="str">
        <f t="shared" ca="1" si="358"/>
        <v>Green Star - Retail Centre</v>
      </c>
      <c r="D2136" s="958">
        <v>1</v>
      </c>
      <c r="E2136" s="959" t="s">
        <v>367</v>
      </c>
      <c r="F2136" s="558" t="s">
        <v>1488</v>
      </c>
      <c r="G2136" s="558">
        <v>146</v>
      </c>
      <c r="H2136" s="558" t="s">
        <v>1197</v>
      </c>
      <c r="I2136" s="559" t="s">
        <v>1200</v>
      </c>
      <c r="J2136" s="567" t="s">
        <v>1751</v>
      </c>
      <c r="K2136" s="961" t="s">
        <v>1568</v>
      </c>
      <c r="L2136" s="555" t="str">
        <f t="shared" ca="1" si="367"/>
        <v/>
      </c>
      <c r="M2136" s="494" t="s">
        <v>1569</v>
      </c>
      <c r="N2136" s="555" t="str">
        <f t="shared" ca="1" si="368"/>
        <v/>
      </c>
      <c r="O2136" s="494" t="s">
        <v>1570</v>
      </c>
      <c r="P2136" s="555" t="str">
        <f t="shared" ca="1" si="369"/>
        <v/>
      </c>
      <c r="Q2136" s="494" t="s">
        <v>1752</v>
      </c>
      <c r="R2136" s="494" t="str">
        <f t="shared" si="361"/>
        <v>I2136</v>
      </c>
      <c r="S2136" s="494" t="s">
        <v>1756</v>
      </c>
      <c r="T2136" s="494">
        <v>6</v>
      </c>
      <c r="U2136" s="556" t="str">
        <f t="shared" ca="1" si="365"/>
        <v/>
      </c>
      <c r="V2136" s="494">
        <v>7</v>
      </c>
      <c r="W2136" s="556" t="str">
        <f t="shared" ca="1" si="366"/>
        <v/>
      </c>
      <c r="X2136" s="494" t="s">
        <v>1754</v>
      </c>
      <c r="Y2136" s="547" t="str">
        <f t="shared" ca="1" si="370"/>
        <v/>
      </c>
      <c r="Z2136" s="494" t="s">
        <v>1755</v>
      </c>
      <c r="AA2136" s="547" t="str">
        <f t="shared" ca="1" si="371"/>
        <v/>
      </c>
      <c r="AB2136" s="494" t="s">
        <v>1592</v>
      </c>
      <c r="AC2136" s="547" t="str">
        <f t="shared" ca="1" si="372"/>
        <v/>
      </c>
      <c r="AD2136" s="557"/>
      <c r="AE2136" s="958"/>
    </row>
    <row r="2137" spans="1:31">
      <c r="A2137" s="957" t="str">
        <f t="shared" ca="1" si="357"/>
        <v>24/25</v>
      </c>
      <c r="B2137" s="566" t="s">
        <v>182</v>
      </c>
      <c r="C2137" s="567" t="str">
        <f t="shared" ca="1" si="358"/>
        <v>Green Star - Retail Centre</v>
      </c>
      <c r="D2137" s="958">
        <v>1</v>
      </c>
      <c r="E2137" s="959" t="s">
        <v>367</v>
      </c>
      <c r="F2137" s="558" t="s">
        <v>1488</v>
      </c>
      <c r="G2137" s="558">
        <v>63</v>
      </c>
      <c r="H2137" s="558" t="s">
        <v>1201</v>
      </c>
      <c r="I2137" s="559" t="s">
        <v>994</v>
      </c>
      <c r="J2137" s="567" t="s">
        <v>1751</v>
      </c>
      <c r="K2137" s="961" t="s">
        <v>1568</v>
      </c>
      <c r="L2137" s="555" t="str">
        <f t="shared" ca="1" si="367"/>
        <v/>
      </c>
      <c r="M2137" s="494" t="s">
        <v>1569</v>
      </c>
      <c r="N2137" s="555" t="str">
        <f t="shared" ca="1" si="368"/>
        <v/>
      </c>
      <c r="O2137" s="494" t="s">
        <v>1570</v>
      </c>
      <c r="P2137" s="555" t="str">
        <f t="shared" ca="1" si="369"/>
        <v/>
      </c>
      <c r="Q2137" s="494" t="s">
        <v>1752</v>
      </c>
      <c r="R2137" s="494" t="str">
        <f t="shared" si="361"/>
        <v>I2137</v>
      </c>
      <c r="S2137" s="494" t="s">
        <v>1753</v>
      </c>
      <c r="T2137" s="494">
        <v>6</v>
      </c>
      <c r="U2137" s="556" t="str">
        <f t="shared" ca="1" si="365"/>
        <v/>
      </c>
      <c r="V2137" s="494">
        <v>7</v>
      </c>
      <c r="W2137" s="556" t="str">
        <f t="shared" ca="1" si="366"/>
        <v/>
      </c>
      <c r="X2137" s="494" t="s">
        <v>1754</v>
      </c>
      <c r="Y2137" s="547" t="str">
        <f t="shared" ca="1" si="370"/>
        <v/>
      </c>
      <c r="Z2137" s="494" t="s">
        <v>1755</v>
      </c>
      <c r="AA2137" s="547" t="str">
        <f t="shared" ca="1" si="371"/>
        <v/>
      </c>
      <c r="AB2137" s="494" t="s">
        <v>1592</v>
      </c>
      <c r="AC2137" s="547" t="str">
        <f t="shared" ca="1" si="372"/>
        <v/>
      </c>
      <c r="AD2137" s="557"/>
      <c r="AE2137" s="958"/>
    </row>
    <row r="2138" spans="1:31">
      <c r="A2138" s="957" t="str">
        <f t="shared" ca="1" si="357"/>
        <v>24/25</v>
      </c>
      <c r="B2138" s="566" t="s">
        <v>182</v>
      </c>
      <c r="C2138" s="567" t="str">
        <f t="shared" ca="1" si="358"/>
        <v>Green Star - Retail Centre</v>
      </c>
      <c r="D2138" s="958">
        <v>1</v>
      </c>
      <c r="E2138" s="959" t="s">
        <v>367</v>
      </c>
      <c r="F2138" s="558" t="s">
        <v>1488</v>
      </c>
      <c r="G2138" s="558">
        <v>64</v>
      </c>
      <c r="H2138" s="558" t="s">
        <v>1203</v>
      </c>
      <c r="I2138" s="559" t="s">
        <v>589</v>
      </c>
      <c r="J2138" s="567" t="s">
        <v>1751</v>
      </c>
      <c r="K2138" s="961" t="s">
        <v>1568</v>
      </c>
      <c r="L2138" s="555" t="str">
        <f t="shared" ca="1" si="367"/>
        <v/>
      </c>
      <c r="M2138" s="494" t="s">
        <v>1569</v>
      </c>
      <c r="N2138" s="555" t="str">
        <f t="shared" ca="1" si="368"/>
        <v/>
      </c>
      <c r="O2138" s="494" t="s">
        <v>1570</v>
      </c>
      <c r="P2138" s="555" t="str">
        <f t="shared" ca="1" si="369"/>
        <v/>
      </c>
      <c r="Q2138" s="494" t="s">
        <v>1752</v>
      </c>
      <c r="R2138" s="494" t="str">
        <f t="shared" si="361"/>
        <v>I2138</v>
      </c>
      <c r="S2138" s="494" t="s">
        <v>1753</v>
      </c>
      <c r="T2138" s="494">
        <v>6</v>
      </c>
      <c r="U2138" s="556" t="str">
        <f t="shared" ca="1" si="365"/>
        <v/>
      </c>
      <c r="V2138" s="494">
        <v>7</v>
      </c>
      <c r="W2138" s="556" t="str">
        <f t="shared" ca="1" si="366"/>
        <v/>
      </c>
      <c r="X2138" s="494" t="s">
        <v>1754</v>
      </c>
      <c r="Y2138" s="547" t="str">
        <f t="shared" ca="1" si="370"/>
        <v/>
      </c>
      <c r="Z2138" s="494" t="s">
        <v>1755</v>
      </c>
      <c r="AA2138" s="547" t="str">
        <f t="shared" ca="1" si="371"/>
        <v/>
      </c>
      <c r="AB2138" s="494" t="s">
        <v>1592</v>
      </c>
      <c r="AC2138" s="547" t="str">
        <f t="shared" ca="1" si="372"/>
        <v/>
      </c>
      <c r="AD2138" s="557"/>
      <c r="AE2138" s="958"/>
    </row>
    <row r="2139" spans="1:31">
      <c r="A2139" s="957" t="str">
        <f t="shared" ca="1" si="357"/>
        <v>24/25</v>
      </c>
      <c r="B2139" s="566" t="s">
        <v>182</v>
      </c>
      <c r="C2139" s="567" t="str">
        <f t="shared" ca="1" si="358"/>
        <v>Green Star - Retail Centre</v>
      </c>
      <c r="D2139" s="958">
        <v>1</v>
      </c>
      <c r="E2139" s="959" t="s">
        <v>367</v>
      </c>
      <c r="F2139" s="558" t="s">
        <v>1488</v>
      </c>
      <c r="G2139" s="558">
        <v>147</v>
      </c>
      <c r="H2139" s="558" t="s">
        <v>1205</v>
      </c>
      <c r="I2139" s="559" t="s">
        <v>1206</v>
      </c>
      <c r="J2139" s="567" t="s">
        <v>1751</v>
      </c>
      <c r="K2139" s="961" t="s">
        <v>1568</v>
      </c>
      <c r="L2139" s="555" t="str">
        <f t="shared" ca="1" si="367"/>
        <v/>
      </c>
      <c r="M2139" s="494" t="s">
        <v>1569</v>
      </c>
      <c r="N2139" s="555" t="str">
        <f t="shared" ca="1" si="368"/>
        <v/>
      </c>
      <c r="O2139" s="494" t="s">
        <v>1570</v>
      </c>
      <c r="P2139" s="555" t="str">
        <f t="shared" ca="1" si="369"/>
        <v/>
      </c>
      <c r="Q2139" s="494" t="s">
        <v>1752</v>
      </c>
      <c r="R2139" s="494" t="str">
        <f t="shared" si="361"/>
        <v>I2139</v>
      </c>
      <c r="S2139" s="494" t="s">
        <v>1753</v>
      </c>
      <c r="T2139" s="494">
        <v>6</v>
      </c>
      <c r="U2139" s="556" t="str">
        <f t="shared" ca="1" si="365"/>
        <v/>
      </c>
      <c r="V2139" s="494">
        <v>7</v>
      </c>
      <c r="W2139" s="556" t="str">
        <f t="shared" ca="1" si="366"/>
        <v/>
      </c>
      <c r="X2139" s="494" t="s">
        <v>1754</v>
      </c>
      <c r="Y2139" s="547" t="str">
        <f t="shared" ca="1" si="370"/>
        <v/>
      </c>
      <c r="Z2139" s="494" t="s">
        <v>1755</v>
      </c>
      <c r="AA2139" s="547" t="str">
        <f t="shared" ca="1" si="371"/>
        <v/>
      </c>
      <c r="AB2139" s="494" t="s">
        <v>1592</v>
      </c>
      <c r="AC2139" s="547" t="str">
        <f t="shared" ca="1" si="372"/>
        <v/>
      </c>
      <c r="AD2139" s="557"/>
      <c r="AE2139" s="958"/>
    </row>
    <row r="2140" spans="1:31">
      <c r="A2140" s="957" t="str">
        <f t="shared" ca="1" si="357"/>
        <v>24/25</v>
      </c>
      <c r="B2140" s="566" t="s">
        <v>182</v>
      </c>
      <c r="C2140" s="567" t="str">
        <f t="shared" ca="1" si="358"/>
        <v>Green Star - Retail Centre</v>
      </c>
      <c r="D2140" s="958">
        <v>1</v>
      </c>
      <c r="E2140" s="959" t="s">
        <v>367</v>
      </c>
      <c r="F2140" s="558" t="s">
        <v>1488</v>
      </c>
      <c r="G2140" s="558">
        <v>148</v>
      </c>
      <c r="H2140" s="558" t="s">
        <v>1207</v>
      </c>
      <c r="I2140" s="559" t="s">
        <v>1208</v>
      </c>
      <c r="J2140" s="567" t="s">
        <v>1751</v>
      </c>
      <c r="K2140" s="961" t="s">
        <v>1568</v>
      </c>
      <c r="L2140" s="555" t="str">
        <f t="shared" ca="1" si="367"/>
        <v/>
      </c>
      <c r="M2140" s="494" t="s">
        <v>1569</v>
      </c>
      <c r="N2140" s="555" t="str">
        <f t="shared" ca="1" si="368"/>
        <v/>
      </c>
      <c r="O2140" s="494" t="s">
        <v>1570</v>
      </c>
      <c r="P2140" s="555" t="str">
        <f t="shared" ca="1" si="369"/>
        <v/>
      </c>
      <c r="Q2140" s="494" t="s">
        <v>1752</v>
      </c>
      <c r="R2140" s="494" t="str">
        <f t="shared" si="361"/>
        <v>I2140</v>
      </c>
      <c r="S2140" s="494" t="s">
        <v>1753</v>
      </c>
      <c r="T2140" s="494">
        <v>6</v>
      </c>
      <c r="U2140" s="556" t="str">
        <f t="shared" ca="1" si="365"/>
        <v/>
      </c>
      <c r="V2140" s="494">
        <v>7</v>
      </c>
      <c r="W2140" s="556" t="str">
        <f t="shared" ca="1" si="366"/>
        <v/>
      </c>
      <c r="X2140" s="494" t="s">
        <v>1754</v>
      </c>
      <c r="Y2140" s="547" t="str">
        <f t="shared" ca="1" si="370"/>
        <v/>
      </c>
      <c r="Z2140" s="494" t="s">
        <v>1755</v>
      </c>
      <c r="AA2140" s="547" t="str">
        <f t="shared" ca="1" si="371"/>
        <v/>
      </c>
      <c r="AB2140" s="494" t="s">
        <v>1592</v>
      </c>
      <c r="AC2140" s="547" t="str">
        <f t="shared" ca="1" si="372"/>
        <v/>
      </c>
      <c r="AD2140" s="557"/>
      <c r="AE2140" s="958"/>
    </row>
    <row r="2141" spans="1:31">
      <c r="A2141" s="957" t="str">
        <f t="shared" ca="1" si="357"/>
        <v>24/25</v>
      </c>
      <c r="B2141" s="566" t="s">
        <v>182</v>
      </c>
      <c r="C2141" s="567" t="str">
        <f t="shared" ca="1" si="358"/>
        <v>Green Star - Retail Centre</v>
      </c>
      <c r="D2141" s="958">
        <v>1</v>
      </c>
      <c r="E2141" s="959" t="s">
        <v>396</v>
      </c>
      <c r="F2141" s="558" t="s">
        <v>1498</v>
      </c>
      <c r="G2141" s="558">
        <v>149</v>
      </c>
      <c r="H2141" s="558" t="s">
        <v>1577</v>
      </c>
      <c r="I2141" s="559" t="s">
        <v>338</v>
      </c>
      <c r="J2141" s="567" t="s">
        <v>1751</v>
      </c>
      <c r="K2141" s="961" t="s">
        <v>1568</v>
      </c>
      <c r="L2141" s="555" t="str">
        <f t="shared" ca="1" si="367"/>
        <v/>
      </c>
      <c r="M2141" s="494" t="s">
        <v>1569</v>
      </c>
      <c r="N2141" s="555" t="str">
        <f t="shared" ca="1" si="368"/>
        <v/>
      </c>
      <c r="O2141" s="494" t="s">
        <v>1570</v>
      </c>
      <c r="P2141" s="555" t="str">
        <f t="shared" ca="1" si="369"/>
        <v/>
      </c>
      <c r="Q2141" s="494" t="s">
        <v>1752</v>
      </c>
      <c r="R2141" s="494" t="str">
        <f t="shared" si="361"/>
        <v>I2141</v>
      </c>
      <c r="S2141" s="494" t="s">
        <v>1753</v>
      </c>
      <c r="T2141" s="494">
        <v>6</v>
      </c>
      <c r="U2141" s="556" t="str">
        <f t="shared" ca="1" si="365"/>
        <v/>
      </c>
      <c r="V2141" s="494">
        <v>7</v>
      </c>
      <c r="W2141" s="556" t="str">
        <f t="shared" ca="1" si="366"/>
        <v/>
      </c>
      <c r="X2141" s="494" t="s">
        <v>1754</v>
      </c>
      <c r="Y2141" s="547" t="str">
        <f t="shared" ca="1" si="370"/>
        <v/>
      </c>
      <c r="Z2141" s="494" t="s">
        <v>1755</v>
      </c>
      <c r="AA2141" s="547" t="str">
        <f t="shared" ca="1" si="371"/>
        <v/>
      </c>
      <c r="AB2141" s="494" t="s">
        <v>1592</v>
      </c>
      <c r="AC2141" s="547" t="str">
        <f t="shared" ca="1" si="372"/>
        <v/>
      </c>
      <c r="AD2141" s="557"/>
      <c r="AE2141" s="958"/>
    </row>
    <row r="2142" spans="1:31">
      <c r="A2142" s="957" t="str">
        <f t="shared" ca="1" si="357"/>
        <v>24/25</v>
      </c>
      <c r="B2142" s="566" t="s">
        <v>182</v>
      </c>
      <c r="C2142" s="567" t="str">
        <f t="shared" ca="1" si="358"/>
        <v>Green Star - Retail Centre</v>
      </c>
      <c r="D2142" s="958">
        <v>1</v>
      </c>
      <c r="E2142" s="959" t="s">
        <v>396</v>
      </c>
      <c r="F2142" s="558" t="s">
        <v>1498</v>
      </c>
      <c r="G2142" s="558">
        <v>150</v>
      </c>
      <c r="H2142" s="558" t="s">
        <v>1039</v>
      </c>
      <c r="I2142" s="559" t="s">
        <v>1220</v>
      </c>
      <c r="J2142" s="567" t="s">
        <v>1751</v>
      </c>
      <c r="K2142" s="961" t="s">
        <v>1568</v>
      </c>
      <c r="L2142" s="555" t="str">
        <f t="shared" ca="1" si="367"/>
        <v/>
      </c>
      <c r="M2142" s="494" t="s">
        <v>1569</v>
      </c>
      <c r="N2142" s="555" t="str">
        <f t="shared" ca="1" si="368"/>
        <v/>
      </c>
      <c r="O2142" s="494" t="s">
        <v>1570</v>
      </c>
      <c r="P2142" s="555" t="str">
        <f t="shared" ca="1" si="369"/>
        <v/>
      </c>
      <c r="Q2142" s="494" t="s">
        <v>1752</v>
      </c>
      <c r="R2142" s="494" t="str">
        <f t="shared" si="361"/>
        <v>I2142</v>
      </c>
      <c r="S2142" s="494" t="s">
        <v>1753</v>
      </c>
      <c r="T2142" s="494">
        <v>6</v>
      </c>
      <c r="U2142" s="556" t="str">
        <f t="shared" ca="1" si="365"/>
        <v/>
      </c>
      <c r="V2142" s="494">
        <v>7</v>
      </c>
      <c r="W2142" s="556" t="str">
        <f t="shared" ca="1" si="366"/>
        <v/>
      </c>
      <c r="X2142" s="494" t="s">
        <v>1754</v>
      </c>
      <c r="Y2142" s="547" t="str">
        <f t="shared" ca="1" si="370"/>
        <v/>
      </c>
      <c r="Z2142" s="494" t="s">
        <v>1755</v>
      </c>
      <c r="AA2142" s="547" t="str">
        <f t="shared" ca="1" si="371"/>
        <v/>
      </c>
      <c r="AB2142" s="494" t="s">
        <v>1592</v>
      </c>
      <c r="AC2142" s="547" t="str">
        <f t="shared" ca="1" si="372"/>
        <v/>
      </c>
      <c r="AD2142" s="557"/>
      <c r="AE2142" s="958"/>
    </row>
    <row r="2143" spans="1:31">
      <c r="A2143" s="957" t="str">
        <f t="shared" ca="1" si="357"/>
        <v>24/25</v>
      </c>
      <c r="B2143" s="566" t="s">
        <v>182</v>
      </c>
      <c r="C2143" s="567" t="str">
        <f t="shared" ca="1" si="358"/>
        <v>Green Star - Retail Centre</v>
      </c>
      <c r="D2143" s="958">
        <v>1</v>
      </c>
      <c r="E2143" s="959" t="s">
        <v>396</v>
      </c>
      <c r="F2143" s="558" t="s">
        <v>1498</v>
      </c>
      <c r="G2143" s="558">
        <v>35</v>
      </c>
      <c r="H2143" s="558" t="s">
        <v>1045</v>
      </c>
      <c r="I2143" s="559" t="s">
        <v>1221</v>
      </c>
      <c r="J2143" s="567" t="s">
        <v>1751</v>
      </c>
      <c r="K2143" s="961" t="s">
        <v>1568</v>
      </c>
      <c r="L2143" s="555" t="str">
        <f t="shared" ca="1" si="367"/>
        <v/>
      </c>
      <c r="M2143" s="494" t="s">
        <v>1569</v>
      </c>
      <c r="N2143" s="555" t="str">
        <f t="shared" ca="1" si="368"/>
        <v/>
      </c>
      <c r="O2143" s="494" t="s">
        <v>1570</v>
      </c>
      <c r="P2143" s="555" t="str">
        <f t="shared" ca="1" si="369"/>
        <v/>
      </c>
      <c r="Q2143" s="494" t="s">
        <v>1752</v>
      </c>
      <c r="R2143" s="494" t="str">
        <f t="shared" si="361"/>
        <v>I2143</v>
      </c>
      <c r="S2143" s="494" t="s">
        <v>1753</v>
      </c>
      <c r="T2143" s="494">
        <v>6</v>
      </c>
      <c r="U2143" s="556" t="str">
        <f t="shared" ca="1" si="365"/>
        <v/>
      </c>
      <c r="V2143" s="494">
        <v>7</v>
      </c>
      <c r="W2143" s="556" t="str">
        <f t="shared" ca="1" si="366"/>
        <v/>
      </c>
      <c r="X2143" s="494" t="s">
        <v>1754</v>
      </c>
      <c r="Y2143" s="547" t="str">
        <f t="shared" ca="1" si="370"/>
        <v/>
      </c>
      <c r="Z2143" s="494" t="s">
        <v>1755</v>
      </c>
      <c r="AA2143" s="547" t="str">
        <f t="shared" ca="1" si="371"/>
        <v/>
      </c>
      <c r="AB2143" s="494" t="s">
        <v>1592</v>
      </c>
      <c r="AC2143" s="547" t="str">
        <f t="shared" ca="1" si="372"/>
        <v/>
      </c>
      <c r="AD2143" s="557"/>
      <c r="AE2143" s="958"/>
    </row>
    <row r="2144" spans="1:31">
      <c r="A2144" s="957" t="str">
        <f t="shared" ca="1" si="357"/>
        <v>24/25</v>
      </c>
      <c r="B2144" s="566" t="s">
        <v>182</v>
      </c>
      <c r="C2144" s="567" t="str">
        <f t="shared" ca="1" si="358"/>
        <v>Green Star - Retail Centre</v>
      </c>
      <c r="D2144" s="958">
        <v>1</v>
      </c>
      <c r="E2144" s="959" t="s">
        <v>396</v>
      </c>
      <c r="F2144" s="558" t="s">
        <v>1498</v>
      </c>
      <c r="G2144" s="558">
        <v>37</v>
      </c>
      <c r="H2144" s="558" t="s">
        <v>1046</v>
      </c>
      <c r="I2144" s="559" t="s">
        <v>1222</v>
      </c>
      <c r="J2144" s="567" t="s">
        <v>1751</v>
      </c>
      <c r="K2144" s="961" t="s">
        <v>1568</v>
      </c>
      <c r="L2144" s="555" t="str">
        <f t="shared" ca="1" si="367"/>
        <v/>
      </c>
      <c r="M2144" s="494" t="s">
        <v>1569</v>
      </c>
      <c r="N2144" s="555" t="str">
        <f t="shared" ca="1" si="368"/>
        <v/>
      </c>
      <c r="O2144" s="494" t="s">
        <v>1570</v>
      </c>
      <c r="P2144" s="555" t="str">
        <f t="shared" ca="1" si="369"/>
        <v/>
      </c>
      <c r="Q2144" s="494" t="s">
        <v>1752</v>
      </c>
      <c r="R2144" s="494" t="str">
        <f t="shared" si="361"/>
        <v>I2144</v>
      </c>
      <c r="S2144" s="494" t="s">
        <v>1753</v>
      </c>
      <c r="T2144" s="494">
        <v>6</v>
      </c>
      <c r="U2144" s="556" t="str">
        <f t="shared" ca="1" si="365"/>
        <v/>
      </c>
      <c r="V2144" s="494">
        <v>7</v>
      </c>
      <c r="W2144" s="556" t="str">
        <f t="shared" ca="1" si="366"/>
        <v/>
      </c>
      <c r="X2144" s="494" t="s">
        <v>1754</v>
      </c>
      <c r="Y2144" s="547" t="str">
        <f t="shared" ca="1" si="370"/>
        <v/>
      </c>
      <c r="Z2144" s="494" t="s">
        <v>1755</v>
      </c>
      <c r="AA2144" s="547" t="str">
        <f t="shared" ca="1" si="371"/>
        <v/>
      </c>
      <c r="AB2144" s="494" t="s">
        <v>1592</v>
      </c>
      <c r="AC2144" s="547" t="str">
        <f t="shared" ca="1" si="372"/>
        <v/>
      </c>
      <c r="AD2144" s="557"/>
      <c r="AE2144" s="958"/>
    </row>
    <row r="2145" spans="1:31">
      <c r="A2145" s="957" t="str">
        <f t="shared" ca="1" si="357"/>
        <v>24/25</v>
      </c>
      <c r="B2145" s="566" t="s">
        <v>182</v>
      </c>
      <c r="C2145" s="567" t="str">
        <f t="shared" ca="1" si="358"/>
        <v>Green Star - Retail Centre</v>
      </c>
      <c r="D2145" s="958">
        <v>1</v>
      </c>
      <c r="E2145" s="959" t="s">
        <v>396</v>
      </c>
      <c r="F2145" s="558" t="s">
        <v>1498</v>
      </c>
      <c r="G2145" s="558">
        <v>39</v>
      </c>
      <c r="H2145" s="558" t="s">
        <v>1047</v>
      </c>
      <c r="I2145" s="559" t="s">
        <v>783</v>
      </c>
      <c r="J2145" s="567" t="s">
        <v>1751</v>
      </c>
      <c r="K2145" s="961" t="s">
        <v>1568</v>
      </c>
      <c r="L2145" s="555" t="str">
        <f t="shared" ca="1" si="367"/>
        <v/>
      </c>
      <c r="M2145" s="494" t="s">
        <v>1569</v>
      </c>
      <c r="N2145" s="555" t="str">
        <f t="shared" ca="1" si="368"/>
        <v/>
      </c>
      <c r="O2145" s="494" t="s">
        <v>1570</v>
      </c>
      <c r="P2145" s="555" t="str">
        <f t="shared" ca="1" si="369"/>
        <v/>
      </c>
      <c r="Q2145" s="494" t="s">
        <v>1752</v>
      </c>
      <c r="R2145" s="494" t="str">
        <f t="shared" si="361"/>
        <v>I2145</v>
      </c>
      <c r="S2145" s="494" t="s">
        <v>1753</v>
      </c>
      <c r="T2145" s="494">
        <v>6</v>
      </c>
      <c r="U2145" s="556" t="str">
        <f t="shared" ca="1" si="365"/>
        <v/>
      </c>
      <c r="V2145" s="494">
        <v>7</v>
      </c>
      <c r="W2145" s="556" t="str">
        <f t="shared" ca="1" si="366"/>
        <v/>
      </c>
      <c r="X2145" s="494" t="s">
        <v>1754</v>
      </c>
      <c r="Y2145" s="547" t="str">
        <f t="shared" ca="1" si="370"/>
        <v/>
      </c>
      <c r="Z2145" s="494" t="s">
        <v>1755</v>
      </c>
      <c r="AA2145" s="547" t="str">
        <f t="shared" ca="1" si="371"/>
        <v/>
      </c>
      <c r="AB2145" s="494" t="s">
        <v>1592</v>
      </c>
      <c r="AC2145" s="547" t="str">
        <f t="shared" ca="1" si="372"/>
        <v/>
      </c>
      <c r="AD2145" s="557"/>
      <c r="AE2145" s="958"/>
    </row>
    <row r="2146" spans="1:31">
      <c r="A2146" s="957" t="str">
        <f t="shared" ca="1" si="357"/>
        <v>24/25</v>
      </c>
      <c r="B2146" s="566" t="s">
        <v>182</v>
      </c>
      <c r="C2146" s="567" t="str">
        <f t="shared" ca="1" si="358"/>
        <v>Green Star - Retail Centre</v>
      </c>
      <c r="D2146" s="958">
        <v>1</v>
      </c>
      <c r="E2146" s="959" t="s">
        <v>404</v>
      </c>
      <c r="F2146" s="558" t="s">
        <v>1499</v>
      </c>
      <c r="G2146" s="558">
        <v>13</v>
      </c>
      <c r="H2146" s="558" t="s">
        <v>1223</v>
      </c>
      <c r="I2146" s="559" t="s">
        <v>1224</v>
      </c>
      <c r="J2146" s="567" t="s">
        <v>1751</v>
      </c>
      <c r="K2146" s="961" t="s">
        <v>1568</v>
      </c>
      <c r="L2146" s="555" t="str">
        <f t="shared" ca="1" si="367"/>
        <v/>
      </c>
      <c r="M2146" s="494" t="s">
        <v>1569</v>
      </c>
      <c r="N2146" s="555" t="str">
        <f t="shared" ca="1" si="368"/>
        <v/>
      </c>
      <c r="O2146" s="494" t="s">
        <v>1570</v>
      </c>
      <c r="P2146" s="555" t="str">
        <f t="shared" ca="1" si="369"/>
        <v/>
      </c>
      <c r="Q2146" s="494" t="s">
        <v>1752</v>
      </c>
      <c r="R2146" s="494" t="str">
        <f t="shared" si="361"/>
        <v>I2146</v>
      </c>
      <c r="S2146" s="494" t="s">
        <v>1753</v>
      </c>
      <c r="T2146" s="494">
        <v>6</v>
      </c>
      <c r="U2146" s="556" t="str">
        <f t="shared" ca="1" si="365"/>
        <v/>
      </c>
      <c r="V2146" s="494">
        <v>7</v>
      </c>
      <c r="W2146" s="556" t="str">
        <f t="shared" ca="1" si="366"/>
        <v/>
      </c>
      <c r="X2146" s="494" t="s">
        <v>1754</v>
      </c>
      <c r="Y2146" s="547" t="str">
        <f t="shared" ca="1" si="370"/>
        <v/>
      </c>
      <c r="Z2146" s="494" t="s">
        <v>1755</v>
      </c>
      <c r="AA2146" s="547" t="str">
        <f t="shared" ca="1" si="371"/>
        <v/>
      </c>
      <c r="AB2146" s="494" t="s">
        <v>1592</v>
      </c>
      <c r="AC2146" s="547" t="str">
        <f t="shared" ca="1" si="372"/>
        <v/>
      </c>
      <c r="AD2146" s="557"/>
      <c r="AE2146" s="958"/>
    </row>
    <row r="2147" spans="1:31">
      <c r="A2147" s="957" t="str">
        <f t="shared" ca="1" si="357"/>
        <v>24/25</v>
      </c>
      <c r="B2147" s="566" t="s">
        <v>182</v>
      </c>
      <c r="C2147" s="567" t="str">
        <f t="shared" ca="1" si="358"/>
        <v>Green Star - Retail Centre</v>
      </c>
      <c r="D2147" s="958">
        <v>1</v>
      </c>
      <c r="E2147" s="959" t="s">
        <v>404</v>
      </c>
      <c r="F2147" s="558" t="s">
        <v>1499</v>
      </c>
      <c r="G2147" s="558">
        <v>14</v>
      </c>
      <c r="H2147" s="558" t="s">
        <v>1225</v>
      </c>
      <c r="I2147" s="559" t="s">
        <v>1226</v>
      </c>
      <c r="J2147" s="567" t="s">
        <v>1751</v>
      </c>
      <c r="K2147" s="961" t="s">
        <v>1568</v>
      </c>
      <c r="L2147" s="555" t="str">
        <f t="shared" ca="1" si="367"/>
        <v/>
      </c>
      <c r="M2147" s="494" t="s">
        <v>1569</v>
      </c>
      <c r="N2147" s="555" t="str">
        <f t="shared" ca="1" si="368"/>
        <v/>
      </c>
      <c r="O2147" s="494" t="s">
        <v>1570</v>
      </c>
      <c r="P2147" s="555" t="str">
        <f t="shared" ca="1" si="369"/>
        <v/>
      </c>
      <c r="Q2147" s="494" t="s">
        <v>1752</v>
      </c>
      <c r="R2147" s="494" t="str">
        <f t="shared" si="361"/>
        <v>I2147</v>
      </c>
      <c r="S2147" s="494" t="s">
        <v>1753</v>
      </c>
      <c r="T2147" s="494">
        <v>6</v>
      </c>
      <c r="U2147" s="556" t="str">
        <f t="shared" ca="1" si="365"/>
        <v/>
      </c>
      <c r="V2147" s="494">
        <v>7</v>
      </c>
      <c r="W2147" s="556" t="str">
        <f t="shared" ca="1" si="366"/>
        <v/>
      </c>
      <c r="X2147" s="494" t="s">
        <v>1754</v>
      </c>
      <c r="Y2147" s="547" t="str">
        <f t="shared" ca="1" si="370"/>
        <v/>
      </c>
      <c r="Z2147" s="494" t="s">
        <v>1755</v>
      </c>
      <c r="AA2147" s="547" t="str">
        <f t="shared" ca="1" si="371"/>
        <v/>
      </c>
      <c r="AB2147" s="494" t="s">
        <v>1592</v>
      </c>
      <c r="AC2147" s="547" t="str">
        <f t="shared" ca="1" si="372"/>
        <v/>
      </c>
      <c r="AD2147" s="557"/>
      <c r="AE2147" s="958"/>
    </row>
    <row r="2148" spans="1:31">
      <c r="A2148" s="957" t="str">
        <f t="shared" ca="1" si="357"/>
        <v>24/25</v>
      </c>
      <c r="B2148" s="566" t="s">
        <v>182</v>
      </c>
      <c r="C2148" s="567" t="str">
        <f t="shared" ca="1" si="358"/>
        <v>Green Star - Retail Centre</v>
      </c>
      <c r="D2148" s="958">
        <v>1</v>
      </c>
      <c r="E2148" s="959" t="s">
        <v>404</v>
      </c>
      <c r="F2148" s="558" t="s">
        <v>1499</v>
      </c>
      <c r="G2148" s="558">
        <v>151</v>
      </c>
      <c r="H2148" s="558" t="s">
        <v>1227</v>
      </c>
      <c r="I2148" s="559" t="s">
        <v>1345</v>
      </c>
      <c r="J2148" s="567" t="s">
        <v>1751</v>
      </c>
      <c r="K2148" s="961" t="s">
        <v>1568</v>
      </c>
      <c r="L2148" s="555" t="str">
        <f t="shared" ca="1" si="367"/>
        <v/>
      </c>
      <c r="M2148" s="494" t="s">
        <v>1569</v>
      </c>
      <c r="N2148" s="555" t="str">
        <f t="shared" ca="1" si="368"/>
        <v/>
      </c>
      <c r="O2148" s="494" t="s">
        <v>1570</v>
      </c>
      <c r="P2148" s="555" t="str">
        <f t="shared" ca="1" si="369"/>
        <v/>
      </c>
      <c r="Q2148" s="494" t="s">
        <v>1752</v>
      </c>
      <c r="R2148" s="494" t="str">
        <f t="shared" si="361"/>
        <v>I2148</v>
      </c>
      <c r="S2148" s="494" t="s">
        <v>1753</v>
      </c>
      <c r="T2148" s="494">
        <v>6</v>
      </c>
      <c r="U2148" s="556" t="str">
        <f t="shared" ca="1" si="365"/>
        <v/>
      </c>
      <c r="V2148" s="494">
        <v>7</v>
      </c>
      <c r="W2148" s="556" t="str">
        <f t="shared" ca="1" si="366"/>
        <v/>
      </c>
      <c r="X2148" s="494" t="s">
        <v>1754</v>
      </c>
      <c r="Y2148" s="547" t="str">
        <f t="shared" ca="1" si="370"/>
        <v/>
      </c>
      <c r="Z2148" s="494" t="s">
        <v>1755</v>
      </c>
      <c r="AA2148" s="547" t="str">
        <f t="shared" ca="1" si="371"/>
        <v/>
      </c>
      <c r="AB2148" s="494" t="s">
        <v>1592</v>
      </c>
      <c r="AC2148" s="547" t="str">
        <f t="shared" ca="1" si="372"/>
        <v/>
      </c>
      <c r="AD2148" s="557"/>
      <c r="AE2148" s="958"/>
    </row>
    <row r="2149" spans="1:31">
      <c r="A2149" s="957" t="str">
        <f t="shared" ca="1" si="357"/>
        <v>24/25</v>
      </c>
      <c r="B2149" s="566" t="s">
        <v>182</v>
      </c>
      <c r="C2149" s="567" t="str">
        <f t="shared" ca="1" si="358"/>
        <v>Green Star - Retail Centre</v>
      </c>
      <c r="D2149" s="958">
        <v>1</v>
      </c>
      <c r="E2149" s="959" t="s">
        <v>404</v>
      </c>
      <c r="F2149" s="558" t="s">
        <v>1499</v>
      </c>
      <c r="G2149" s="558">
        <v>27</v>
      </c>
      <c r="H2149" s="558" t="s">
        <v>1229</v>
      </c>
      <c r="I2149" s="559" t="s">
        <v>1230</v>
      </c>
      <c r="J2149" s="567" t="s">
        <v>1751</v>
      </c>
      <c r="K2149" s="961" t="s">
        <v>1568</v>
      </c>
      <c r="L2149" s="555" t="str">
        <f t="shared" ca="1" si="367"/>
        <v/>
      </c>
      <c r="M2149" s="494" t="s">
        <v>1569</v>
      </c>
      <c r="N2149" s="555" t="str">
        <f t="shared" ca="1" si="368"/>
        <v/>
      </c>
      <c r="O2149" s="494" t="s">
        <v>1570</v>
      </c>
      <c r="P2149" s="555" t="str">
        <f t="shared" ca="1" si="369"/>
        <v/>
      </c>
      <c r="Q2149" s="494" t="s">
        <v>1752</v>
      </c>
      <c r="R2149" s="494" t="str">
        <f t="shared" si="361"/>
        <v>I2149</v>
      </c>
      <c r="S2149" s="494" t="s">
        <v>1753</v>
      </c>
      <c r="T2149" s="494">
        <v>6</v>
      </c>
      <c r="U2149" s="556" t="str">
        <f t="shared" ca="1" si="365"/>
        <v/>
      </c>
      <c r="V2149" s="494">
        <v>7</v>
      </c>
      <c r="W2149" s="556" t="str">
        <f t="shared" ca="1" si="366"/>
        <v/>
      </c>
      <c r="X2149" s="494" t="s">
        <v>1754</v>
      </c>
      <c r="Y2149" s="547" t="str">
        <f t="shared" ca="1" si="370"/>
        <v/>
      </c>
      <c r="Z2149" s="494" t="s">
        <v>1755</v>
      </c>
      <c r="AA2149" s="547" t="str">
        <f t="shared" ca="1" si="371"/>
        <v/>
      </c>
      <c r="AB2149" s="494" t="s">
        <v>1592</v>
      </c>
      <c r="AC2149" s="547" t="str">
        <f t="shared" ca="1" si="372"/>
        <v/>
      </c>
      <c r="AD2149" s="557"/>
      <c r="AE2149" s="958"/>
    </row>
    <row r="2150" spans="1:31">
      <c r="A2150" s="957" t="str">
        <f t="shared" ca="1" si="357"/>
        <v>24/25</v>
      </c>
      <c r="B2150" s="566" t="s">
        <v>182</v>
      </c>
      <c r="C2150" s="567" t="str">
        <f t="shared" ca="1" si="358"/>
        <v>Green Star - Retail Centre</v>
      </c>
      <c r="D2150" s="958">
        <v>1</v>
      </c>
      <c r="E2150" s="959" t="s">
        <v>404</v>
      </c>
      <c r="F2150" s="558" t="s">
        <v>1499</v>
      </c>
      <c r="G2150" s="558">
        <v>19</v>
      </c>
      <c r="H2150" s="558" t="s">
        <v>1231</v>
      </c>
      <c r="I2150" s="559" t="s">
        <v>405</v>
      </c>
      <c r="J2150" s="567" t="s">
        <v>1751</v>
      </c>
      <c r="K2150" s="961" t="s">
        <v>1568</v>
      </c>
      <c r="L2150" s="555" t="str">
        <f t="shared" ca="1" si="367"/>
        <v/>
      </c>
      <c r="M2150" s="494" t="s">
        <v>1569</v>
      </c>
      <c r="N2150" s="555" t="str">
        <f t="shared" ca="1" si="368"/>
        <v/>
      </c>
      <c r="O2150" s="494" t="s">
        <v>1570</v>
      </c>
      <c r="P2150" s="555" t="str">
        <f t="shared" ca="1" si="369"/>
        <v/>
      </c>
      <c r="Q2150" s="494" t="s">
        <v>1752</v>
      </c>
      <c r="R2150" s="494" t="str">
        <f t="shared" si="361"/>
        <v>I2150</v>
      </c>
      <c r="S2150" s="494" t="s">
        <v>1753</v>
      </c>
      <c r="T2150" s="494">
        <v>6</v>
      </c>
      <c r="U2150" s="556" t="str">
        <f t="shared" ca="1" si="365"/>
        <v/>
      </c>
      <c r="V2150" s="494">
        <v>7</v>
      </c>
      <c r="W2150" s="556" t="str">
        <f t="shared" ca="1" si="366"/>
        <v/>
      </c>
      <c r="X2150" s="494" t="s">
        <v>1754</v>
      </c>
      <c r="Y2150" s="547" t="str">
        <f t="shared" ca="1" si="370"/>
        <v/>
      </c>
      <c r="Z2150" s="494" t="s">
        <v>1755</v>
      </c>
      <c r="AA2150" s="547" t="str">
        <f t="shared" ca="1" si="371"/>
        <v/>
      </c>
      <c r="AB2150" s="494" t="s">
        <v>1592</v>
      </c>
      <c r="AC2150" s="547" t="str">
        <f t="shared" ca="1" si="372"/>
        <v/>
      </c>
      <c r="AD2150" s="557"/>
      <c r="AE2150" s="958"/>
    </row>
    <row r="2151" spans="1:31">
      <c r="A2151" s="957" t="str">
        <f t="shared" ca="1" si="357"/>
        <v>24/25</v>
      </c>
      <c r="B2151" s="566" t="s">
        <v>182</v>
      </c>
      <c r="C2151" s="567" t="str">
        <f t="shared" ca="1" si="358"/>
        <v>Green Star - Retail Centre</v>
      </c>
      <c r="D2151" s="958">
        <v>1</v>
      </c>
      <c r="E2151" s="959" t="s">
        <v>404</v>
      </c>
      <c r="F2151" s="558" t="s">
        <v>1499</v>
      </c>
      <c r="G2151" s="558">
        <v>152</v>
      </c>
      <c r="H2151" s="558" t="s">
        <v>1233</v>
      </c>
      <c r="I2151" s="559" t="s">
        <v>1235</v>
      </c>
      <c r="J2151" s="567" t="s">
        <v>1751</v>
      </c>
      <c r="K2151" s="961" t="s">
        <v>1568</v>
      </c>
      <c r="L2151" s="555" t="str">
        <f t="shared" ca="1" si="367"/>
        <v/>
      </c>
      <c r="M2151" s="494" t="s">
        <v>1569</v>
      </c>
      <c r="N2151" s="555" t="str">
        <f t="shared" ca="1" si="368"/>
        <v/>
      </c>
      <c r="O2151" s="494" t="s">
        <v>1570</v>
      </c>
      <c r="P2151" s="555" t="str">
        <f t="shared" ca="1" si="369"/>
        <v/>
      </c>
      <c r="Q2151" s="494" t="s">
        <v>1752</v>
      </c>
      <c r="R2151" s="494" t="str">
        <f t="shared" si="361"/>
        <v>I2151</v>
      </c>
      <c r="S2151" s="494" t="s">
        <v>1756</v>
      </c>
      <c r="T2151" s="494">
        <v>6</v>
      </c>
      <c r="U2151" s="556" t="str">
        <f t="shared" ca="1" si="365"/>
        <v/>
      </c>
      <c r="V2151" s="494">
        <v>7</v>
      </c>
      <c r="W2151" s="556" t="str">
        <f t="shared" ca="1" si="366"/>
        <v/>
      </c>
      <c r="X2151" s="494" t="s">
        <v>1754</v>
      </c>
      <c r="Y2151" s="547" t="str">
        <f t="shared" ca="1" si="370"/>
        <v/>
      </c>
      <c r="Z2151" s="494" t="s">
        <v>1755</v>
      </c>
      <c r="AA2151" s="547" t="str">
        <f t="shared" ca="1" si="371"/>
        <v/>
      </c>
      <c r="AB2151" s="494" t="s">
        <v>1592</v>
      </c>
      <c r="AC2151" s="547" t="str">
        <f t="shared" ca="1" si="372"/>
        <v/>
      </c>
      <c r="AD2151" s="557"/>
      <c r="AE2151" s="958"/>
    </row>
    <row r="2152" spans="1:31">
      <c r="A2152" s="957" t="str">
        <f t="shared" ca="1" si="357"/>
        <v>24/25</v>
      </c>
      <c r="B2152" s="566" t="s">
        <v>182</v>
      </c>
      <c r="C2152" s="567" t="str">
        <f t="shared" ca="1" si="358"/>
        <v>Green Star - Retail Centre</v>
      </c>
      <c r="D2152" s="958">
        <v>1</v>
      </c>
      <c r="E2152" s="959" t="s">
        <v>404</v>
      </c>
      <c r="F2152" s="558" t="s">
        <v>1499</v>
      </c>
      <c r="G2152" s="558">
        <v>152</v>
      </c>
      <c r="H2152" s="558" t="s">
        <v>1233</v>
      </c>
      <c r="I2152" s="559" t="s">
        <v>1236</v>
      </c>
      <c r="J2152" s="567" t="s">
        <v>1751</v>
      </c>
      <c r="K2152" s="961" t="s">
        <v>1568</v>
      </c>
      <c r="L2152" s="555" t="str">
        <f t="shared" ca="1" si="367"/>
        <v/>
      </c>
      <c r="M2152" s="494" t="s">
        <v>1569</v>
      </c>
      <c r="N2152" s="555" t="str">
        <f t="shared" ca="1" si="368"/>
        <v/>
      </c>
      <c r="O2152" s="494" t="s">
        <v>1570</v>
      </c>
      <c r="P2152" s="555" t="str">
        <f t="shared" ca="1" si="369"/>
        <v/>
      </c>
      <c r="Q2152" s="494" t="s">
        <v>1752</v>
      </c>
      <c r="R2152" s="494" t="str">
        <f t="shared" si="361"/>
        <v>I2152</v>
      </c>
      <c r="S2152" s="494" t="s">
        <v>1756</v>
      </c>
      <c r="T2152" s="494">
        <v>6</v>
      </c>
      <c r="U2152" s="556" t="str">
        <f t="shared" ca="1" si="365"/>
        <v/>
      </c>
      <c r="V2152" s="494">
        <v>7</v>
      </c>
      <c r="W2152" s="556" t="str">
        <f t="shared" ca="1" si="366"/>
        <v/>
      </c>
      <c r="X2152" s="494" t="s">
        <v>1754</v>
      </c>
      <c r="Y2152" s="547" t="str">
        <f t="shared" ca="1" si="370"/>
        <v/>
      </c>
      <c r="Z2152" s="494" t="s">
        <v>1755</v>
      </c>
      <c r="AA2152" s="547" t="str">
        <f t="shared" ca="1" si="371"/>
        <v/>
      </c>
      <c r="AB2152" s="494" t="s">
        <v>1592</v>
      </c>
      <c r="AC2152" s="547" t="str">
        <f t="shared" ca="1" si="372"/>
        <v/>
      </c>
      <c r="AD2152" s="557"/>
      <c r="AE2152" s="958"/>
    </row>
    <row r="2153" spans="1:31">
      <c r="A2153" s="957" t="str">
        <f t="shared" ca="1" si="357"/>
        <v>24/25</v>
      </c>
      <c r="B2153" s="566" t="s">
        <v>182</v>
      </c>
      <c r="C2153" s="567" t="str">
        <f t="shared" ca="1" si="358"/>
        <v>Green Star - Retail Centre</v>
      </c>
      <c r="D2153" s="958">
        <v>1</v>
      </c>
      <c r="E2153" s="959" t="s">
        <v>404</v>
      </c>
      <c r="F2153" s="558" t="s">
        <v>1499</v>
      </c>
      <c r="G2153" s="558">
        <v>22</v>
      </c>
      <c r="H2153" s="558" t="s">
        <v>1237</v>
      </c>
      <c r="I2153" s="559" t="s">
        <v>409</v>
      </c>
      <c r="J2153" s="567" t="s">
        <v>1751</v>
      </c>
      <c r="K2153" s="961" t="s">
        <v>1568</v>
      </c>
      <c r="L2153" s="555" t="str">
        <f t="shared" ca="1" si="367"/>
        <v/>
      </c>
      <c r="M2153" s="494" t="s">
        <v>1569</v>
      </c>
      <c r="N2153" s="555" t="str">
        <f t="shared" ca="1" si="368"/>
        <v/>
      </c>
      <c r="O2153" s="494" t="s">
        <v>1570</v>
      </c>
      <c r="P2153" s="555" t="str">
        <f t="shared" ca="1" si="369"/>
        <v/>
      </c>
      <c r="Q2153" s="494" t="s">
        <v>1752</v>
      </c>
      <c r="R2153" s="494" t="str">
        <f t="shared" si="361"/>
        <v>I2153</v>
      </c>
      <c r="S2153" s="494" t="s">
        <v>1753</v>
      </c>
      <c r="T2153" s="494">
        <v>6</v>
      </c>
      <c r="U2153" s="556" t="str">
        <f t="shared" ca="1" si="365"/>
        <v/>
      </c>
      <c r="V2153" s="494">
        <v>7</v>
      </c>
      <c r="W2153" s="556" t="str">
        <f t="shared" ca="1" si="366"/>
        <v/>
      </c>
      <c r="X2153" s="494" t="s">
        <v>1754</v>
      </c>
      <c r="Y2153" s="547" t="str">
        <f t="shared" ca="1" si="370"/>
        <v/>
      </c>
      <c r="Z2153" s="494" t="s">
        <v>1755</v>
      </c>
      <c r="AA2153" s="547" t="str">
        <f t="shared" ca="1" si="371"/>
        <v/>
      </c>
      <c r="AB2153" s="494" t="s">
        <v>1592</v>
      </c>
      <c r="AC2153" s="547" t="str">
        <f t="shared" ca="1" si="372"/>
        <v/>
      </c>
      <c r="AD2153" s="557"/>
      <c r="AE2153" s="958"/>
    </row>
    <row r="2154" spans="1:31">
      <c r="A2154" s="957" t="str">
        <f ca="1">IF(N2154="Design Review",24,IF(N2154="As Built",25,"24/25"))</f>
        <v>24/25</v>
      </c>
      <c r="B2154" s="566" t="s">
        <v>182</v>
      </c>
      <c r="C2154" s="567" t="str">
        <f ca="1">IF(N2154="Design Review","Green Star - Retail Centre Design",IF(N2154="As Built","Green Star - Retail Centre As Built","Green Star - Retail Centre"))</f>
        <v>Green Star - Retail Centre</v>
      </c>
      <c r="D2154" s="958">
        <v>1</v>
      </c>
      <c r="E2154" s="959" t="s">
        <v>404</v>
      </c>
      <c r="F2154" s="558" t="s">
        <v>1499</v>
      </c>
      <c r="G2154" s="558">
        <v>153</v>
      </c>
      <c r="H2154" s="558" t="s">
        <v>1238</v>
      </c>
      <c r="I2154" s="559" t="s">
        <v>1289</v>
      </c>
      <c r="J2154" s="567" t="s">
        <v>1751</v>
      </c>
      <c r="K2154" s="961" t="s">
        <v>1568</v>
      </c>
      <c r="L2154" s="555" t="str">
        <f t="shared" ca="1" si="367"/>
        <v/>
      </c>
      <c r="M2154" s="494" t="s">
        <v>1569</v>
      </c>
      <c r="N2154" s="555" t="str">
        <f t="shared" ca="1" si="368"/>
        <v/>
      </c>
      <c r="O2154" s="494" t="s">
        <v>1570</v>
      </c>
      <c r="P2154" s="555" t="str">
        <f t="shared" ca="1" si="369"/>
        <v/>
      </c>
      <c r="Q2154" s="494" t="s">
        <v>1752</v>
      </c>
      <c r="R2154" s="494" t="str">
        <f>CONCATENATE("I",ROW(J2154))</f>
        <v>I2154</v>
      </c>
      <c r="S2154" s="494" t="s">
        <v>1753</v>
      </c>
      <c r="T2154" s="494">
        <v>6</v>
      </c>
      <c r="U2154" s="556" t="str">
        <f t="shared" ca="1" si="365"/>
        <v/>
      </c>
      <c r="V2154" s="494">
        <v>7</v>
      </c>
      <c r="W2154" s="556" t="str">
        <f t="shared" ca="1" si="366"/>
        <v/>
      </c>
      <c r="X2154" s="494" t="s">
        <v>1754</v>
      </c>
      <c r="Y2154" s="547" t="str">
        <f ca="1">IF(AND(INDIRECT(CONCATENATE($J2154,$K2154,5))=$B2154,ISBLANK(INDIRECT(CONCATENATE($J2154,X2154)))=FALSE),INDIRECT(CONCATENATE($J2154,X2154)),"")</f>
        <v/>
      </c>
      <c r="Z2154" s="494" t="s">
        <v>1755</v>
      </c>
      <c r="AA2154" s="547" t="str">
        <f ca="1">IF(AND(INDIRECT(CONCATENATE($J2154,$K2154,5))=$B2154,ISBLANK(INDIRECT(CONCATENATE($J2154,Z2154)))=FALSE),INDIRECT(CONCATENATE($J2154,Z2154)),"")</f>
        <v/>
      </c>
      <c r="AB2154" s="494" t="s">
        <v>1592</v>
      </c>
      <c r="AC2154" s="547" t="str">
        <f t="shared" ca="1" si="372"/>
        <v/>
      </c>
      <c r="AD2154" s="557"/>
      <c r="AE2154" s="958"/>
    </row>
    <row r="2155" spans="1:31">
      <c r="A2155" s="957" t="str">
        <f ca="1">IF(N2155="Design Review",24,IF(N2155="As Built",25,"24/25"))</f>
        <v>24/25</v>
      </c>
      <c r="B2155" s="566" t="s">
        <v>182</v>
      </c>
      <c r="C2155" s="567" t="str">
        <f ca="1">IF(N2155="Design Review","Green Star - Retail Centre Design",IF(N2155="As Built","Green Star - Retail Centre As Built","Green Star - Retail Centre"))</f>
        <v>Green Star - Retail Centre</v>
      </c>
      <c r="D2155" s="958">
        <v>1</v>
      </c>
      <c r="E2155" s="959" t="s">
        <v>419</v>
      </c>
      <c r="F2155" s="558" t="s">
        <v>1501</v>
      </c>
      <c r="G2155" s="558">
        <v>18</v>
      </c>
      <c r="H2155" s="558" t="s">
        <v>1079</v>
      </c>
      <c r="I2155" s="559" t="s">
        <v>1346</v>
      </c>
      <c r="J2155" s="567" t="s">
        <v>1751</v>
      </c>
      <c r="K2155" s="961" t="s">
        <v>1568</v>
      </c>
      <c r="L2155" s="555" t="str">
        <f t="shared" ca="1" si="367"/>
        <v/>
      </c>
      <c r="M2155" s="494" t="s">
        <v>1569</v>
      </c>
      <c r="N2155" s="555" t="str">
        <f t="shared" ca="1" si="368"/>
        <v/>
      </c>
      <c r="O2155" s="494" t="s">
        <v>1570</v>
      </c>
      <c r="P2155" s="555" t="str">
        <f t="shared" ca="1" si="369"/>
        <v/>
      </c>
      <c r="Q2155" s="494" t="s">
        <v>1752</v>
      </c>
      <c r="R2155" s="494" t="str">
        <f>CONCATENATE("I",ROW(J2155))</f>
        <v>I2155</v>
      </c>
      <c r="S2155" s="494" t="s">
        <v>1753</v>
      </c>
      <c r="T2155" s="494">
        <v>6</v>
      </c>
      <c r="U2155" s="556" t="str">
        <f t="shared" ca="1" si="365"/>
        <v/>
      </c>
      <c r="V2155" s="494">
        <v>7</v>
      </c>
      <c r="W2155" s="556" t="str">
        <f t="shared" ca="1" si="366"/>
        <v/>
      </c>
      <c r="X2155" s="494" t="s">
        <v>1754</v>
      </c>
      <c r="Y2155" s="547" t="str">
        <f ca="1">IF(AND(INDIRECT(CONCATENATE($J2155,$K2155,5))=$B2155,ISBLANK(INDIRECT(CONCATENATE($J2155,X2155)))=FALSE),INDIRECT(CONCATENATE($J2155,X2155)),"")</f>
        <v/>
      </c>
      <c r="Z2155" s="494" t="s">
        <v>1755</v>
      </c>
      <c r="AA2155" s="547" t="str">
        <f ca="1">IF(AND(INDIRECT(CONCATENATE($J2155,$K2155,5))=$B2155,ISBLANK(INDIRECT(CONCATENATE($J2155,Z2155)))=FALSE),INDIRECT(CONCATENATE($J2155,Z2155)),"")</f>
        <v/>
      </c>
      <c r="AB2155" s="494" t="s">
        <v>1592</v>
      </c>
      <c r="AC2155" s="547" t="str">
        <f t="shared" ca="1" si="372"/>
        <v/>
      </c>
      <c r="AD2155" s="557"/>
      <c r="AE2155" s="958"/>
    </row>
    <row r="2156" spans="1:31">
      <c r="A2156" s="957" t="str">
        <f ca="1">IF(N2156="Design Review",24,IF(N2156="As Built",25,"24/25"))</f>
        <v>24/25</v>
      </c>
      <c r="B2156" s="566" t="s">
        <v>182</v>
      </c>
      <c r="C2156" s="567" t="str">
        <f ca="1">IF(N2156="Design Review","Green Star - Retail Centre Design",IF(N2156="As Built","Green Star - Retail Centre As Built","Green Star - Retail Centre"))</f>
        <v>Green Star - Retail Centre</v>
      </c>
      <c r="D2156" s="958">
        <v>1</v>
      </c>
      <c r="E2156" s="959" t="s">
        <v>419</v>
      </c>
      <c r="F2156" s="558" t="s">
        <v>1501</v>
      </c>
      <c r="G2156" s="558">
        <v>24</v>
      </c>
      <c r="H2156" s="558" t="s">
        <v>1243</v>
      </c>
      <c r="I2156" s="559" t="s">
        <v>1347</v>
      </c>
      <c r="J2156" s="567" t="s">
        <v>1751</v>
      </c>
      <c r="K2156" s="961" t="s">
        <v>1568</v>
      </c>
      <c r="L2156" s="555" t="str">
        <f t="shared" ca="1" si="367"/>
        <v/>
      </c>
      <c r="M2156" s="494" t="s">
        <v>1569</v>
      </c>
      <c r="N2156" s="555" t="str">
        <f t="shared" ca="1" si="368"/>
        <v/>
      </c>
      <c r="O2156" s="494" t="s">
        <v>1570</v>
      </c>
      <c r="P2156" s="555" t="str">
        <f t="shared" ca="1" si="369"/>
        <v/>
      </c>
      <c r="Q2156" s="494" t="s">
        <v>1752</v>
      </c>
      <c r="R2156" s="494" t="str">
        <f>CONCATENATE("I",ROW(J2156))</f>
        <v>I2156</v>
      </c>
      <c r="S2156" s="494" t="s">
        <v>1753</v>
      </c>
      <c r="T2156" s="494">
        <v>6</v>
      </c>
      <c r="U2156" s="556" t="str">
        <f t="shared" ca="1" si="365"/>
        <v/>
      </c>
      <c r="V2156" s="494">
        <v>7</v>
      </c>
      <c r="W2156" s="556" t="str">
        <f t="shared" ca="1" si="366"/>
        <v/>
      </c>
      <c r="X2156" s="494" t="s">
        <v>1754</v>
      </c>
      <c r="Y2156" s="547" t="str">
        <f ca="1">IF(AND(INDIRECT(CONCATENATE($J2156,$K2156,5))=$B2156,ISBLANK(INDIRECT(CONCATENATE($J2156,X2156)))=FALSE),INDIRECT(CONCATENATE($J2156,X2156)),"")</f>
        <v/>
      </c>
      <c r="Z2156" s="494" t="s">
        <v>1755</v>
      </c>
      <c r="AA2156" s="547" t="str">
        <f ca="1">IF(AND(INDIRECT(CONCATENATE($J2156,$K2156,5))=$B2156,ISBLANK(INDIRECT(CONCATENATE($J2156,Z2156)))=FALSE),INDIRECT(CONCATENATE($J2156,Z2156)),"")</f>
        <v/>
      </c>
      <c r="AB2156" s="494" t="s">
        <v>1592</v>
      </c>
      <c r="AC2156" s="547" t="str">
        <f t="shared" ca="1" si="372"/>
        <v/>
      </c>
      <c r="AD2156" s="557"/>
      <c r="AE2156" s="958"/>
    </row>
    <row r="2157" spans="1:31">
      <c r="A2157" s="965" t="str">
        <f ca="1">IF(N2157="Design Review",24,IF(N2157="As Built",25,"24/25"))</f>
        <v>24/25</v>
      </c>
      <c r="B2157" s="569" t="s">
        <v>182</v>
      </c>
      <c r="C2157" s="570" t="str">
        <f ca="1">IF(N2157="Design Review","Green Star - Retail Centre Design",IF(N2157="As Built","Green Star - Retail Centre As Built","Green Star - Retail Centre"))</f>
        <v>Green Star - Retail Centre</v>
      </c>
      <c r="D2157" s="966">
        <v>1</v>
      </c>
      <c r="E2157" s="967" t="s">
        <v>419</v>
      </c>
      <c r="F2157" s="968" t="s">
        <v>1501</v>
      </c>
      <c r="G2157" s="968">
        <v>28</v>
      </c>
      <c r="H2157" s="968" t="s">
        <v>1245</v>
      </c>
      <c r="I2157" s="969" t="s">
        <v>1348</v>
      </c>
      <c r="J2157" s="570" t="s">
        <v>1751</v>
      </c>
      <c r="K2157" s="970" t="s">
        <v>1568</v>
      </c>
      <c r="L2157" s="563" t="str">
        <f t="shared" ca="1" si="367"/>
        <v/>
      </c>
      <c r="M2157" s="535" t="s">
        <v>1569</v>
      </c>
      <c r="N2157" s="563" t="str">
        <f t="shared" ca="1" si="368"/>
        <v/>
      </c>
      <c r="O2157" s="535" t="s">
        <v>1570</v>
      </c>
      <c r="P2157" s="563" t="str">
        <f t="shared" ca="1" si="369"/>
        <v/>
      </c>
      <c r="Q2157" s="535" t="s">
        <v>1752</v>
      </c>
      <c r="R2157" s="535" t="str">
        <f>CONCATENATE("I",ROW(J2157))</f>
        <v>I2157</v>
      </c>
      <c r="S2157" s="535" t="s">
        <v>1753</v>
      </c>
      <c r="T2157" s="535">
        <v>6</v>
      </c>
      <c r="U2157" s="564" t="str">
        <f t="shared" ca="1" si="365"/>
        <v/>
      </c>
      <c r="V2157" s="535">
        <v>7</v>
      </c>
      <c r="W2157" s="564" t="str">
        <f t="shared" ca="1" si="366"/>
        <v/>
      </c>
      <c r="X2157" s="535" t="s">
        <v>1754</v>
      </c>
      <c r="Y2157" s="565" t="str">
        <f ca="1">IF(AND(INDIRECT(CONCATENATE($J2157,$K2157,5))=$B2157,ISBLANK(INDIRECT(CONCATENATE($J2157,X2157)))=FALSE),INDIRECT(CONCATENATE($J2157,X2157)),"")</f>
        <v/>
      </c>
      <c r="Z2157" s="535" t="s">
        <v>1755</v>
      </c>
      <c r="AA2157" s="565" t="str">
        <f ca="1">IF(AND(INDIRECT(CONCATENATE($J2157,$K2157,5))=$B2157,ISBLANK(INDIRECT(CONCATENATE($J2157,Z2157)))=FALSE),INDIRECT(CONCATENATE($J2157,Z2157)),"")</f>
        <v/>
      </c>
      <c r="AB2157" s="535" t="s">
        <v>1592</v>
      </c>
      <c r="AC2157" s="565" t="str">
        <f t="shared" ca="1" si="372"/>
        <v/>
      </c>
      <c r="AD2157" s="574"/>
      <c r="AE2157" s="966"/>
    </row>
  </sheetData>
  <autoFilter ref="A1:AE2157" xr:uid="{00000000-0009-0000-0000-000011000000}"/>
  <sortState xmlns:xlrd2="http://schemas.microsoft.com/office/spreadsheetml/2017/richdata2" ref="A2:AE2064">
    <sortCondition ref="C2:C2064"/>
    <sortCondition ref="D2:D2064"/>
    <sortCondition ref="F2:F2064"/>
  </sortState>
  <customSheetViews>
    <customSheetView guid="{CEACA748-A46A-4C8B-98CF-30E51B671B84}" scale="80" showGridLines="0" showAutoFilter="1" hiddenColumns="1" state="hidden">
      <pane xSplit="4" ySplit="1" topLeftCell="E2" activePane="bottomRight" state="frozen"/>
      <selection pane="bottomRight" activeCell="C9" sqref="C9"/>
      <pageMargins left="0" right="0" top="0" bottom="0" header="0" footer="0"/>
      <pageSetup orientation="portrait" horizontalDpi="300" verticalDpi="300" r:id="rId1"/>
      <autoFilter ref="A1:AE2157" xr:uid="{A08D7D6D-FBAE-45D8-A9D6-5F185953F9EB}"/>
    </customSheetView>
  </customSheetViews>
  <pageMargins left="0.7" right="0.7" top="0.75" bottom="0.75" header="0.3" footer="0.3"/>
  <pageSetup orientation="portrait" horizontalDpi="300" verticalDpi="3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42"/>
  <sheetViews>
    <sheetView showGridLines="0" showRowColHeaders="0" topLeftCell="E1" zoomScale="85" zoomScaleNormal="85" workbookViewId="0">
      <selection activeCell="N10" sqref="N10"/>
    </sheetView>
  </sheetViews>
  <sheetFormatPr defaultColWidth="10.42578125" defaultRowHeight="14.45"/>
  <cols>
    <col min="1" max="2" width="10.42578125" style="604" hidden="1" customWidth="1"/>
    <col min="3" max="3" width="7.5703125" style="604" hidden="1" customWidth="1"/>
    <col min="4" max="4" width="1.85546875" style="604" hidden="1" customWidth="1"/>
    <col min="5" max="5" width="4.5703125" style="604" customWidth="1"/>
    <col min="6" max="6" width="27.42578125" style="610" customWidth="1"/>
    <col min="7" max="7" width="54.5703125" style="610" customWidth="1"/>
    <col min="8" max="8" width="11" style="665" customWidth="1"/>
    <col min="9" max="9" width="53.140625" style="610" customWidth="1"/>
    <col min="10" max="10" width="16" style="665" customWidth="1"/>
    <col min="11" max="11" width="42.28515625" style="989" customWidth="1"/>
    <col min="12" max="12" width="42.28515625" style="990" customWidth="1"/>
    <col min="13" max="13" width="42.28515625" style="991" customWidth="1"/>
    <col min="14" max="15" width="42.28515625" style="992" customWidth="1"/>
    <col min="16" max="16" width="16.140625" style="192" hidden="1" customWidth="1"/>
    <col min="17" max="17" width="16.28515625" style="192" hidden="1" customWidth="1"/>
    <col min="18" max="21" width="10.42578125" style="192" customWidth="1"/>
    <col min="22" max="22" width="35.5703125" style="192" hidden="1" customWidth="1"/>
    <col min="23" max="23" width="10.42578125" style="192" hidden="1" customWidth="1"/>
    <col min="24" max="25" width="18" style="192" hidden="1" customWidth="1"/>
    <col min="26" max="27" width="10.42578125" style="192" customWidth="1"/>
    <col min="28" max="28" width="24.5703125" style="192" hidden="1" customWidth="1"/>
    <col min="29" max="29" width="25.85546875" style="192" hidden="1" customWidth="1"/>
    <col min="30" max="30" width="27.140625" style="192" hidden="1" customWidth="1"/>
    <col min="31" max="38" width="10.42578125" style="192" customWidth="1"/>
    <col min="39" max="16384" width="10.42578125" style="192"/>
  </cols>
  <sheetData>
    <row r="1" spans="1:30">
      <c r="P1" s="717" t="s">
        <v>14</v>
      </c>
      <c r="Q1" s="717" t="s">
        <v>14</v>
      </c>
    </row>
    <row r="2" spans="1:30" ht="29.45">
      <c r="F2" s="1201" t="s">
        <v>0</v>
      </c>
      <c r="G2" s="1202"/>
      <c r="H2" s="1202"/>
      <c r="I2" s="1202"/>
    </row>
    <row r="3" spans="1:30" ht="18">
      <c r="F3" s="500" t="s">
        <v>227</v>
      </c>
      <c r="G3" s="1199" t="s">
        <v>228</v>
      </c>
      <c r="H3" s="1200"/>
      <c r="I3" s="6"/>
    </row>
    <row r="4" spans="1:30" ht="18">
      <c r="F4" s="501" t="s">
        <v>229</v>
      </c>
      <c r="G4" s="1187" t="s">
        <v>230</v>
      </c>
      <c r="H4" s="1188"/>
      <c r="I4" s="6"/>
    </row>
    <row r="5" spans="1:30" ht="37.5" customHeight="1">
      <c r="A5" s="606" t="s">
        <v>231</v>
      </c>
      <c r="B5" s="606" t="s">
        <v>232</v>
      </c>
      <c r="C5" s="607" t="s">
        <v>233</v>
      </c>
      <c r="F5" s="501" t="s">
        <v>234</v>
      </c>
      <c r="G5" s="1177" t="s">
        <v>235</v>
      </c>
      <c r="H5" s="1178"/>
      <c r="I5" s="9"/>
      <c r="J5" s="608" t="s">
        <v>236</v>
      </c>
      <c r="K5" s="971" t="s">
        <v>237</v>
      </c>
      <c r="L5" s="993"/>
      <c r="M5" s="993"/>
      <c r="N5" s="993"/>
      <c r="O5" s="993"/>
    </row>
    <row r="6" spans="1:30" ht="45" customHeight="1">
      <c r="F6" s="502" t="s">
        <v>238</v>
      </c>
      <c r="G6" s="799" t="s">
        <v>239</v>
      </c>
      <c r="H6" s="599"/>
      <c r="I6" s="9"/>
      <c r="J6" s="609">
        <f>J114</f>
        <v>100</v>
      </c>
      <c r="K6" s="994">
        <f>K117</f>
        <v>0</v>
      </c>
      <c r="L6" s="993"/>
      <c r="M6" s="993"/>
      <c r="N6" s="993"/>
      <c r="O6" s="993"/>
    </row>
    <row r="7" spans="1:30" ht="37.5" customHeight="1">
      <c r="G7" s="611"/>
      <c r="H7" s="605"/>
      <c r="I7" s="611"/>
      <c r="J7" s="605"/>
      <c r="K7" s="995"/>
      <c r="L7" s="993"/>
      <c r="M7" s="1176" t="s">
        <v>240</v>
      </c>
      <c r="N7" s="1176"/>
      <c r="O7" s="972" t="s">
        <v>241</v>
      </c>
    </row>
    <row r="8" spans="1:30" ht="45" customHeight="1">
      <c r="E8" s="613" t="s">
        <v>242</v>
      </c>
      <c r="F8" s="614" t="s">
        <v>243</v>
      </c>
      <c r="G8" s="614" t="s">
        <v>244</v>
      </c>
      <c r="H8" s="608" t="s">
        <v>245</v>
      </c>
      <c r="I8" s="614" t="s">
        <v>246</v>
      </c>
      <c r="J8" s="608" t="s">
        <v>247</v>
      </c>
      <c r="K8" s="971" t="s">
        <v>248</v>
      </c>
      <c r="L8" s="976"/>
      <c r="M8" s="971" t="s">
        <v>249</v>
      </c>
      <c r="N8" s="971" t="s">
        <v>250</v>
      </c>
      <c r="O8" s="971" t="s">
        <v>251</v>
      </c>
      <c r="P8" s="7" t="s">
        <v>252</v>
      </c>
      <c r="Q8" s="7" t="s">
        <v>253</v>
      </c>
      <c r="AB8" s="164"/>
      <c r="AC8" s="164"/>
      <c r="AD8" s="164" t="s">
        <v>235</v>
      </c>
    </row>
    <row r="9" spans="1:30" ht="45" customHeight="1">
      <c r="E9" s="615"/>
      <c r="F9" s="616" t="s">
        <v>254</v>
      </c>
      <c r="G9" s="615"/>
      <c r="H9" s="617"/>
      <c r="I9" s="615"/>
      <c r="J9" s="617">
        <f>15-SUM(B10:B27)</f>
        <v>15</v>
      </c>
      <c r="K9" s="973"/>
      <c r="L9" s="976"/>
      <c r="M9" s="973"/>
      <c r="N9" s="973"/>
      <c r="O9" s="973"/>
      <c r="P9" s="21"/>
      <c r="Q9" s="21"/>
      <c r="X9" s="618"/>
      <c r="Y9" s="618"/>
      <c r="Z9" s="619"/>
      <c r="AB9" s="164" t="s">
        <v>255</v>
      </c>
      <c r="AC9" s="164" t="s">
        <v>241</v>
      </c>
      <c r="AD9" s="164" t="s">
        <v>256</v>
      </c>
    </row>
    <row r="10" spans="1:30" ht="45" customHeight="1">
      <c r="E10" s="620"/>
      <c r="F10" s="621" t="s">
        <v>257</v>
      </c>
      <c r="G10" s="622" t="s">
        <v>258</v>
      </c>
      <c r="H10" s="623">
        <v>1</v>
      </c>
      <c r="I10" s="622" t="s">
        <v>257</v>
      </c>
      <c r="J10" s="624">
        <v>1</v>
      </c>
      <c r="K10" s="996"/>
      <c r="L10" s="997"/>
      <c r="M10" s="974"/>
      <c r="N10" s="974"/>
      <c r="O10" s="998"/>
      <c r="P10" s="807" t="str">
        <f>IF(M10=0,"no","yes")</f>
        <v>no</v>
      </c>
      <c r="Q10" s="807" t="str">
        <f>IF(N10=0,"no","yes")</f>
        <v>no</v>
      </c>
      <c r="X10" s="618"/>
      <c r="Y10" s="618"/>
      <c r="Z10" s="619"/>
      <c r="AB10" s="164" t="s">
        <v>240</v>
      </c>
      <c r="AC10" s="164" t="s">
        <v>259</v>
      </c>
      <c r="AD10" s="164" t="s">
        <v>260</v>
      </c>
    </row>
    <row r="11" spans="1:30" ht="45" customHeight="1">
      <c r="E11" s="620"/>
      <c r="F11" s="1189" t="s">
        <v>261</v>
      </c>
      <c r="G11" s="1183" t="s">
        <v>262</v>
      </c>
      <c r="H11" s="625">
        <v>2.1</v>
      </c>
      <c r="I11" s="622" t="s">
        <v>263</v>
      </c>
      <c r="J11" s="626" t="s">
        <v>264</v>
      </c>
      <c r="K11" s="999"/>
      <c r="L11" s="997"/>
      <c r="M11" s="974"/>
      <c r="N11" s="974"/>
      <c r="O11" s="998"/>
      <c r="P11" s="807" t="str">
        <f t="shared" ref="P11:P27" si="0">IF(M11=0,"no","yes")</f>
        <v>no</v>
      </c>
      <c r="Q11" s="807" t="str">
        <f t="shared" ref="Q11:Q27" si="1">IF(N11=0,"no","yes")</f>
        <v>no</v>
      </c>
      <c r="V11" s="627" t="s">
        <v>265</v>
      </c>
      <c r="W11" s="627"/>
      <c r="X11" s="618"/>
      <c r="Y11" s="618" t="s">
        <v>266</v>
      </c>
      <c r="Z11" s="619"/>
      <c r="AB11" s="164" t="s">
        <v>267</v>
      </c>
      <c r="AC11" s="164" t="s">
        <v>268</v>
      </c>
      <c r="AD11" s="164" t="s">
        <v>269</v>
      </c>
    </row>
    <row r="12" spans="1:30" ht="45" customHeight="1">
      <c r="E12" s="620"/>
      <c r="F12" s="1182"/>
      <c r="G12" s="1190"/>
      <c r="H12" s="628">
        <v>2.2000000000000002</v>
      </c>
      <c r="I12" s="629" t="s">
        <v>270</v>
      </c>
      <c r="J12" s="630">
        <v>1</v>
      </c>
      <c r="K12" s="996"/>
      <c r="L12" s="997" t="str">
        <f t="shared" ref="L12:L15" si="2">IF(AND(K12&gt;0,$K$11&lt;&gt;$Y$11),"!","")</f>
        <v/>
      </c>
      <c r="M12" s="974"/>
      <c r="N12" s="974"/>
      <c r="O12" s="998"/>
      <c r="P12" s="807" t="str">
        <f t="shared" si="0"/>
        <v>no</v>
      </c>
      <c r="Q12" s="807" t="str">
        <f t="shared" si="1"/>
        <v>no</v>
      </c>
      <c r="V12" s="627" t="s">
        <v>271</v>
      </c>
      <c r="W12" s="627" t="s">
        <v>272</v>
      </c>
      <c r="X12" s="618" t="s">
        <v>273</v>
      </c>
      <c r="Y12" s="618" t="s">
        <v>274</v>
      </c>
      <c r="Z12" s="619"/>
      <c r="AB12" s="164"/>
      <c r="AC12" s="164"/>
      <c r="AD12" s="164"/>
    </row>
    <row r="13" spans="1:30" ht="45" customHeight="1">
      <c r="E13" s="620"/>
      <c r="F13" s="1182"/>
      <c r="G13" s="1190"/>
      <c r="H13" s="628">
        <v>2.2999999999999998</v>
      </c>
      <c r="I13" s="629" t="s">
        <v>275</v>
      </c>
      <c r="J13" s="630">
        <v>1</v>
      </c>
      <c r="K13" s="996"/>
      <c r="L13" s="997" t="str">
        <f t="shared" si="2"/>
        <v/>
      </c>
      <c r="M13" s="974"/>
      <c r="N13" s="974"/>
      <c r="O13" s="998"/>
      <c r="P13" s="807" t="str">
        <f t="shared" si="0"/>
        <v>no</v>
      </c>
      <c r="Q13" s="807" t="str">
        <f t="shared" si="1"/>
        <v>no</v>
      </c>
      <c r="W13" s="627" t="s">
        <v>276</v>
      </c>
      <c r="X13" s="618" t="s">
        <v>277</v>
      </c>
      <c r="Y13" s="619"/>
      <c r="Z13" s="619"/>
    </row>
    <row r="14" spans="1:30" ht="45" customHeight="1">
      <c r="E14" s="620"/>
      <c r="F14" s="1182"/>
      <c r="G14" s="1190"/>
      <c r="H14" s="628">
        <v>2.4</v>
      </c>
      <c r="I14" s="629" t="s">
        <v>278</v>
      </c>
      <c r="J14" s="630">
        <v>1</v>
      </c>
      <c r="K14" s="996"/>
      <c r="L14" s="997" t="str">
        <f t="shared" si="2"/>
        <v/>
      </c>
      <c r="M14" s="974"/>
      <c r="N14" s="974"/>
      <c r="O14" s="998"/>
      <c r="P14" s="807" t="str">
        <f t="shared" si="0"/>
        <v>no</v>
      </c>
      <c r="Q14" s="807" t="str">
        <f t="shared" si="1"/>
        <v>no</v>
      </c>
      <c r="W14" s="627" t="s">
        <v>279</v>
      </c>
      <c r="X14" s="618" t="s">
        <v>280</v>
      </c>
      <c r="Y14" s="619"/>
      <c r="Z14" s="619"/>
    </row>
    <row r="15" spans="1:30" ht="45" customHeight="1">
      <c r="E15" s="620"/>
      <c r="F15" s="1182"/>
      <c r="G15" s="1184"/>
      <c r="H15" s="628">
        <v>2.5</v>
      </c>
      <c r="I15" s="629" t="s">
        <v>281</v>
      </c>
      <c r="J15" s="630">
        <v>1</v>
      </c>
      <c r="K15" s="996"/>
      <c r="L15" s="997" t="str">
        <f t="shared" si="2"/>
        <v/>
      </c>
      <c r="M15" s="974"/>
      <c r="N15" s="974"/>
      <c r="O15" s="998"/>
      <c r="P15" s="807" t="str">
        <f t="shared" si="0"/>
        <v>no</v>
      </c>
      <c r="Q15" s="807" t="str">
        <f t="shared" si="1"/>
        <v>no</v>
      </c>
      <c r="W15" s="627" t="s">
        <v>282</v>
      </c>
      <c r="X15" s="618"/>
      <c r="Y15" s="619"/>
      <c r="Z15" s="619"/>
    </row>
    <row r="16" spans="1:30" ht="45" customHeight="1">
      <c r="E16" s="620"/>
      <c r="F16" s="1206" t="s">
        <v>283</v>
      </c>
      <c r="G16" s="1183" t="s">
        <v>284</v>
      </c>
      <c r="H16" s="620">
        <v>3.1</v>
      </c>
      <c r="I16" s="622" t="s">
        <v>285</v>
      </c>
      <c r="J16" s="624">
        <v>2</v>
      </c>
      <c r="K16" s="996"/>
      <c r="L16" s="997"/>
      <c r="M16" s="974"/>
      <c r="N16" s="974"/>
      <c r="O16" s="998"/>
      <c r="P16" s="807" t="str">
        <f t="shared" si="0"/>
        <v>no</v>
      </c>
      <c r="Q16" s="807" t="str">
        <f t="shared" si="1"/>
        <v>no</v>
      </c>
      <c r="X16" s="619"/>
      <c r="Y16" s="619"/>
      <c r="Z16" s="619"/>
    </row>
    <row r="17" spans="1:26" ht="45" customHeight="1">
      <c r="E17" s="620"/>
      <c r="F17" s="1189"/>
      <c r="G17" s="1184"/>
      <c r="H17" s="620">
        <v>3.2</v>
      </c>
      <c r="I17" s="622" t="s">
        <v>286</v>
      </c>
      <c r="J17" s="624">
        <v>1</v>
      </c>
      <c r="K17" s="996"/>
      <c r="L17" s="997"/>
      <c r="M17" s="974"/>
      <c r="N17" s="974"/>
      <c r="O17" s="998"/>
      <c r="P17" s="807" t="str">
        <f t="shared" si="0"/>
        <v>no</v>
      </c>
      <c r="Q17" s="807" t="str">
        <f t="shared" si="1"/>
        <v>no</v>
      </c>
      <c r="X17" s="619"/>
      <c r="Y17" s="619"/>
      <c r="Z17" s="619"/>
    </row>
    <row r="18" spans="1:26" ht="87" customHeight="1">
      <c r="E18" s="620"/>
      <c r="F18" s="621" t="s">
        <v>38</v>
      </c>
      <c r="G18" s="631" t="s">
        <v>287</v>
      </c>
      <c r="H18" s="623">
        <v>4.0999999999999996</v>
      </c>
      <c r="I18" s="622" t="s">
        <v>38</v>
      </c>
      <c r="J18" s="624">
        <v>1</v>
      </c>
      <c r="K18" s="996"/>
      <c r="L18" s="997"/>
      <c r="M18" s="974"/>
      <c r="N18" s="974"/>
      <c r="O18" s="998"/>
      <c r="P18" s="807" t="str">
        <f t="shared" si="0"/>
        <v>no</v>
      </c>
      <c r="Q18" s="807" t="str">
        <f t="shared" si="1"/>
        <v>no</v>
      </c>
      <c r="X18" s="619"/>
      <c r="Y18" s="619"/>
      <c r="Z18" s="619"/>
    </row>
    <row r="19" spans="1:26" ht="45" customHeight="1">
      <c r="E19" s="620"/>
      <c r="F19" s="1182" t="s">
        <v>288</v>
      </c>
      <c r="G19" s="1195" t="s">
        <v>289</v>
      </c>
      <c r="H19" s="620">
        <v>5.0999999999999996</v>
      </c>
      <c r="I19" s="622" t="s">
        <v>290</v>
      </c>
      <c r="J19" s="624">
        <v>1</v>
      </c>
      <c r="K19" s="996"/>
      <c r="L19" s="997"/>
      <c r="M19" s="974"/>
      <c r="N19" s="974"/>
      <c r="O19" s="998"/>
      <c r="P19" s="807" t="str">
        <f t="shared" si="0"/>
        <v>no</v>
      </c>
      <c r="Q19" s="807" t="str">
        <f t="shared" si="1"/>
        <v>no</v>
      </c>
      <c r="X19" s="619"/>
      <c r="Y19" s="619"/>
      <c r="Z19" s="619"/>
    </row>
    <row r="20" spans="1:26" ht="45" customHeight="1">
      <c r="E20" s="620"/>
      <c r="F20" s="1182"/>
      <c r="G20" s="1195"/>
      <c r="H20" s="620">
        <v>5.2</v>
      </c>
      <c r="I20" s="622" t="s">
        <v>291</v>
      </c>
      <c r="J20" s="624">
        <v>1</v>
      </c>
      <c r="K20" s="996"/>
      <c r="L20" s="997"/>
      <c r="M20" s="974"/>
      <c r="N20" s="974"/>
      <c r="O20" s="998"/>
      <c r="P20" s="807" t="str">
        <f t="shared" si="0"/>
        <v>no</v>
      </c>
      <c r="Q20" s="807" t="str">
        <f t="shared" si="1"/>
        <v>no</v>
      </c>
      <c r="X20" s="619"/>
      <c r="Y20" s="619"/>
      <c r="Z20" s="619"/>
    </row>
    <row r="21" spans="1:26" ht="45" customHeight="1">
      <c r="E21" s="620"/>
      <c r="F21" s="1182" t="s">
        <v>292</v>
      </c>
      <c r="G21" s="1195" t="s">
        <v>293</v>
      </c>
      <c r="H21" s="620">
        <v>6.1</v>
      </c>
      <c r="I21" s="622" t="s">
        <v>294</v>
      </c>
      <c r="J21" s="632" t="s">
        <v>264</v>
      </c>
      <c r="K21" s="999"/>
      <c r="L21" s="997"/>
      <c r="M21" s="974"/>
      <c r="N21" s="974"/>
      <c r="O21" s="998"/>
      <c r="P21" s="807" t="str">
        <f t="shared" si="0"/>
        <v>no</v>
      </c>
      <c r="Q21" s="807" t="str">
        <f t="shared" si="1"/>
        <v>no</v>
      </c>
      <c r="X21" s="619"/>
      <c r="Y21" s="619"/>
      <c r="Z21" s="619"/>
    </row>
    <row r="22" spans="1:26" ht="45" customHeight="1">
      <c r="E22" s="620"/>
      <c r="F22" s="1182"/>
      <c r="G22" s="1195"/>
      <c r="H22" s="620">
        <v>6.2</v>
      </c>
      <c r="I22" s="622" t="s">
        <v>295</v>
      </c>
      <c r="J22" s="624">
        <v>1</v>
      </c>
      <c r="K22" s="996"/>
      <c r="L22" s="997" t="str">
        <f>IF(AND(K22&gt;0,$K$21&lt;&gt;$Y$11),"!","")</f>
        <v/>
      </c>
      <c r="M22" s="974"/>
      <c r="N22" s="974"/>
      <c r="O22" s="998"/>
      <c r="P22" s="807" t="str">
        <f t="shared" si="0"/>
        <v>no</v>
      </c>
      <c r="Q22" s="807" t="str">
        <f t="shared" si="1"/>
        <v>no</v>
      </c>
      <c r="X22" s="619"/>
      <c r="Y22" s="619"/>
      <c r="Z22" s="619"/>
    </row>
    <row r="23" spans="1:26" ht="45" customHeight="1">
      <c r="E23" s="620"/>
      <c r="F23" s="1206" t="s">
        <v>296</v>
      </c>
      <c r="G23" s="1183" t="s">
        <v>297</v>
      </c>
      <c r="H23" s="620">
        <v>7.1</v>
      </c>
      <c r="I23" s="622" t="s">
        <v>298</v>
      </c>
      <c r="J23" s="633" t="s">
        <v>264</v>
      </c>
      <c r="K23" s="1000"/>
      <c r="L23" s="997"/>
      <c r="M23" s="974"/>
      <c r="N23" s="974"/>
      <c r="O23" s="998"/>
      <c r="P23" s="807" t="str">
        <f t="shared" si="0"/>
        <v>no</v>
      </c>
      <c r="Q23" s="807" t="str">
        <f t="shared" si="1"/>
        <v>no</v>
      </c>
      <c r="X23" s="619"/>
      <c r="Y23" s="619"/>
      <c r="Z23" s="619"/>
    </row>
    <row r="24" spans="1:26" ht="45" customHeight="1">
      <c r="E24" s="620"/>
      <c r="F24" s="1207"/>
      <c r="G24" s="1190"/>
      <c r="H24" s="620">
        <v>7.2</v>
      </c>
      <c r="I24" s="622" t="s">
        <v>299</v>
      </c>
      <c r="J24" s="634">
        <v>1</v>
      </c>
      <c r="K24" s="1001"/>
      <c r="L24" s="997" t="str">
        <f>IF(AND(K24&gt;0,$K$23&lt;&gt;$Y$11),"!","")</f>
        <v/>
      </c>
      <c r="M24" s="974"/>
      <c r="N24" s="974"/>
      <c r="O24" s="998"/>
      <c r="P24" s="807" t="str">
        <f t="shared" si="0"/>
        <v>no</v>
      </c>
      <c r="Q24" s="807" t="str">
        <f t="shared" si="1"/>
        <v>no</v>
      </c>
      <c r="X24" s="619"/>
      <c r="Y24" s="619"/>
      <c r="Z24" s="619"/>
    </row>
    <row r="25" spans="1:26" ht="45" customHeight="1">
      <c r="E25" s="620"/>
      <c r="F25" s="1189"/>
      <c r="G25" s="1184"/>
      <c r="H25" s="620">
        <v>7.3</v>
      </c>
      <c r="I25" s="622" t="s">
        <v>46</v>
      </c>
      <c r="J25" s="634">
        <v>1</v>
      </c>
      <c r="K25" s="1001"/>
      <c r="L25" s="997" t="str">
        <f>IF(AND(K25&gt;0,$K$23&lt;&gt;$Y$11),"!","")</f>
        <v/>
      </c>
      <c r="M25" s="974"/>
      <c r="N25" s="974"/>
      <c r="O25" s="998"/>
      <c r="P25" s="807" t="str">
        <f t="shared" si="0"/>
        <v>no</v>
      </c>
      <c r="Q25" s="807" t="str">
        <f t="shared" si="1"/>
        <v>no</v>
      </c>
      <c r="X25" s="619"/>
      <c r="Y25" s="619"/>
      <c r="Z25" s="619"/>
    </row>
    <row r="26" spans="1:26" ht="45" customHeight="1">
      <c r="E26" s="620"/>
      <c r="F26" s="1206" t="s">
        <v>300</v>
      </c>
      <c r="G26" s="1210" t="s">
        <v>265</v>
      </c>
      <c r="H26" s="620" t="s">
        <v>301</v>
      </c>
      <c r="I26" s="622" t="s">
        <v>302</v>
      </c>
      <c r="J26" s="634">
        <f>IF(G26=V11,1,"0")</f>
        <v>1</v>
      </c>
      <c r="K26" s="1001"/>
      <c r="L26" s="997" t="str">
        <f>IF(AND(K26&gt;0,G26="Prescriptive Pathway"),"!","")</f>
        <v/>
      </c>
      <c r="M26" s="974"/>
      <c r="N26" s="974"/>
      <c r="O26" s="998"/>
      <c r="P26" s="807" t="str">
        <f t="shared" si="0"/>
        <v>no</v>
      </c>
      <c r="Q26" s="807" t="str">
        <f t="shared" si="1"/>
        <v>no</v>
      </c>
      <c r="X26" s="619"/>
      <c r="Y26" s="619"/>
      <c r="Z26" s="619"/>
    </row>
    <row r="27" spans="1:26" ht="45" customHeight="1">
      <c r="E27" s="620"/>
      <c r="F27" s="1189"/>
      <c r="G27" s="1211"/>
      <c r="H27" s="620" t="s">
        <v>303</v>
      </c>
      <c r="I27" s="622" t="s">
        <v>304</v>
      </c>
      <c r="J27" s="634" t="str">
        <f>IF(G26=V12,1,"0")</f>
        <v>0</v>
      </c>
      <c r="K27" s="1001"/>
      <c r="L27" s="997" t="str">
        <f>IF(AND(K27&gt;0,G26="Performance Pathway"),"!","")</f>
        <v/>
      </c>
      <c r="M27" s="974"/>
      <c r="N27" s="974"/>
      <c r="O27" s="998"/>
      <c r="P27" s="807" t="str">
        <f t="shared" si="0"/>
        <v>no</v>
      </c>
      <c r="Q27" s="807" t="str">
        <f t="shared" si="1"/>
        <v>no</v>
      </c>
    </row>
    <row r="28" spans="1:26" ht="37.5" customHeight="1">
      <c r="E28" s="635"/>
      <c r="F28" s="635" t="s">
        <v>305</v>
      </c>
      <c r="G28" s="635"/>
      <c r="H28" s="636"/>
      <c r="I28" s="635"/>
      <c r="J28" s="636">
        <f>SUM(J10:J27)</f>
        <v>15</v>
      </c>
      <c r="K28" s="1002">
        <f>SUM(K10:K27)</f>
        <v>0</v>
      </c>
      <c r="L28" s="997" t="str">
        <f>IF(K28&gt;J28,"!","")</f>
        <v/>
      </c>
      <c r="M28" s="1003"/>
      <c r="N28" s="1003"/>
      <c r="O28" s="1003"/>
      <c r="P28" s="19"/>
      <c r="Q28" s="19"/>
    </row>
    <row r="29" spans="1:26" ht="45" customHeight="1">
      <c r="F29" s="637"/>
      <c r="G29" s="638"/>
      <c r="H29" s="639"/>
      <c r="I29" s="640"/>
      <c r="J29" s="641"/>
      <c r="K29" s="1004"/>
      <c r="L29" s="976"/>
      <c r="M29" s="642"/>
      <c r="N29" s="643"/>
      <c r="O29" s="643"/>
      <c r="P29" s="643"/>
      <c r="Q29" s="643"/>
    </row>
    <row r="30" spans="1:26" ht="45" customHeight="1">
      <c r="E30" s="615"/>
      <c r="F30" s="1216" t="s">
        <v>306</v>
      </c>
      <c r="G30" s="1216"/>
      <c r="H30" s="1216"/>
      <c r="I30" s="1216"/>
      <c r="J30" s="644">
        <f>17-SUM(B31:B47)</f>
        <v>17</v>
      </c>
      <c r="K30" s="975"/>
      <c r="L30" s="997"/>
      <c r="M30" s="646"/>
      <c r="N30" s="647"/>
      <c r="O30" s="647"/>
      <c r="P30" s="647"/>
      <c r="Q30" s="647"/>
    </row>
    <row r="31" spans="1:26" ht="45" customHeight="1">
      <c r="A31" s="604">
        <v>1</v>
      </c>
      <c r="B31" s="604">
        <f t="shared" ref="B31:B36" si="3">IF(C31=TRUE,A31,0)</f>
        <v>0</v>
      </c>
      <c r="C31" s="604" t="b">
        <v>0</v>
      </c>
      <c r="E31" s="620"/>
      <c r="F31" s="1194" t="s">
        <v>307</v>
      </c>
      <c r="G31" s="1195" t="s">
        <v>308</v>
      </c>
      <c r="H31" s="620">
        <v>9.1</v>
      </c>
      <c r="I31" s="648" t="s">
        <v>309</v>
      </c>
      <c r="J31" s="649">
        <f t="shared" ref="J31:J36" si="4">IF(C31=FALSE,A31,0)</f>
        <v>1</v>
      </c>
      <c r="K31" s="1005"/>
      <c r="L31" s="997"/>
      <c r="M31" s="974"/>
      <c r="N31" s="974"/>
      <c r="O31" s="1006"/>
      <c r="P31" s="807" t="str">
        <f>IF(M31=0,"no","yes")</f>
        <v>no</v>
      </c>
      <c r="Q31" s="807" t="str">
        <f>IF(N31=0,"no","yes")</f>
        <v>no</v>
      </c>
    </row>
    <row r="32" spans="1:26" ht="45" customHeight="1">
      <c r="A32" s="604">
        <v>2</v>
      </c>
      <c r="B32" s="604">
        <f t="shared" si="3"/>
        <v>0</v>
      </c>
      <c r="C32" s="604" t="b">
        <v>0</v>
      </c>
      <c r="E32" s="620"/>
      <c r="F32" s="1194"/>
      <c r="G32" s="1195"/>
      <c r="H32" s="620">
        <v>9.1999999999999993</v>
      </c>
      <c r="I32" s="648" t="s">
        <v>310</v>
      </c>
      <c r="J32" s="649">
        <f t="shared" si="4"/>
        <v>2</v>
      </c>
      <c r="K32" s="1005"/>
      <c r="L32" s="997"/>
      <c r="M32" s="974"/>
      <c r="N32" s="974"/>
      <c r="O32" s="1006"/>
      <c r="P32" s="807" t="str">
        <f t="shared" ref="P32:P47" si="5">IF(M32=0,"no","yes")</f>
        <v>no</v>
      </c>
      <c r="Q32" s="807" t="str">
        <f t="shared" ref="Q32:Q47" si="6">IF(N32=0,"no","yes")</f>
        <v>no</v>
      </c>
    </row>
    <row r="33" spans="1:17" ht="45" customHeight="1">
      <c r="A33" s="604">
        <v>1</v>
      </c>
      <c r="B33" s="604">
        <f t="shared" si="3"/>
        <v>0</v>
      </c>
      <c r="C33" s="604" t="b">
        <v>0</v>
      </c>
      <c r="E33" s="620"/>
      <c r="F33" s="1194"/>
      <c r="G33" s="1195"/>
      <c r="H33" s="620">
        <v>9.3000000000000007</v>
      </c>
      <c r="I33" s="648" t="s">
        <v>311</v>
      </c>
      <c r="J33" s="649">
        <f t="shared" si="4"/>
        <v>1</v>
      </c>
      <c r="K33" s="1005"/>
      <c r="L33" s="997"/>
      <c r="M33" s="974"/>
      <c r="N33" s="974"/>
      <c r="O33" s="1006"/>
      <c r="P33" s="807" t="str">
        <f t="shared" si="5"/>
        <v>no</v>
      </c>
      <c r="Q33" s="807" t="str">
        <f t="shared" si="6"/>
        <v>no</v>
      </c>
    </row>
    <row r="34" spans="1:17" ht="45" customHeight="1">
      <c r="A34" s="604">
        <v>1</v>
      </c>
      <c r="B34" s="604">
        <f t="shared" si="3"/>
        <v>0</v>
      </c>
      <c r="C34" s="604" t="b">
        <v>0</v>
      </c>
      <c r="E34" s="620"/>
      <c r="F34" s="1194" t="s">
        <v>312</v>
      </c>
      <c r="G34" s="1195" t="s">
        <v>313</v>
      </c>
      <c r="H34" s="620">
        <v>10.1</v>
      </c>
      <c r="I34" s="648" t="s">
        <v>314</v>
      </c>
      <c r="J34" s="649">
        <f t="shared" si="4"/>
        <v>1</v>
      </c>
      <c r="K34" s="1005"/>
      <c r="L34" s="997"/>
      <c r="M34" s="974"/>
      <c r="N34" s="974"/>
      <c r="O34" s="1006"/>
      <c r="P34" s="807" t="str">
        <f t="shared" si="5"/>
        <v>no</v>
      </c>
      <c r="Q34" s="807" t="str">
        <f t="shared" si="6"/>
        <v>no</v>
      </c>
    </row>
    <row r="35" spans="1:17" ht="45" customHeight="1">
      <c r="A35" s="604">
        <v>1</v>
      </c>
      <c r="B35" s="604">
        <f t="shared" si="3"/>
        <v>0</v>
      </c>
      <c r="C35" s="604" t="b">
        <v>0</v>
      </c>
      <c r="E35" s="620"/>
      <c r="F35" s="1194"/>
      <c r="G35" s="1195"/>
      <c r="H35" s="620">
        <v>10.199999999999999</v>
      </c>
      <c r="I35" s="648" t="s">
        <v>315</v>
      </c>
      <c r="J35" s="649">
        <f t="shared" si="4"/>
        <v>1</v>
      </c>
      <c r="K35" s="1005"/>
      <c r="L35" s="997"/>
      <c r="M35" s="974"/>
      <c r="N35" s="974"/>
      <c r="O35" s="1006"/>
      <c r="P35" s="807" t="str">
        <f t="shared" si="5"/>
        <v>no</v>
      </c>
      <c r="Q35" s="807" t="str">
        <f t="shared" si="6"/>
        <v>no</v>
      </c>
    </row>
    <row r="36" spans="1:17" ht="45" customHeight="1">
      <c r="A36" s="604">
        <v>1</v>
      </c>
      <c r="B36" s="604">
        <f t="shared" si="3"/>
        <v>0</v>
      </c>
      <c r="C36" s="604" t="b">
        <v>0</v>
      </c>
      <c r="E36" s="620"/>
      <c r="F36" s="1194"/>
      <c r="G36" s="1195"/>
      <c r="H36" s="620">
        <v>10.3</v>
      </c>
      <c r="I36" s="648" t="s">
        <v>316</v>
      </c>
      <c r="J36" s="649">
        <f t="shared" si="4"/>
        <v>1</v>
      </c>
      <c r="K36" s="1005"/>
      <c r="L36" s="997"/>
      <c r="M36" s="974"/>
      <c r="N36" s="974"/>
      <c r="O36" s="1006"/>
      <c r="P36" s="807" t="str">
        <f t="shared" si="5"/>
        <v>no</v>
      </c>
      <c r="Q36" s="807" t="str">
        <f t="shared" si="6"/>
        <v>no</v>
      </c>
    </row>
    <row r="37" spans="1:17" ht="45" customHeight="1">
      <c r="E37" s="620"/>
      <c r="F37" s="1194" t="s">
        <v>317</v>
      </c>
      <c r="G37" s="1195" t="s">
        <v>318</v>
      </c>
      <c r="H37" s="620">
        <v>11.1</v>
      </c>
      <c r="I37" s="648" t="s">
        <v>319</v>
      </c>
      <c r="J37" s="650" t="s">
        <v>264</v>
      </c>
      <c r="K37" s="1005"/>
      <c r="L37" s="997"/>
      <c r="M37" s="974"/>
      <c r="N37" s="974"/>
      <c r="O37" s="1006"/>
      <c r="P37" s="807" t="str">
        <f t="shared" si="5"/>
        <v>no</v>
      </c>
      <c r="Q37" s="807" t="str">
        <f t="shared" si="6"/>
        <v>no</v>
      </c>
    </row>
    <row r="38" spans="1:17" ht="45" customHeight="1">
      <c r="A38" s="604">
        <v>1</v>
      </c>
      <c r="B38" s="604">
        <f>IF(C38=TRUE,A38,0)</f>
        <v>0</v>
      </c>
      <c r="C38" s="604" t="b">
        <v>0</v>
      </c>
      <c r="E38" s="620"/>
      <c r="F38" s="1194"/>
      <c r="G38" s="1195"/>
      <c r="H38" s="620">
        <v>11.2</v>
      </c>
      <c r="I38" s="648" t="s">
        <v>320</v>
      </c>
      <c r="J38" s="649">
        <f>IF(C38=FALSE,A38,0)</f>
        <v>1</v>
      </c>
      <c r="K38" s="1005"/>
      <c r="L38" s="997" t="str">
        <f>IF(AND(K38&gt;0,$K$37&lt;&gt;$Y$11),"!","")</f>
        <v/>
      </c>
      <c r="M38" s="974"/>
      <c r="N38" s="974"/>
      <c r="O38" s="1006"/>
      <c r="P38" s="807" t="str">
        <f t="shared" si="5"/>
        <v>no</v>
      </c>
      <c r="Q38" s="807" t="str">
        <f t="shared" si="6"/>
        <v>no</v>
      </c>
    </row>
    <row r="39" spans="1:17" ht="45" customHeight="1">
      <c r="A39" s="604">
        <v>1</v>
      </c>
      <c r="B39" s="604">
        <f>IF(C39=TRUE,A39,0)</f>
        <v>0</v>
      </c>
      <c r="C39" s="604" t="b">
        <v>0</v>
      </c>
      <c r="E39" s="620"/>
      <c r="F39" s="1194"/>
      <c r="G39" s="1195"/>
      <c r="H39" s="620">
        <v>11.3</v>
      </c>
      <c r="I39" s="648" t="s">
        <v>321</v>
      </c>
      <c r="J39" s="649">
        <f>IF(C39=FALSE,A39,0)</f>
        <v>1</v>
      </c>
      <c r="K39" s="1005"/>
      <c r="L39" s="997" t="str">
        <f>IF(AND(K39&gt;0,$K$37&lt;&gt;$Y$11),"!","")</f>
        <v/>
      </c>
      <c r="M39" s="974"/>
      <c r="N39" s="974"/>
      <c r="O39" s="1006"/>
      <c r="P39" s="807" t="str">
        <f t="shared" si="5"/>
        <v>no</v>
      </c>
      <c r="Q39" s="807" t="str">
        <f t="shared" si="6"/>
        <v>no</v>
      </c>
    </row>
    <row r="40" spans="1:17" ht="45" customHeight="1">
      <c r="A40" s="604">
        <v>1</v>
      </c>
      <c r="B40" s="604">
        <f>IF(C40=TRUE,A40,0)</f>
        <v>0</v>
      </c>
      <c r="C40" s="604" t="b">
        <v>0</v>
      </c>
      <c r="E40" s="620"/>
      <c r="F40" s="1194"/>
      <c r="G40" s="1195"/>
      <c r="H40" s="620">
        <v>11.4</v>
      </c>
      <c r="I40" s="648" t="s">
        <v>322</v>
      </c>
      <c r="J40" s="649">
        <f>IF(C40=FALSE,A40,0)</f>
        <v>1</v>
      </c>
      <c r="K40" s="1005"/>
      <c r="L40" s="997" t="str">
        <f>IF(AND(K40&gt;0,$K$37&lt;&gt;$Y$11),"!","")</f>
        <v/>
      </c>
      <c r="M40" s="974"/>
      <c r="N40" s="974"/>
      <c r="O40" s="1006"/>
      <c r="P40" s="807" t="str">
        <f t="shared" si="5"/>
        <v>no</v>
      </c>
      <c r="Q40" s="807" t="str">
        <f t="shared" si="6"/>
        <v>no</v>
      </c>
    </row>
    <row r="41" spans="1:17" ht="45" customHeight="1">
      <c r="E41" s="620"/>
      <c r="F41" s="1194" t="s">
        <v>323</v>
      </c>
      <c r="G41" s="1195" t="s">
        <v>324</v>
      </c>
      <c r="H41" s="620">
        <v>12.1</v>
      </c>
      <c r="I41" s="648" t="s">
        <v>325</v>
      </c>
      <c r="J41" s="650" t="s">
        <v>264</v>
      </c>
      <c r="K41" s="1005"/>
      <c r="L41" s="997"/>
      <c r="M41" s="974"/>
      <c r="N41" s="974"/>
      <c r="O41" s="1006"/>
      <c r="P41" s="807" t="str">
        <f t="shared" si="5"/>
        <v>no</v>
      </c>
      <c r="Q41" s="807" t="str">
        <f t="shared" si="6"/>
        <v>no</v>
      </c>
    </row>
    <row r="42" spans="1:17" ht="45" customHeight="1">
      <c r="A42" s="604">
        <v>2</v>
      </c>
      <c r="B42" s="604">
        <f t="shared" ref="B42:B47" si="7">IF(C42=TRUE,A42,0)</f>
        <v>0</v>
      </c>
      <c r="C42" s="604" t="b">
        <v>0</v>
      </c>
      <c r="E42" s="620"/>
      <c r="F42" s="1194"/>
      <c r="G42" s="1195"/>
      <c r="H42" s="620">
        <v>12.2</v>
      </c>
      <c r="I42" s="648" t="s">
        <v>326</v>
      </c>
      <c r="J42" s="649">
        <f t="shared" ref="J42:J47" si="8">IF(C42=FALSE,A42,0)</f>
        <v>2</v>
      </c>
      <c r="K42" s="1005"/>
      <c r="L42" s="997" t="str">
        <f>IF(AND(K42&gt;0,$K$41&lt;&gt;$Y$11),"!","")</f>
        <v/>
      </c>
      <c r="M42" s="974"/>
      <c r="N42" s="974"/>
      <c r="O42" s="1006"/>
      <c r="P42" s="807" t="str">
        <f t="shared" si="5"/>
        <v>no</v>
      </c>
      <c r="Q42" s="807" t="str">
        <f t="shared" si="6"/>
        <v>no</v>
      </c>
    </row>
    <row r="43" spans="1:17" ht="45" customHeight="1">
      <c r="A43" s="604">
        <v>1</v>
      </c>
      <c r="B43" s="604">
        <f t="shared" si="7"/>
        <v>0</v>
      </c>
      <c r="C43" s="604" t="b">
        <v>0</v>
      </c>
      <c r="E43" s="620"/>
      <c r="F43" s="1194"/>
      <c r="G43" s="1195"/>
      <c r="H43" s="620">
        <v>12.3</v>
      </c>
      <c r="I43" s="648" t="s">
        <v>327</v>
      </c>
      <c r="J43" s="649">
        <f t="shared" si="8"/>
        <v>1</v>
      </c>
      <c r="K43" s="1005"/>
      <c r="L43" s="997" t="str">
        <f>IF(AND(K43&gt;0,$K$41&lt;&gt;$Y$11),"!","")</f>
        <v/>
      </c>
      <c r="M43" s="974"/>
      <c r="N43" s="974"/>
      <c r="O43" s="1006"/>
      <c r="P43" s="807" t="str">
        <f t="shared" si="5"/>
        <v>no</v>
      </c>
      <c r="Q43" s="807" t="str">
        <f t="shared" si="6"/>
        <v>no</v>
      </c>
    </row>
    <row r="44" spans="1:17" ht="45" customHeight="1">
      <c r="A44" s="604">
        <v>1</v>
      </c>
      <c r="B44" s="604">
        <f t="shared" si="7"/>
        <v>0</v>
      </c>
      <c r="C44" s="604" t="b">
        <v>0</v>
      </c>
      <c r="E44" s="620"/>
      <c r="F44" s="1194" t="s">
        <v>328</v>
      </c>
      <c r="G44" s="1195" t="s">
        <v>329</v>
      </c>
      <c r="H44" s="620">
        <v>13.1</v>
      </c>
      <c r="I44" s="648" t="s">
        <v>330</v>
      </c>
      <c r="J44" s="649">
        <f t="shared" si="8"/>
        <v>1</v>
      </c>
      <c r="K44" s="1005"/>
      <c r="L44" s="997"/>
      <c r="M44" s="974"/>
      <c r="N44" s="974"/>
      <c r="O44" s="1006"/>
      <c r="P44" s="807" t="str">
        <f t="shared" si="5"/>
        <v>no</v>
      </c>
      <c r="Q44" s="807" t="str">
        <f t="shared" si="6"/>
        <v>no</v>
      </c>
    </row>
    <row r="45" spans="1:17" ht="45" customHeight="1">
      <c r="A45" s="604">
        <v>1</v>
      </c>
      <c r="B45" s="604">
        <f t="shared" si="7"/>
        <v>0</v>
      </c>
      <c r="C45" s="604" t="b">
        <v>0</v>
      </c>
      <c r="E45" s="620"/>
      <c r="F45" s="1194"/>
      <c r="G45" s="1195"/>
      <c r="H45" s="620">
        <v>13.2</v>
      </c>
      <c r="I45" s="648" t="s">
        <v>331</v>
      </c>
      <c r="J45" s="649">
        <f t="shared" si="8"/>
        <v>1</v>
      </c>
      <c r="K45" s="1005"/>
      <c r="L45" s="997"/>
      <c r="M45" s="974"/>
      <c r="N45" s="974"/>
      <c r="O45" s="1006"/>
      <c r="P45" s="807" t="str">
        <f t="shared" si="5"/>
        <v>no</v>
      </c>
      <c r="Q45" s="807" t="str">
        <f t="shared" si="6"/>
        <v>no</v>
      </c>
    </row>
    <row r="46" spans="1:17" ht="45" customHeight="1">
      <c r="A46" s="604">
        <v>1</v>
      </c>
      <c r="B46" s="604">
        <f t="shared" si="7"/>
        <v>0</v>
      </c>
      <c r="C46" s="604" t="b">
        <v>0</v>
      </c>
      <c r="E46" s="620"/>
      <c r="F46" s="1194" t="s">
        <v>332</v>
      </c>
      <c r="G46" s="1195" t="s">
        <v>333</v>
      </c>
      <c r="H46" s="620">
        <v>14.1</v>
      </c>
      <c r="I46" s="648" t="s">
        <v>332</v>
      </c>
      <c r="J46" s="649">
        <f t="shared" si="8"/>
        <v>1</v>
      </c>
      <c r="K46" s="1005"/>
      <c r="L46" s="997"/>
      <c r="M46" s="974"/>
      <c r="N46" s="974"/>
      <c r="O46" s="1006"/>
      <c r="P46" s="807" t="str">
        <f t="shared" si="5"/>
        <v>no</v>
      </c>
      <c r="Q46" s="807" t="str">
        <f t="shared" si="6"/>
        <v>no</v>
      </c>
    </row>
    <row r="47" spans="1:17" ht="45" customHeight="1">
      <c r="A47" s="604">
        <v>1</v>
      </c>
      <c r="B47" s="604">
        <f t="shared" si="7"/>
        <v>0</v>
      </c>
      <c r="C47" s="604" t="b">
        <v>0</v>
      </c>
      <c r="E47" s="620"/>
      <c r="F47" s="1196"/>
      <c r="G47" s="1183"/>
      <c r="H47" s="620">
        <v>14.2</v>
      </c>
      <c r="I47" s="648" t="s">
        <v>334</v>
      </c>
      <c r="J47" s="649">
        <f t="shared" si="8"/>
        <v>1</v>
      </c>
      <c r="K47" s="1005"/>
      <c r="L47" s="997"/>
      <c r="M47" s="974"/>
      <c r="N47" s="974"/>
      <c r="O47" s="1006"/>
      <c r="P47" s="807" t="str">
        <f t="shared" si="5"/>
        <v>no</v>
      </c>
      <c r="Q47" s="807" t="str">
        <f t="shared" si="6"/>
        <v>no</v>
      </c>
    </row>
    <row r="48" spans="1:17" ht="45" customHeight="1">
      <c r="E48" s="635"/>
      <c r="F48" s="635" t="s">
        <v>305</v>
      </c>
      <c r="G48" s="635"/>
      <c r="H48" s="636"/>
      <c r="I48" s="635"/>
      <c r="J48" s="636">
        <f>SUM(J31:J47)</f>
        <v>17</v>
      </c>
      <c r="K48" s="1002">
        <f>SUM(K31:K47)</f>
        <v>0</v>
      </c>
      <c r="L48" s="997" t="str">
        <f>IF(K48&gt;J48,"!","")</f>
        <v/>
      </c>
      <c r="M48" s="1003"/>
      <c r="N48" s="1003"/>
      <c r="O48" s="1003"/>
      <c r="P48" s="19"/>
      <c r="Q48" s="19"/>
    </row>
    <row r="49" spans="2:22" ht="45" customHeight="1">
      <c r="F49" s="653"/>
      <c r="G49" s="653"/>
      <c r="H49" s="605"/>
      <c r="I49" s="653"/>
      <c r="J49" s="605"/>
      <c r="K49" s="995"/>
      <c r="L49" s="1007"/>
      <c r="M49" s="651"/>
      <c r="N49" s="652"/>
      <c r="O49" s="652"/>
      <c r="P49" s="652"/>
      <c r="Q49" s="652"/>
    </row>
    <row r="50" spans="2:22" ht="45" customHeight="1">
      <c r="E50" s="615"/>
      <c r="F50" s="1185" t="s">
        <v>335</v>
      </c>
      <c r="G50" s="1185"/>
      <c r="H50" s="1185"/>
      <c r="I50" s="1185"/>
      <c r="J50" s="645">
        <f>22-SUM(B51:B54)</f>
        <v>22</v>
      </c>
      <c r="K50" s="975"/>
      <c r="L50" s="976"/>
      <c r="M50" s="646"/>
      <c r="N50" s="654"/>
      <c r="O50" s="654"/>
      <c r="P50" s="654"/>
      <c r="Q50" s="654"/>
    </row>
    <row r="51" spans="2:22" ht="45" customHeight="1">
      <c r="E51" s="620"/>
      <c r="F51" s="1197" t="s">
        <v>336</v>
      </c>
      <c r="G51" s="1195" t="s">
        <v>337</v>
      </c>
      <c r="H51" s="601">
        <v>15.1</v>
      </c>
      <c r="I51" s="655" t="s">
        <v>338</v>
      </c>
      <c r="J51" s="656" t="s">
        <v>264</v>
      </c>
      <c r="K51" s="1008"/>
      <c r="L51" s="997"/>
      <c r="M51" s="974"/>
      <c r="N51" s="974"/>
      <c r="O51" s="998"/>
      <c r="P51" s="807" t="str">
        <f>IF(M51=0,"no","yes")</f>
        <v>no</v>
      </c>
      <c r="Q51" s="807" t="str">
        <f>IF(N51=0,"no","yes")</f>
        <v>no</v>
      </c>
    </row>
    <row r="52" spans="2:22" ht="45" customHeight="1">
      <c r="E52" s="620"/>
      <c r="F52" s="1198"/>
      <c r="G52" s="1183"/>
      <c r="H52" s="601">
        <v>15.2</v>
      </c>
      <c r="I52" s="657" t="s">
        <v>339</v>
      </c>
      <c r="J52" s="658">
        <v>20</v>
      </c>
      <c r="K52" s="1008"/>
      <c r="L52" s="997" t="str">
        <f>IF(AND(K52&gt;0,K51&lt;&gt;$Y$11),"!","")</f>
        <v/>
      </c>
      <c r="M52" s="974"/>
      <c r="N52" s="974"/>
      <c r="O52" s="998"/>
      <c r="P52" s="807" t="str">
        <f t="shared" ref="P52:P54" si="9">IF(M52=0,"no","yes")</f>
        <v>no</v>
      </c>
      <c r="Q52" s="807" t="str">
        <f t="shared" ref="Q52:Q54" si="10">IF(N52=0,"no","yes")</f>
        <v>no</v>
      </c>
    </row>
    <row r="53" spans="2:22" ht="45" customHeight="1">
      <c r="E53" s="620"/>
      <c r="F53" s="1194" t="s">
        <v>340</v>
      </c>
      <c r="G53" s="1212" t="s">
        <v>271</v>
      </c>
      <c r="H53" s="659" t="s">
        <v>341</v>
      </c>
      <c r="I53" s="660" t="s">
        <v>342</v>
      </c>
      <c r="J53" s="661">
        <f>IF(G53=V53,1,"0")</f>
        <v>1</v>
      </c>
      <c r="K53" s="1008"/>
      <c r="L53" s="976"/>
      <c r="M53" s="974"/>
      <c r="N53" s="974"/>
      <c r="O53" s="998"/>
      <c r="P53" s="807" t="str">
        <f t="shared" si="9"/>
        <v>no</v>
      </c>
      <c r="Q53" s="807" t="str">
        <f t="shared" si="10"/>
        <v>no</v>
      </c>
      <c r="V53" s="612" t="s">
        <v>271</v>
      </c>
    </row>
    <row r="54" spans="2:22" ht="45" customHeight="1">
      <c r="E54" s="620"/>
      <c r="F54" s="1196"/>
      <c r="G54" s="1213"/>
      <c r="H54" s="662" t="s">
        <v>343</v>
      </c>
      <c r="I54" s="663" t="s">
        <v>344</v>
      </c>
      <c r="J54" s="664" t="str">
        <f>IF(G53=V54,2,"0")</f>
        <v>0</v>
      </c>
      <c r="K54" s="1009"/>
      <c r="L54" s="1010"/>
      <c r="M54" s="974"/>
      <c r="N54" s="974"/>
      <c r="O54" s="998"/>
      <c r="P54" s="807" t="str">
        <f t="shared" si="9"/>
        <v>no</v>
      </c>
      <c r="Q54" s="807" t="str">
        <f t="shared" si="10"/>
        <v>no</v>
      </c>
      <c r="V54" s="192" t="s">
        <v>265</v>
      </c>
    </row>
    <row r="55" spans="2:22" ht="45" customHeight="1">
      <c r="E55" s="635"/>
      <c r="F55" s="635" t="s">
        <v>305</v>
      </c>
      <c r="G55" s="635"/>
      <c r="H55" s="636"/>
      <c r="I55" s="635"/>
      <c r="J55" s="636">
        <f>SUM(J51:J54)</f>
        <v>21</v>
      </c>
      <c r="K55" s="1002">
        <f>SUM(K51:K54)</f>
        <v>0</v>
      </c>
      <c r="L55" s="997" t="str">
        <f>IF(K55&gt;J55,"!","")</f>
        <v/>
      </c>
      <c r="M55" s="1003"/>
      <c r="N55" s="1003"/>
      <c r="O55" s="1003"/>
      <c r="P55" s="19"/>
      <c r="Q55" s="19"/>
    </row>
    <row r="56" spans="2:22" ht="45" customHeight="1">
      <c r="L56" s="1011"/>
      <c r="M56" s="642"/>
      <c r="N56" s="643"/>
      <c r="O56" s="643"/>
      <c r="P56" s="643"/>
      <c r="Q56" s="643"/>
    </row>
    <row r="57" spans="2:22" ht="45" customHeight="1">
      <c r="E57" s="615"/>
      <c r="F57" s="666" t="s">
        <v>345</v>
      </c>
      <c r="G57" s="667"/>
      <c r="H57" s="668"/>
      <c r="I57" s="667"/>
      <c r="J57" s="645">
        <f>10-SUM(B58:B62)</f>
        <v>10</v>
      </c>
      <c r="K57" s="975"/>
      <c r="L57" s="976"/>
      <c r="M57" s="646"/>
      <c r="N57" s="647"/>
      <c r="O57" s="647"/>
      <c r="P57" s="647"/>
      <c r="Q57" s="647"/>
    </row>
    <row r="58" spans="2:22" ht="45" customHeight="1">
      <c r="E58" s="620"/>
      <c r="F58" s="1197" t="s">
        <v>346</v>
      </c>
      <c r="G58" s="1214" t="s">
        <v>347</v>
      </c>
      <c r="H58" s="601">
        <v>17.100000000000001</v>
      </c>
      <c r="I58" s="657" t="s">
        <v>348</v>
      </c>
      <c r="J58" s="658">
        <v>4</v>
      </c>
      <c r="K58" s="1008"/>
      <c r="L58" s="1010"/>
      <c r="M58" s="974"/>
      <c r="N58" s="974"/>
      <c r="O58" s="1006"/>
      <c r="P58" s="807" t="str">
        <f t="shared" ref="P58:P62" si="11">IF(M58=0,"no","yes")</f>
        <v>no</v>
      </c>
      <c r="Q58" s="807" t="str">
        <f t="shared" ref="Q58:Q62" si="12">IF(N58=0,"no","yes")</f>
        <v>no</v>
      </c>
      <c r="V58" s="612" t="s">
        <v>271</v>
      </c>
    </row>
    <row r="59" spans="2:22" ht="45" customHeight="1">
      <c r="B59" s="604">
        <f>IF((C59=TRUE),1,0)</f>
        <v>0</v>
      </c>
      <c r="C59" s="604" t="b">
        <v>0</v>
      </c>
      <c r="E59" s="620"/>
      <c r="F59" s="1197"/>
      <c r="G59" s="1197"/>
      <c r="H59" s="601">
        <v>17.2</v>
      </c>
      <c r="I59" s="657" t="s">
        <v>349</v>
      </c>
      <c r="J59" s="658">
        <f>IF(C59=TRUE,0,1)</f>
        <v>1</v>
      </c>
      <c r="K59" s="1008"/>
      <c r="L59" s="1010"/>
      <c r="M59" s="974"/>
      <c r="N59" s="974"/>
      <c r="O59" s="1006"/>
      <c r="P59" s="807" t="str">
        <f t="shared" si="11"/>
        <v>no</v>
      </c>
      <c r="Q59" s="807" t="str">
        <f t="shared" si="12"/>
        <v>no</v>
      </c>
    </row>
    <row r="60" spans="2:22" ht="45" customHeight="1">
      <c r="B60" s="604">
        <f>IF((C60=TRUE),2,0)</f>
        <v>0</v>
      </c>
      <c r="C60" s="604" t="b">
        <v>0</v>
      </c>
      <c r="E60" s="620"/>
      <c r="F60" s="1197"/>
      <c r="G60" s="1197"/>
      <c r="H60" s="601">
        <v>17.3</v>
      </c>
      <c r="I60" s="657" t="s">
        <v>350</v>
      </c>
      <c r="J60" s="658">
        <f>IF(C60=TRUE,0,2)</f>
        <v>2</v>
      </c>
      <c r="K60" s="1008"/>
      <c r="L60" s="1010"/>
      <c r="M60" s="974"/>
      <c r="N60" s="974"/>
      <c r="O60" s="1006"/>
      <c r="P60" s="807" t="str">
        <f t="shared" si="11"/>
        <v>no</v>
      </c>
      <c r="Q60" s="807" t="str">
        <f t="shared" si="12"/>
        <v>no</v>
      </c>
    </row>
    <row r="61" spans="2:22" ht="45" customHeight="1">
      <c r="E61" s="620"/>
      <c r="F61" s="1197"/>
      <c r="G61" s="1197"/>
      <c r="H61" s="601">
        <v>17.399999999999999</v>
      </c>
      <c r="I61" s="657" t="s">
        <v>351</v>
      </c>
      <c r="J61" s="658">
        <v>2</v>
      </c>
      <c r="K61" s="1008"/>
      <c r="L61" s="1010"/>
      <c r="M61" s="974"/>
      <c r="N61" s="974"/>
      <c r="O61" s="1006"/>
      <c r="P61" s="807" t="str">
        <f t="shared" si="11"/>
        <v>no</v>
      </c>
      <c r="Q61" s="807" t="str">
        <f t="shared" si="12"/>
        <v>no</v>
      </c>
    </row>
    <row r="62" spans="2:22" ht="45" customHeight="1">
      <c r="E62" s="620"/>
      <c r="F62" s="1198"/>
      <c r="G62" s="1198"/>
      <c r="H62" s="601">
        <v>17.5</v>
      </c>
      <c r="I62" s="657" t="s">
        <v>352</v>
      </c>
      <c r="J62" s="658">
        <v>1</v>
      </c>
      <c r="K62" s="1008"/>
      <c r="L62" s="1010"/>
      <c r="M62" s="974"/>
      <c r="N62" s="974"/>
      <c r="O62" s="1006"/>
      <c r="P62" s="807" t="str">
        <f t="shared" si="11"/>
        <v>no</v>
      </c>
      <c r="Q62" s="807" t="str">
        <f t="shared" si="12"/>
        <v>no</v>
      </c>
    </row>
    <row r="63" spans="2:22" ht="45" customHeight="1">
      <c r="E63" s="635"/>
      <c r="F63" s="635" t="s">
        <v>305</v>
      </c>
      <c r="G63" s="635"/>
      <c r="H63" s="636"/>
      <c r="I63" s="635"/>
      <c r="J63" s="636">
        <f>SUM(J58:J62)</f>
        <v>10</v>
      </c>
      <c r="K63" s="1002">
        <f>SUM(K58:K62)</f>
        <v>0</v>
      </c>
      <c r="L63" s="997" t="str">
        <f>IF(K63&gt;J63,"!","")</f>
        <v/>
      </c>
      <c r="M63" s="1003"/>
      <c r="N63" s="1003"/>
      <c r="O63" s="1003"/>
      <c r="P63" s="19"/>
      <c r="Q63" s="19"/>
    </row>
    <row r="64" spans="2:22" ht="45" customHeight="1">
      <c r="L64" s="1011"/>
      <c r="M64" s="642"/>
      <c r="N64" s="643"/>
      <c r="O64" s="643"/>
      <c r="P64" s="643"/>
      <c r="Q64" s="643"/>
    </row>
    <row r="65" spans="1:22" ht="45" customHeight="1">
      <c r="E65" s="615"/>
      <c r="F65" s="666" t="s">
        <v>353</v>
      </c>
      <c r="G65" s="667"/>
      <c r="H65" s="668"/>
      <c r="I65" s="667"/>
      <c r="J65" s="645">
        <f>12-SUM(B66:B71)</f>
        <v>12</v>
      </c>
      <c r="K65" s="975"/>
      <c r="L65" s="976"/>
      <c r="M65" s="646"/>
      <c r="N65" s="647"/>
      <c r="O65" s="647"/>
      <c r="P65" s="647"/>
      <c r="Q65" s="647"/>
    </row>
    <row r="66" spans="1:22" ht="45" customHeight="1">
      <c r="E66" s="620"/>
      <c r="F66" s="1215" t="s">
        <v>354</v>
      </c>
      <c r="G66" s="1191" t="s">
        <v>265</v>
      </c>
      <c r="H66" s="669" t="s">
        <v>355</v>
      </c>
      <c r="I66" s="670" t="s">
        <v>356</v>
      </c>
      <c r="J66" s="671">
        <f>IF(G66=V66,12,0)</f>
        <v>12</v>
      </c>
      <c r="K66" s="1012"/>
      <c r="L66" s="1010"/>
      <c r="M66" s="974"/>
      <c r="N66" s="974"/>
      <c r="O66" s="1006"/>
      <c r="P66" s="807" t="str">
        <f t="shared" ref="P66:P71" si="13">IF(M66=0,"no","yes")</f>
        <v>no</v>
      </c>
      <c r="Q66" s="807" t="str">
        <f t="shared" ref="Q66:Q71" si="14">IF(N66=0,"no","yes")</f>
        <v>no</v>
      </c>
      <c r="V66" s="612" t="s">
        <v>265</v>
      </c>
    </row>
    <row r="67" spans="1:22" ht="45" customHeight="1">
      <c r="E67" s="620"/>
      <c r="F67" s="1194"/>
      <c r="G67" s="1192"/>
      <c r="H67" s="672" t="s">
        <v>357</v>
      </c>
      <c r="I67" s="673" t="s">
        <v>358</v>
      </c>
      <c r="J67" s="674">
        <f>IF($G$66=$V$67,1,0)</f>
        <v>0</v>
      </c>
      <c r="K67" s="1013"/>
      <c r="L67" s="1010"/>
      <c r="M67" s="974"/>
      <c r="N67" s="974"/>
      <c r="O67" s="1006"/>
      <c r="P67" s="807" t="str">
        <f t="shared" si="13"/>
        <v>no</v>
      </c>
      <c r="Q67" s="807" t="str">
        <f t="shared" si="14"/>
        <v>no</v>
      </c>
      <c r="V67" s="612" t="s">
        <v>271</v>
      </c>
    </row>
    <row r="68" spans="1:22" ht="45" customHeight="1">
      <c r="E68" s="620"/>
      <c r="F68" s="1194"/>
      <c r="G68" s="1192"/>
      <c r="H68" s="672" t="s">
        <v>359</v>
      </c>
      <c r="I68" s="673" t="s">
        <v>360</v>
      </c>
      <c r="J68" s="674">
        <f>IF($G$66=$V$67,1,0)</f>
        <v>0</v>
      </c>
      <c r="K68" s="1013"/>
      <c r="L68" s="1010"/>
      <c r="M68" s="974"/>
      <c r="N68" s="974"/>
      <c r="O68" s="1006"/>
      <c r="P68" s="807" t="str">
        <f t="shared" si="13"/>
        <v>no</v>
      </c>
      <c r="Q68" s="807" t="str">
        <f t="shared" si="14"/>
        <v>no</v>
      </c>
    </row>
    <row r="69" spans="1:22" ht="45" customHeight="1">
      <c r="E69" s="620"/>
      <c r="F69" s="1194"/>
      <c r="G69" s="1192"/>
      <c r="H69" s="672" t="s">
        <v>361</v>
      </c>
      <c r="I69" s="673" t="s">
        <v>362</v>
      </c>
      <c r="J69" s="674">
        <f>IF($G$66=$V$67,2,0)</f>
        <v>0</v>
      </c>
      <c r="K69" s="1013"/>
      <c r="L69" s="1010"/>
      <c r="M69" s="974"/>
      <c r="N69" s="974"/>
      <c r="O69" s="1006"/>
      <c r="P69" s="807" t="str">
        <f t="shared" si="13"/>
        <v>no</v>
      </c>
      <c r="Q69" s="807" t="str">
        <f t="shared" si="14"/>
        <v>no</v>
      </c>
    </row>
    <row r="70" spans="1:22" ht="45" customHeight="1">
      <c r="B70" s="604">
        <f>IF(AND($G$66=$V$67,C70=TRUE),1,0)</f>
        <v>0</v>
      </c>
      <c r="C70" s="604" t="b">
        <v>0</v>
      </c>
      <c r="E70" s="620"/>
      <c r="F70" s="1194"/>
      <c r="G70" s="1192"/>
      <c r="H70" s="672" t="s">
        <v>363</v>
      </c>
      <c r="I70" s="675" t="s">
        <v>364</v>
      </c>
      <c r="J70" s="674">
        <f>IF(OR($G$66=$V$66,C70=TRUE),0,1)</f>
        <v>0</v>
      </c>
      <c r="K70" s="1013"/>
      <c r="L70" s="1010"/>
      <c r="M70" s="974"/>
      <c r="N70" s="974"/>
      <c r="O70" s="1006"/>
      <c r="P70" s="807" t="str">
        <f t="shared" si="13"/>
        <v>no</v>
      </c>
      <c r="Q70" s="807" t="str">
        <f t="shared" si="14"/>
        <v>no</v>
      </c>
    </row>
    <row r="71" spans="1:22" ht="45" customHeight="1">
      <c r="B71" s="604">
        <f>IF(AND($G$66=$V$67,C71=TRUE),1,0)</f>
        <v>0</v>
      </c>
      <c r="C71" s="604" t="b">
        <v>0</v>
      </c>
      <c r="E71" s="620"/>
      <c r="F71" s="1196"/>
      <c r="G71" s="1193"/>
      <c r="H71" s="676" t="s">
        <v>365</v>
      </c>
      <c r="I71" s="675" t="s">
        <v>366</v>
      </c>
      <c r="J71" s="677">
        <f>IF(OR($G$66=$V$66,C71=TRUE),0,1)</f>
        <v>0</v>
      </c>
      <c r="K71" s="1014"/>
      <c r="L71" s="1010"/>
      <c r="M71" s="974"/>
      <c r="N71" s="974"/>
      <c r="O71" s="1006"/>
      <c r="P71" s="807" t="str">
        <f t="shared" si="13"/>
        <v>no</v>
      </c>
      <c r="Q71" s="807" t="str">
        <f t="shared" si="14"/>
        <v>no</v>
      </c>
    </row>
    <row r="72" spans="1:22" ht="45" customHeight="1">
      <c r="E72" s="635"/>
      <c r="F72" s="635" t="s">
        <v>305</v>
      </c>
      <c r="G72" s="635"/>
      <c r="H72" s="636"/>
      <c r="I72" s="635"/>
      <c r="J72" s="636">
        <f>SUM(J66:J71)</f>
        <v>12</v>
      </c>
      <c r="K72" s="1002">
        <f>SUM(K66:K71)</f>
        <v>0</v>
      </c>
      <c r="L72" s="997" t="str">
        <f>IF(K72&gt;J72,"!","")</f>
        <v/>
      </c>
      <c r="M72" s="1003"/>
      <c r="N72" s="1003"/>
      <c r="O72" s="1003"/>
      <c r="P72" s="19"/>
      <c r="Q72" s="19"/>
    </row>
    <row r="73" spans="1:22" ht="45" customHeight="1">
      <c r="L73" s="1011"/>
      <c r="M73" s="642"/>
      <c r="N73" s="643"/>
      <c r="O73" s="643"/>
      <c r="P73" s="643"/>
      <c r="Q73" s="643"/>
    </row>
    <row r="74" spans="1:22" ht="45" customHeight="1">
      <c r="E74" s="615"/>
      <c r="F74" s="666" t="s">
        <v>367</v>
      </c>
      <c r="G74" s="667"/>
      <c r="H74" s="645"/>
      <c r="I74" s="667"/>
      <c r="J74" s="645">
        <f>14-SUM(B75:B86)</f>
        <v>14</v>
      </c>
      <c r="K74" s="975"/>
      <c r="L74" s="976"/>
      <c r="M74" s="646"/>
      <c r="N74" s="647"/>
      <c r="O74" s="647"/>
      <c r="P74" s="647"/>
      <c r="Q74" s="647"/>
      <c r="V74" s="612"/>
    </row>
    <row r="75" spans="1:22" ht="45" customHeight="1">
      <c r="E75" s="620"/>
      <c r="F75" s="1203" t="s">
        <v>368</v>
      </c>
      <c r="G75" s="1192" t="s">
        <v>369</v>
      </c>
      <c r="H75" s="678" t="s">
        <v>370</v>
      </c>
      <c r="I75" s="679" t="s">
        <v>371</v>
      </c>
      <c r="J75" s="680">
        <f>IF($G$75=$V$75,6,0)</f>
        <v>0</v>
      </c>
      <c r="K75" s="1015"/>
      <c r="L75" s="1010" t="str">
        <f>IF(SUM(K75:K76)&gt;7,"!", "")</f>
        <v/>
      </c>
      <c r="M75" s="974"/>
      <c r="N75" s="974"/>
      <c r="O75" s="1006"/>
      <c r="P75" s="807" t="str">
        <f t="shared" ref="P75:P86" si="15">IF(M75=0,"no","yes")</f>
        <v>no</v>
      </c>
      <c r="Q75" s="807" t="str">
        <f t="shared" ref="Q75:Q86" si="16">IF(N75=0,"no","yes")</f>
        <v>no</v>
      </c>
      <c r="V75" s="681" t="s">
        <v>372</v>
      </c>
    </row>
    <row r="76" spans="1:22" ht="45" customHeight="1">
      <c r="E76" s="620"/>
      <c r="F76" s="1204"/>
      <c r="G76" s="1192"/>
      <c r="H76" s="678" t="s">
        <v>373</v>
      </c>
      <c r="I76" s="679" t="s">
        <v>374</v>
      </c>
      <c r="J76" s="680">
        <v>4</v>
      </c>
      <c r="K76" s="1015"/>
      <c r="L76" s="1010" t="str">
        <f>IF(SUM(K75:K76)&gt;7,"!", "")</f>
        <v/>
      </c>
      <c r="M76" s="974"/>
      <c r="N76" s="974"/>
      <c r="O76" s="1006"/>
      <c r="P76" s="807" t="str">
        <f t="shared" si="15"/>
        <v>no</v>
      </c>
      <c r="Q76" s="807" t="str">
        <f t="shared" si="16"/>
        <v>no</v>
      </c>
      <c r="V76" s="192" t="s">
        <v>369</v>
      </c>
    </row>
    <row r="77" spans="1:22" ht="45" customHeight="1">
      <c r="E77" s="620"/>
      <c r="F77" s="1204"/>
      <c r="G77" s="1192"/>
      <c r="H77" s="678" t="s">
        <v>375</v>
      </c>
      <c r="I77" s="682" t="s">
        <v>376</v>
      </c>
      <c r="J77" s="680">
        <f>IF($G$75=$V$76,3,0)</f>
        <v>3</v>
      </c>
      <c r="K77" s="1015"/>
      <c r="L77" s="1181" t="str">
        <f>IF(SUM(K77:K80)&gt;5,"Error: the total number of points available for the 'Material Use' Pathway is 5. Please enter a points score less than or equal to 5.","")</f>
        <v/>
      </c>
      <c r="M77" s="974"/>
      <c r="N77" s="974"/>
      <c r="O77" s="1006"/>
      <c r="P77" s="807" t="str">
        <f t="shared" si="15"/>
        <v>no</v>
      </c>
      <c r="Q77" s="807" t="str">
        <f t="shared" si="16"/>
        <v>no</v>
      </c>
    </row>
    <row r="78" spans="1:22" ht="45" customHeight="1">
      <c r="E78" s="620"/>
      <c r="F78" s="1204"/>
      <c r="G78" s="1192"/>
      <c r="H78" s="678" t="s">
        <v>377</v>
      </c>
      <c r="I78" s="682" t="s">
        <v>378</v>
      </c>
      <c r="J78" s="680">
        <f>IF($G$75=$V$76,1,0)</f>
        <v>1</v>
      </c>
      <c r="K78" s="1015"/>
      <c r="L78" s="1181"/>
      <c r="M78" s="974"/>
      <c r="N78" s="974"/>
      <c r="O78" s="1006"/>
      <c r="P78" s="807" t="str">
        <f t="shared" si="15"/>
        <v>no</v>
      </c>
      <c r="Q78" s="807" t="str">
        <f t="shared" si="16"/>
        <v>no</v>
      </c>
    </row>
    <row r="79" spans="1:22" ht="45" customHeight="1">
      <c r="E79" s="620"/>
      <c r="F79" s="1204"/>
      <c r="G79" s="1192"/>
      <c r="H79" s="678" t="s">
        <v>379</v>
      </c>
      <c r="I79" s="683" t="s">
        <v>380</v>
      </c>
      <c r="J79" s="680">
        <f>IF($G$75=$V$76,4,0)</f>
        <v>4</v>
      </c>
      <c r="K79" s="1015"/>
      <c r="L79" s="1181"/>
      <c r="M79" s="974"/>
      <c r="N79" s="974"/>
      <c r="O79" s="1006"/>
      <c r="P79" s="807" t="str">
        <f t="shared" si="15"/>
        <v>no</v>
      </c>
      <c r="Q79" s="807" t="str">
        <f t="shared" si="16"/>
        <v>no</v>
      </c>
    </row>
    <row r="80" spans="1:22" ht="45" customHeight="1">
      <c r="A80" s="604">
        <v>4</v>
      </c>
      <c r="B80" s="604">
        <f>IF(C80=TRUE,A80,0)</f>
        <v>0</v>
      </c>
      <c r="E80" s="620"/>
      <c r="F80" s="1205"/>
      <c r="G80" s="1192"/>
      <c r="H80" s="678" t="s">
        <v>381</v>
      </c>
      <c r="I80" s="679" t="s">
        <v>382</v>
      </c>
      <c r="J80" s="680">
        <f>IF($G$75=$V$76,3,0)</f>
        <v>3</v>
      </c>
      <c r="K80" s="1015"/>
      <c r="L80" s="1181"/>
      <c r="M80" s="974"/>
      <c r="N80" s="974"/>
      <c r="O80" s="1006"/>
      <c r="P80" s="807" t="str">
        <f t="shared" si="15"/>
        <v>no</v>
      </c>
      <c r="Q80" s="807" t="str">
        <f t="shared" si="16"/>
        <v>no</v>
      </c>
    </row>
    <row r="81" spans="1:22" ht="45" customHeight="1">
      <c r="A81" s="604">
        <v>1</v>
      </c>
      <c r="B81" s="604">
        <f>IF(C81=TRUE,A81,0)</f>
        <v>0</v>
      </c>
      <c r="C81" s="604" t="b">
        <v>0</v>
      </c>
      <c r="E81" s="620"/>
      <c r="F81" s="1206" t="s">
        <v>383</v>
      </c>
      <c r="G81" s="1183" t="s">
        <v>384</v>
      </c>
      <c r="H81" s="684">
        <v>20.100000000000001</v>
      </c>
      <c r="I81" s="685" t="s">
        <v>385</v>
      </c>
      <c r="J81" s="680">
        <f>IF(C81=TRUE,0,1)</f>
        <v>1</v>
      </c>
      <c r="K81" s="1005"/>
      <c r="L81" s="1010"/>
      <c r="M81" s="974"/>
      <c r="N81" s="974"/>
      <c r="O81" s="1006"/>
      <c r="P81" s="807" t="str">
        <f t="shared" si="15"/>
        <v>no</v>
      </c>
      <c r="Q81" s="807" t="str">
        <f t="shared" si="16"/>
        <v>no</v>
      </c>
    </row>
    <row r="82" spans="1:22" ht="45" customHeight="1">
      <c r="A82" s="604">
        <v>1</v>
      </c>
      <c r="B82" s="604">
        <f>IF(C82=TRUE,A82,0)</f>
        <v>0</v>
      </c>
      <c r="C82" s="604" t="b">
        <v>0</v>
      </c>
      <c r="E82" s="620"/>
      <c r="F82" s="1207"/>
      <c r="G82" s="1208"/>
      <c r="H82" s="684">
        <v>20.2</v>
      </c>
      <c r="I82" s="685" t="s">
        <v>386</v>
      </c>
      <c r="J82" s="680">
        <f>IF(C82=TRUE,0,1)</f>
        <v>1</v>
      </c>
      <c r="K82" s="1005"/>
      <c r="L82" s="997"/>
      <c r="M82" s="974"/>
      <c r="N82" s="974"/>
      <c r="O82" s="1006"/>
      <c r="P82" s="807" t="str">
        <f t="shared" si="15"/>
        <v>no</v>
      </c>
      <c r="Q82" s="807" t="str">
        <f t="shared" si="16"/>
        <v>no</v>
      </c>
    </row>
    <row r="83" spans="1:22" ht="45" customHeight="1">
      <c r="A83" s="604">
        <v>1</v>
      </c>
      <c r="B83" s="604">
        <f>IF(C83=TRUE,A83,0)</f>
        <v>0</v>
      </c>
      <c r="C83" s="604" t="b">
        <v>0</v>
      </c>
      <c r="E83" s="620"/>
      <c r="F83" s="1189"/>
      <c r="G83" s="1209"/>
      <c r="H83" s="684">
        <v>20.3</v>
      </c>
      <c r="I83" s="685" t="s">
        <v>387</v>
      </c>
      <c r="J83" s="680">
        <f>IF(C83=TRUE,0,1)</f>
        <v>1</v>
      </c>
      <c r="K83" s="1005"/>
      <c r="L83" s="997"/>
      <c r="M83" s="974"/>
      <c r="N83" s="974"/>
      <c r="O83" s="1006"/>
      <c r="P83" s="807" t="str">
        <f t="shared" si="15"/>
        <v>no</v>
      </c>
      <c r="Q83" s="807" t="str">
        <f t="shared" si="16"/>
        <v>no</v>
      </c>
    </row>
    <row r="84" spans="1:22" ht="45" customHeight="1">
      <c r="E84" s="620"/>
      <c r="F84" s="621" t="s">
        <v>388</v>
      </c>
      <c r="G84" s="622" t="s">
        <v>389</v>
      </c>
      <c r="H84" s="686">
        <v>21</v>
      </c>
      <c r="I84" s="685" t="s">
        <v>390</v>
      </c>
      <c r="J84" s="680">
        <v>3</v>
      </c>
      <c r="K84" s="1005"/>
      <c r="L84" s="976"/>
      <c r="M84" s="974"/>
      <c r="N84" s="974"/>
      <c r="O84" s="1006"/>
      <c r="P84" s="807" t="str">
        <f t="shared" si="15"/>
        <v>no</v>
      </c>
      <c r="Q84" s="807" t="str">
        <f t="shared" si="16"/>
        <v>no</v>
      </c>
    </row>
    <row r="85" spans="1:22" ht="45" customHeight="1">
      <c r="E85" s="620"/>
      <c r="F85" s="1206" t="s">
        <v>391</v>
      </c>
      <c r="G85" s="1210" t="s">
        <v>392</v>
      </c>
      <c r="H85" s="632" t="s">
        <v>393</v>
      </c>
      <c r="I85" s="685" t="s">
        <v>394</v>
      </c>
      <c r="J85" s="680" t="str">
        <f>IF(G85=V85,1,"0")</f>
        <v>0</v>
      </c>
      <c r="K85" s="1005"/>
      <c r="L85" s="976"/>
      <c r="M85" s="974"/>
      <c r="N85" s="974"/>
      <c r="O85" s="1006"/>
      <c r="P85" s="807" t="str">
        <f t="shared" si="15"/>
        <v>no</v>
      </c>
      <c r="Q85" s="807" t="str">
        <f t="shared" si="16"/>
        <v>no</v>
      </c>
      <c r="V85" s="192" t="s">
        <v>394</v>
      </c>
    </row>
    <row r="86" spans="1:22" ht="45" customHeight="1">
      <c r="E86" s="620"/>
      <c r="F86" s="1189"/>
      <c r="G86" s="1211"/>
      <c r="H86" s="632" t="s">
        <v>395</v>
      </c>
      <c r="I86" s="622" t="s">
        <v>392</v>
      </c>
      <c r="J86" s="680">
        <f>IF(G85=V86,1,"0")</f>
        <v>1</v>
      </c>
      <c r="K86" s="1005"/>
      <c r="L86" s="997"/>
      <c r="M86" s="974"/>
      <c r="N86" s="974"/>
      <c r="O86" s="1006"/>
      <c r="P86" s="807" t="str">
        <f t="shared" si="15"/>
        <v>no</v>
      </c>
      <c r="Q86" s="807" t="str">
        <f t="shared" si="16"/>
        <v>no</v>
      </c>
      <c r="V86" s="192" t="s">
        <v>392</v>
      </c>
    </row>
    <row r="87" spans="1:22" ht="45" customHeight="1">
      <c r="E87" s="635"/>
      <c r="F87" s="635" t="s">
        <v>305</v>
      </c>
      <c r="G87" s="635"/>
      <c r="H87" s="636"/>
      <c r="I87" s="635"/>
      <c r="J87" s="636">
        <f>IF(G75=V76,12,14)</f>
        <v>12</v>
      </c>
      <c r="K87" s="1002">
        <f>SUM(K75:K86)</f>
        <v>0</v>
      </c>
      <c r="L87" s="997" t="str">
        <f>IF(K87&gt;J87,"!","")</f>
        <v/>
      </c>
      <c r="M87" s="1003"/>
      <c r="N87" s="1003"/>
      <c r="O87" s="1003"/>
      <c r="P87" s="19"/>
      <c r="Q87" s="19"/>
    </row>
    <row r="88" spans="1:22" ht="45" customHeight="1">
      <c r="L88" s="1011"/>
      <c r="M88" s="642"/>
      <c r="N88" s="643"/>
      <c r="O88" s="643"/>
      <c r="P88" s="643"/>
      <c r="Q88" s="643"/>
    </row>
    <row r="89" spans="1:22" ht="45" customHeight="1">
      <c r="E89" s="615"/>
      <c r="F89" s="1185" t="s">
        <v>396</v>
      </c>
      <c r="G89" s="1185"/>
      <c r="H89" s="1185"/>
      <c r="I89" s="1185"/>
      <c r="J89" s="645">
        <f>5-SUM(B90:B93)</f>
        <v>5</v>
      </c>
      <c r="K89" s="975"/>
      <c r="L89" s="976"/>
      <c r="M89" s="646"/>
      <c r="N89" s="647"/>
      <c r="O89" s="647"/>
      <c r="P89" s="647"/>
      <c r="Q89" s="647"/>
    </row>
    <row r="90" spans="1:22" ht="45" customHeight="1">
      <c r="E90" s="620"/>
      <c r="F90" s="687" t="s">
        <v>397</v>
      </c>
      <c r="G90" s="688" t="s">
        <v>398</v>
      </c>
      <c r="H90" s="689">
        <v>23</v>
      </c>
      <c r="I90" s="648" t="s">
        <v>397</v>
      </c>
      <c r="J90" s="624">
        <v>3</v>
      </c>
      <c r="K90" s="1015"/>
      <c r="L90" s="997"/>
      <c r="M90" s="974"/>
      <c r="N90" s="974"/>
      <c r="O90" s="1006"/>
      <c r="P90" s="807" t="str">
        <f>IF(M90=0,"no","yes")</f>
        <v>no</v>
      </c>
      <c r="Q90" s="807" t="str">
        <f t="shared" ref="Q90:Q93" si="17">IF(N90=0,"no","yes")</f>
        <v>no</v>
      </c>
    </row>
    <row r="91" spans="1:22" ht="45" customHeight="1">
      <c r="E91" s="620"/>
      <c r="F91" s="1182" t="s">
        <v>399</v>
      </c>
      <c r="G91" s="1183" t="s">
        <v>400</v>
      </c>
      <c r="H91" s="628">
        <v>24.1</v>
      </c>
      <c r="I91" s="648" t="s">
        <v>401</v>
      </c>
      <c r="J91" s="632" t="s">
        <v>264</v>
      </c>
      <c r="K91" s="1015"/>
      <c r="L91" s="1010"/>
      <c r="M91" s="974"/>
      <c r="N91" s="974"/>
      <c r="O91" s="1006"/>
      <c r="P91" s="807" t="str">
        <f>IF(M91=0,"no","yes")</f>
        <v>no</v>
      </c>
      <c r="Q91" s="807" t="str">
        <f t="shared" si="17"/>
        <v>no</v>
      </c>
    </row>
    <row r="92" spans="1:22" ht="45" customHeight="1">
      <c r="E92" s="620"/>
      <c r="F92" s="1182"/>
      <c r="G92" s="1190"/>
      <c r="H92" s="628">
        <v>24.2</v>
      </c>
      <c r="I92" s="690" t="s">
        <v>402</v>
      </c>
      <c r="J92" s="624">
        <v>1</v>
      </c>
      <c r="K92" s="1015"/>
      <c r="L92" s="997" t="str">
        <f>IF(AND(K92&gt;0,$K$91&lt;&gt;$Y$11),"!","")</f>
        <v/>
      </c>
      <c r="M92" s="974"/>
      <c r="N92" s="974"/>
      <c r="O92" s="1006"/>
      <c r="P92" s="807" t="str">
        <f t="shared" ref="P92:P93" si="18">IF(M92=0,"no","yes")</f>
        <v>no</v>
      </c>
      <c r="Q92" s="807" t="str">
        <f t="shared" si="17"/>
        <v>no</v>
      </c>
    </row>
    <row r="93" spans="1:22" ht="45" customHeight="1">
      <c r="A93" s="604">
        <v>1</v>
      </c>
      <c r="B93" s="604">
        <f>IF(C93=TRUE,A93,0)</f>
        <v>0</v>
      </c>
      <c r="C93" s="604" t="b">
        <v>0</v>
      </c>
      <c r="E93" s="620"/>
      <c r="F93" s="1182"/>
      <c r="G93" s="1184"/>
      <c r="H93" s="628">
        <v>24.3</v>
      </c>
      <c r="I93" s="690" t="s">
        <v>403</v>
      </c>
      <c r="J93" s="624">
        <f>IF(C93=FALSE,1,0)</f>
        <v>1</v>
      </c>
      <c r="K93" s="1015"/>
      <c r="L93" s="997" t="str">
        <f>IF(AND(K93&gt;0,$K$91&lt;&gt;$Y$11),"!","")</f>
        <v/>
      </c>
      <c r="M93" s="974"/>
      <c r="N93" s="974"/>
      <c r="O93" s="1006"/>
      <c r="P93" s="807" t="str">
        <f t="shared" si="18"/>
        <v>no</v>
      </c>
      <c r="Q93" s="807" t="str">
        <f t="shared" si="17"/>
        <v>no</v>
      </c>
    </row>
    <row r="94" spans="1:22" ht="45" customHeight="1">
      <c r="E94" s="635"/>
      <c r="F94" s="635" t="s">
        <v>305</v>
      </c>
      <c r="G94" s="635"/>
      <c r="H94" s="636"/>
      <c r="I94" s="635"/>
      <c r="J94" s="636">
        <f>SUM(J90:J93)</f>
        <v>5</v>
      </c>
      <c r="K94" s="1002">
        <f>SUM(K90:K93)</f>
        <v>0</v>
      </c>
      <c r="L94" s="997" t="str">
        <f>IF(K94&gt;J94,"!","")</f>
        <v/>
      </c>
      <c r="M94" s="1003"/>
      <c r="N94" s="1003"/>
      <c r="O94" s="1003"/>
      <c r="P94" s="19"/>
      <c r="Q94" s="19"/>
    </row>
    <row r="95" spans="1:22" ht="45" customHeight="1">
      <c r="L95" s="1011"/>
      <c r="M95" s="642"/>
      <c r="N95" s="643"/>
      <c r="O95" s="643"/>
      <c r="P95" s="643"/>
      <c r="Q95" s="643"/>
    </row>
    <row r="96" spans="1:22" ht="45" customHeight="1">
      <c r="E96" s="615"/>
      <c r="F96" s="1185" t="s">
        <v>404</v>
      </c>
      <c r="G96" s="1185"/>
      <c r="H96" s="1185"/>
      <c r="I96" s="1185"/>
      <c r="J96" s="645">
        <f>5-SUM(B97:B102)</f>
        <v>5</v>
      </c>
      <c r="K96" s="975"/>
      <c r="L96" s="976"/>
      <c r="M96" s="646"/>
      <c r="N96" s="647"/>
      <c r="O96" s="647"/>
      <c r="P96" s="647"/>
      <c r="Q96" s="647"/>
    </row>
    <row r="97" spans="5:17" ht="45" customHeight="1">
      <c r="E97" s="620"/>
      <c r="F97" s="1189" t="s">
        <v>405</v>
      </c>
      <c r="G97" s="1190" t="s">
        <v>406</v>
      </c>
      <c r="H97" s="691">
        <v>25.1</v>
      </c>
      <c r="I97" s="648" t="s">
        <v>407</v>
      </c>
      <c r="J97" s="692">
        <v>1</v>
      </c>
      <c r="K97" s="1016"/>
      <c r="L97" s="1010"/>
      <c r="M97" s="974"/>
      <c r="N97" s="974"/>
      <c r="O97" s="1006"/>
      <c r="P97" s="807" t="str">
        <f t="shared" ref="P97:P102" si="19">IF(M97=0,"no","yes")</f>
        <v>no</v>
      </c>
      <c r="Q97" s="807" t="str">
        <f t="shared" ref="Q97:Q102" si="20">IF(N97=0,"no","yes")</f>
        <v>no</v>
      </c>
    </row>
    <row r="98" spans="5:17" ht="45" customHeight="1">
      <c r="E98" s="620"/>
      <c r="F98" s="1182"/>
      <c r="G98" s="1184"/>
      <c r="H98" s="628">
        <v>25.2</v>
      </c>
      <c r="I98" s="648" t="s">
        <v>408</v>
      </c>
      <c r="J98" s="624">
        <v>1</v>
      </c>
      <c r="K98" s="1015"/>
      <c r="L98" s="1010"/>
      <c r="M98" s="974"/>
      <c r="N98" s="974"/>
      <c r="O98" s="1006"/>
      <c r="P98" s="807" t="str">
        <f t="shared" si="19"/>
        <v>no</v>
      </c>
      <c r="Q98" s="807" t="str">
        <f t="shared" si="20"/>
        <v>no</v>
      </c>
    </row>
    <row r="99" spans="5:17" ht="45" customHeight="1">
      <c r="E99" s="620"/>
      <c r="F99" s="1182" t="s">
        <v>409</v>
      </c>
      <c r="G99" s="1183" t="s">
        <v>410</v>
      </c>
      <c r="H99" s="628">
        <v>26.1</v>
      </c>
      <c r="I99" s="690" t="s">
        <v>411</v>
      </c>
      <c r="J99" s="632" t="s">
        <v>264</v>
      </c>
      <c r="K99" s="1015"/>
      <c r="L99" s="1010"/>
      <c r="M99" s="974"/>
      <c r="N99" s="974"/>
      <c r="O99" s="1006"/>
      <c r="P99" s="807" t="str">
        <f t="shared" si="19"/>
        <v>no</v>
      </c>
      <c r="Q99" s="807" t="str">
        <f t="shared" si="20"/>
        <v>no</v>
      </c>
    </row>
    <row r="100" spans="5:17" ht="45" customHeight="1">
      <c r="E100" s="620"/>
      <c r="F100" s="1182"/>
      <c r="G100" s="1184"/>
      <c r="H100" s="630">
        <v>26.2</v>
      </c>
      <c r="I100" s="690" t="s">
        <v>412</v>
      </c>
      <c r="J100" s="624">
        <v>1</v>
      </c>
      <c r="K100" s="1015"/>
      <c r="L100" s="997" t="str">
        <f>IF(AND(K100&gt;0,$K99&lt;&gt;$Y$11),"!","")</f>
        <v/>
      </c>
      <c r="M100" s="974"/>
      <c r="N100" s="974"/>
      <c r="O100" s="1006"/>
      <c r="P100" s="807" t="str">
        <f t="shared" si="19"/>
        <v>no</v>
      </c>
      <c r="Q100" s="807" t="str">
        <f t="shared" si="20"/>
        <v>no</v>
      </c>
    </row>
    <row r="101" spans="5:17" ht="45" customHeight="1">
      <c r="E101" s="620"/>
      <c r="F101" s="621" t="s">
        <v>413</v>
      </c>
      <c r="G101" s="622" t="s">
        <v>414</v>
      </c>
      <c r="H101" s="689">
        <v>27</v>
      </c>
      <c r="I101" s="693" t="s">
        <v>415</v>
      </c>
      <c r="J101" s="624">
        <v>1</v>
      </c>
      <c r="K101" s="1015"/>
      <c r="L101" s="1010"/>
      <c r="M101" s="974"/>
      <c r="N101" s="974"/>
      <c r="O101" s="1006"/>
      <c r="P101" s="807" t="str">
        <f t="shared" si="19"/>
        <v>no</v>
      </c>
      <c r="Q101" s="807" t="str">
        <f t="shared" si="20"/>
        <v>no</v>
      </c>
    </row>
    <row r="102" spans="5:17" ht="45" customHeight="1">
      <c r="E102" s="620"/>
      <c r="F102" s="694" t="s">
        <v>416</v>
      </c>
      <c r="G102" s="695" t="s">
        <v>417</v>
      </c>
      <c r="H102" s="696">
        <v>28</v>
      </c>
      <c r="I102" s="693" t="s">
        <v>418</v>
      </c>
      <c r="J102" s="697">
        <v>1</v>
      </c>
      <c r="K102" s="1009"/>
      <c r="L102" s="1010"/>
      <c r="M102" s="974"/>
      <c r="N102" s="974"/>
      <c r="O102" s="1006"/>
      <c r="P102" s="807" t="str">
        <f t="shared" si="19"/>
        <v>no</v>
      </c>
      <c r="Q102" s="807" t="str">
        <f t="shared" si="20"/>
        <v>no</v>
      </c>
    </row>
    <row r="103" spans="5:17" ht="45" customHeight="1">
      <c r="E103" s="635"/>
      <c r="F103" s="635" t="s">
        <v>305</v>
      </c>
      <c r="G103" s="635"/>
      <c r="H103" s="636"/>
      <c r="I103" s="635"/>
      <c r="J103" s="636">
        <f>SUM(J97:J102)</f>
        <v>5</v>
      </c>
      <c r="K103" s="1002">
        <f>SUM(K97:K102)</f>
        <v>0</v>
      </c>
      <c r="L103" s="997" t="str">
        <f>IF(K103&gt;J103,"!","")</f>
        <v/>
      </c>
      <c r="M103" s="1003"/>
      <c r="N103" s="1003"/>
      <c r="O103" s="1003"/>
      <c r="P103" s="19"/>
      <c r="Q103" s="19"/>
    </row>
    <row r="104" spans="5:17" ht="45" customHeight="1">
      <c r="F104" s="653"/>
      <c r="G104" s="653"/>
      <c r="H104" s="605"/>
      <c r="I104" s="653"/>
      <c r="J104" s="605"/>
      <c r="K104" s="995"/>
      <c r="L104" s="976"/>
      <c r="M104" s="698"/>
      <c r="N104" s="699"/>
      <c r="O104" s="699"/>
      <c r="P104" s="699"/>
      <c r="Q104" s="699"/>
    </row>
    <row r="105" spans="5:17" ht="45" customHeight="1">
      <c r="E105" s="615"/>
      <c r="F105" s="1185" t="s">
        <v>419</v>
      </c>
      <c r="G105" s="1185"/>
      <c r="H105" s="1185"/>
      <c r="I105" s="1185"/>
      <c r="J105" s="645">
        <v>10</v>
      </c>
      <c r="K105" s="977"/>
      <c r="L105" s="976"/>
      <c r="M105" s="700"/>
      <c r="N105" s="701"/>
      <c r="O105" s="701"/>
      <c r="P105" s="701"/>
      <c r="Q105" s="701"/>
    </row>
    <row r="106" spans="5:17" ht="45" customHeight="1">
      <c r="E106" s="620"/>
      <c r="F106" s="702" t="s">
        <v>420</v>
      </c>
      <c r="G106" s="703" t="s">
        <v>421</v>
      </c>
      <c r="H106" s="692">
        <v>29.1</v>
      </c>
      <c r="I106" s="704" t="s">
        <v>420</v>
      </c>
      <c r="J106" s="1186">
        <v>10</v>
      </c>
      <c r="K106" s="1016"/>
      <c r="L106" s="1010"/>
      <c r="M106" s="974"/>
      <c r="N106" s="974"/>
      <c r="O106" s="1006"/>
      <c r="P106" s="807" t="str">
        <f t="shared" ref="P106:P110" si="21">IF(M106=0,"no","yes")</f>
        <v>no</v>
      </c>
      <c r="Q106" s="807" t="str">
        <f t="shared" ref="Q106:Q110" si="22">IF(N106=0,"no","yes")</f>
        <v>no</v>
      </c>
    </row>
    <row r="107" spans="5:17" ht="45" customHeight="1">
      <c r="E107" s="620"/>
      <c r="F107" s="621" t="s">
        <v>422</v>
      </c>
      <c r="G107" s="705" t="s">
        <v>423</v>
      </c>
      <c r="H107" s="624">
        <v>29.2</v>
      </c>
      <c r="I107" s="629" t="s">
        <v>422</v>
      </c>
      <c r="J107" s="1186"/>
      <c r="K107" s="1016"/>
      <c r="L107" s="1010"/>
      <c r="M107" s="974"/>
      <c r="N107" s="974"/>
      <c r="O107" s="1006"/>
      <c r="P107" s="807" t="str">
        <f t="shared" si="21"/>
        <v>no</v>
      </c>
      <c r="Q107" s="807" t="str">
        <f t="shared" si="22"/>
        <v>no</v>
      </c>
    </row>
    <row r="108" spans="5:17" ht="45" customHeight="1">
      <c r="E108" s="620"/>
      <c r="F108" s="621" t="s">
        <v>424</v>
      </c>
      <c r="G108" s="705" t="s">
        <v>425</v>
      </c>
      <c r="H108" s="624">
        <v>29.3</v>
      </c>
      <c r="I108" s="629" t="s">
        <v>424</v>
      </c>
      <c r="J108" s="1186"/>
      <c r="K108" s="1016"/>
      <c r="L108" s="1010"/>
      <c r="M108" s="974"/>
      <c r="N108" s="974"/>
      <c r="O108" s="1006"/>
      <c r="P108" s="807" t="str">
        <f t="shared" si="21"/>
        <v>no</v>
      </c>
      <c r="Q108" s="807" t="str">
        <f t="shared" si="22"/>
        <v>no</v>
      </c>
    </row>
    <row r="109" spans="5:17" ht="45" customHeight="1">
      <c r="E109" s="620"/>
      <c r="F109" s="621" t="s">
        <v>426</v>
      </c>
      <c r="G109" s="705" t="s">
        <v>427</v>
      </c>
      <c r="H109" s="624">
        <v>29.4</v>
      </c>
      <c r="I109" s="629" t="s">
        <v>426</v>
      </c>
      <c r="J109" s="1186"/>
      <c r="K109" s="1016"/>
      <c r="L109" s="1010"/>
      <c r="M109" s="974"/>
      <c r="N109" s="974"/>
      <c r="O109" s="1006"/>
      <c r="P109" s="807" t="str">
        <f t="shared" si="21"/>
        <v>no</v>
      </c>
      <c r="Q109" s="807" t="str">
        <f t="shared" si="22"/>
        <v>no</v>
      </c>
    </row>
    <row r="110" spans="5:17" ht="45" customHeight="1">
      <c r="E110" s="620"/>
      <c r="F110" s="706" t="s">
        <v>428</v>
      </c>
      <c r="G110" s="707" t="s">
        <v>429</v>
      </c>
      <c r="H110" s="697">
        <v>29.5</v>
      </c>
      <c r="I110" s="708" t="s">
        <v>428</v>
      </c>
      <c r="J110" s="1186"/>
      <c r="K110" s="1016"/>
      <c r="L110" s="1010"/>
      <c r="M110" s="974"/>
      <c r="N110" s="974"/>
      <c r="O110" s="1006"/>
      <c r="P110" s="807" t="str">
        <f t="shared" si="21"/>
        <v>no</v>
      </c>
      <c r="Q110" s="807" t="str">
        <f t="shared" si="22"/>
        <v>no</v>
      </c>
    </row>
    <row r="111" spans="5:17" ht="45" customHeight="1">
      <c r="E111" s="635"/>
      <c r="F111" s="635" t="s">
        <v>305</v>
      </c>
      <c r="G111" s="635"/>
      <c r="H111" s="636"/>
      <c r="I111" s="635"/>
      <c r="J111" s="636">
        <f>SUM(J106)</f>
        <v>10</v>
      </c>
      <c r="K111" s="1002">
        <f>IF(SUM(K106:K110)&gt;10,10,SUM(K106:K110))</f>
        <v>0</v>
      </c>
      <c r="L111" s="997" t="str">
        <f>IF(K111&gt;J111,"!","")</f>
        <v/>
      </c>
      <c r="M111" s="1017"/>
      <c r="N111" s="1017"/>
      <c r="O111" s="1003"/>
      <c r="P111" s="19"/>
      <c r="Q111" s="19"/>
    </row>
    <row r="112" spans="5:17" ht="45" customHeight="1">
      <c r="F112" s="653"/>
      <c r="G112" s="653"/>
      <c r="H112" s="605"/>
      <c r="I112" s="653"/>
      <c r="J112" s="605"/>
      <c r="K112" s="995"/>
      <c r="L112" s="1018"/>
      <c r="M112" s="642"/>
      <c r="N112" s="643"/>
      <c r="O112" s="643"/>
    </row>
    <row r="113" spans="2:24" ht="45" customHeight="1">
      <c r="B113" s="709" t="s">
        <v>430</v>
      </c>
      <c r="F113" s="710"/>
      <c r="G113" s="710"/>
      <c r="H113" s="711"/>
      <c r="I113" s="712" t="s">
        <v>431</v>
      </c>
      <c r="J113" s="608" t="s">
        <v>432</v>
      </c>
      <c r="K113" s="971" t="s">
        <v>433</v>
      </c>
      <c r="L113" s="978"/>
      <c r="M113" s="1019"/>
      <c r="N113" s="1020"/>
      <c r="O113" s="1020"/>
    </row>
    <row r="114" spans="2:24" ht="45" customHeight="1">
      <c r="B114" s="604">
        <f>SUM(B10:B102)</f>
        <v>0</v>
      </c>
      <c r="F114" s="611"/>
      <c r="G114" s="611"/>
      <c r="H114" s="605"/>
      <c r="I114" s="614" t="s">
        <v>434</v>
      </c>
      <c r="J114" s="713">
        <f>100-B114</f>
        <v>100</v>
      </c>
      <c r="K114" s="1021">
        <f>K28+K48+K55+K63+K72+K87+K94+K103</f>
        <v>0</v>
      </c>
      <c r="L114" s="978"/>
      <c r="M114" s="1022"/>
      <c r="N114" s="1023"/>
      <c r="O114" s="1023"/>
    </row>
    <row r="115" spans="2:24" ht="45" customHeight="1">
      <c r="F115" s="611"/>
      <c r="G115" s="611"/>
      <c r="H115" s="714"/>
      <c r="I115" s="614" t="s">
        <v>435</v>
      </c>
      <c r="J115" s="715"/>
      <c r="K115" s="1024">
        <f>K114/J114*100</f>
        <v>0</v>
      </c>
      <c r="L115" s="979"/>
      <c r="M115" s="1022"/>
      <c r="N115" s="1023"/>
      <c r="O115" s="1023"/>
    </row>
    <row r="116" spans="2:24" ht="45" customHeight="1">
      <c r="F116" s="611"/>
      <c r="G116" s="611"/>
      <c r="H116" s="605"/>
      <c r="I116" s="614" t="s">
        <v>436</v>
      </c>
      <c r="J116" s="713">
        <v>10</v>
      </c>
      <c r="K116" s="1021">
        <f>K111</f>
        <v>0</v>
      </c>
      <c r="L116" s="980"/>
      <c r="M116" s="1022"/>
      <c r="N116" s="1023"/>
      <c r="O116" s="1023"/>
    </row>
    <row r="117" spans="2:24" ht="45" customHeight="1">
      <c r="I117" s="614" t="s">
        <v>237</v>
      </c>
      <c r="J117" s="716"/>
      <c r="K117" s="1024">
        <f>K115+K116</f>
        <v>0</v>
      </c>
      <c r="M117" s="642"/>
      <c r="N117" s="643"/>
      <c r="O117" s="643"/>
    </row>
    <row r="118" spans="2:24">
      <c r="M118" s="642"/>
      <c r="N118" s="643"/>
      <c r="O118" s="643"/>
    </row>
    <row r="119" spans="2:24">
      <c r="M119" s="642"/>
      <c r="N119" s="643"/>
      <c r="O119" s="643"/>
    </row>
    <row r="120" spans="2:24">
      <c r="M120" s="642"/>
      <c r="N120" s="643"/>
      <c r="O120" s="643"/>
    </row>
    <row r="121" spans="2:24" ht="27.95">
      <c r="I121" s="230" t="s">
        <v>437</v>
      </c>
      <c r="J121" s="243"/>
      <c r="K121" s="981"/>
      <c r="L121" s="580"/>
      <c r="M121" s="982" t="s">
        <v>438</v>
      </c>
      <c r="N121" s="982" t="s">
        <v>439</v>
      </c>
      <c r="O121" s="580"/>
      <c r="P121" s="164"/>
      <c r="Q121" s="164"/>
      <c r="R121" s="164"/>
      <c r="S121" s="164"/>
      <c r="T121" s="164"/>
      <c r="U121" s="164"/>
      <c r="V121" s="808"/>
      <c r="W121" s="808"/>
      <c r="X121" s="808"/>
    </row>
    <row r="122" spans="2:24" ht="33.950000000000003" customHeight="1">
      <c r="D122" s="665" t="s">
        <v>14</v>
      </c>
      <c r="I122" s="809" t="s">
        <v>440</v>
      </c>
      <c r="J122" s="800"/>
      <c r="K122" s="983"/>
      <c r="L122" s="580"/>
      <c r="M122" s="984">
        <f>SUMIF(P10:P110,"Yes",M10:M110)</f>
        <v>0</v>
      </c>
      <c r="N122" s="984">
        <f>SUMIF(Q10:Q110,"Yes",N10:N110)</f>
        <v>0</v>
      </c>
      <c r="O122" s="580"/>
      <c r="P122" s="164"/>
      <c r="Q122" s="164"/>
      <c r="R122" s="164"/>
      <c r="S122" s="164"/>
      <c r="T122" s="164"/>
      <c r="U122" s="164"/>
      <c r="V122" s="808"/>
      <c r="W122" s="808"/>
      <c r="X122" s="808"/>
    </row>
    <row r="123" spans="2:24" ht="33.950000000000003" customHeight="1">
      <c r="D123" s="665" t="s">
        <v>14</v>
      </c>
      <c r="I123" s="809" t="s">
        <v>441</v>
      </c>
      <c r="J123" s="800"/>
      <c r="K123" s="983"/>
      <c r="L123" s="580"/>
      <c r="M123" s="1025"/>
      <c r="N123" s="1025"/>
      <c r="O123" s="580"/>
      <c r="P123" s="164"/>
      <c r="Q123" s="164"/>
      <c r="R123" s="164"/>
      <c r="S123" s="164"/>
      <c r="T123" s="164"/>
      <c r="U123" s="164"/>
      <c r="V123" s="808"/>
      <c r="W123" s="808"/>
    </row>
    <row r="124" spans="2:24" ht="33.950000000000003" customHeight="1">
      <c r="D124" s="665" t="s">
        <v>14</v>
      </c>
      <c r="I124" s="520" t="s">
        <v>442</v>
      </c>
      <c r="J124" s="800"/>
      <c r="K124" s="985">
        <f>K122+K123</f>
        <v>0</v>
      </c>
      <c r="L124" s="580"/>
      <c r="M124" s="1025"/>
      <c r="N124" s="1025"/>
      <c r="O124" s="580"/>
      <c r="P124" s="164"/>
      <c r="Q124" s="164"/>
      <c r="R124" s="164"/>
      <c r="S124" s="164"/>
      <c r="T124" s="164"/>
      <c r="U124" s="164"/>
      <c r="V124" s="808"/>
      <c r="W124" s="808"/>
    </row>
    <row r="125" spans="2:24" ht="33.950000000000003" customHeight="1">
      <c r="D125" s="665" t="s">
        <v>14</v>
      </c>
      <c r="I125" s="809" t="s">
        <v>443</v>
      </c>
      <c r="J125" s="800"/>
      <c r="K125" s="983"/>
      <c r="L125" s="580"/>
      <c r="M125" s="1025"/>
      <c r="N125" s="1025"/>
      <c r="O125" s="580"/>
      <c r="P125" s="164"/>
      <c r="Q125" s="164"/>
      <c r="R125" s="164"/>
      <c r="S125" s="164"/>
      <c r="T125" s="164"/>
      <c r="U125" s="164"/>
      <c r="V125" s="808"/>
      <c r="W125" s="808"/>
    </row>
    <row r="126" spans="2:24" ht="33.950000000000003" customHeight="1">
      <c r="D126" s="665" t="s">
        <v>14</v>
      </c>
      <c r="I126" s="520" t="s">
        <v>107</v>
      </c>
      <c r="J126" s="800"/>
      <c r="K126" s="985">
        <f>M122</f>
        <v>0</v>
      </c>
      <c r="L126" s="580"/>
      <c r="M126" s="1025"/>
      <c r="N126" s="1025"/>
      <c r="O126" s="580"/>
      <c r="P126" s="164"/>
      <c r="Q126" s="164"/>
      <c r="R126" s="164"/>
      <c r="S126" s="164"/>
      <c r="T126" s="164"/>
      <c r="U126" s="164"/>
      <c r="V126" s="808"/>
      <c r="W126" s="808"/>
    </row>
    <row r="127" spans="2:24" ht="33.950000000000003" customHeight="1">
      <c r="D127" s="665" t="s">
        <v>14</v>
      </c>
      <c r="I127" s="520" t="s">
        <v>444</v>
      </c>
      <c r="J127" s="800"/>
      <c r="K127" s="985">
        <f>N122</f>
        <v>0</v>
      </c>
      <c r="L127" s="580"/>
      <c r="M127" s="1025"/>
      <c r="N127" s="1025"/>
      <c r="O127" s="580"/>
      <c r="P127" s="164"/>
      <c r="Q127" s="164"/>
      <c r="R127" s="164"/>
      <c r="S127" s="164"/>
      <c r="T127" s="164"/>
      <c r="U127" s="164"/>
      <c r="V127" s="808"/>
      <c r="W127" s="808"/>
    </row>
    <row r="128" spans="2:24" ht="33.950000000000003" customHeight="1">
      <c r="I128" s="520" t="s">
        <v>445</v>
      </c>
      <c r="J128" s="800"/>
      <c r="K128" s="985">
        <f>SUM(K125:K127)</f>
        <v>0</v>
      </c>
      <c r="L128" s="580"/>
      <c r="M128" s="1025"/>
      <c r="N128" s="1025"/>
      <c r="O128" s="580"/>
      <c r="P128" s="164"/>
      <c r="Q128" s="164"/>
      <c r="R128" s="164"/>
      <c r="S128" s="164"/>
      <c r="T128" s="164"/>
      <c r="U128" s="164"/>
      <c r="V128" s="808"/>
      <c r="W128" s="808"/>
    </row>
    <row r="129" spans="9:23" ht="33.950000000000003" customHeight="1">
      <c r="I129" s="506" t="s">
        <v>112</v>
      </c>
      <c r="J129" s="507"/>
      <c r="K129" s="986">
        <f>IFERROR(K128/K124,0)</f>
        <v>0</v>
      </c>
      <c r="L129" s="580"/>
      <c r="M129" s="1025"/>
      <c r="N129" s="1025"/>
      <c r="O129" s="580"/>
      <c r="P129" s="164"/>
      <c r="Q129" s="164"/>
      <c r="R129" s="164"/>
      <c r="S129" s="164"/>
      <c r="T129" s="164"/>
      <c r="U129" s="164"/>
      <c r="V129" s="808"/>
      <c r="W129" s="808"/>
    </row>
    <row r="130" spans="9:23" ht="33.950000000000003" customHeight="1">
      <c r="I130" s="814"/>
      <c r="J130" s="538"/>
      <c r="K130" s="987"/>
      <c r="L130" s="580"/>
      <c r="M130" s="1025"/>
      <c r="N130" s="1025"/>
      <c r="O130" s="580"/>
      <c r="P130" s="164"/>
      <c r="Q130" s="164"/>
      <c r="R130" s="164"/>
      <c r="S130" s="164"/>
      <c r="T130" s="164"/>
      <c r="U130" s="164"/>
      <c r="V130" s="808"/>
      <c r="W130" s="808"/>
    </row>
    <row r="131" spans="9:23">
      <c r="I131" s="446" t="s">
        <v>101</v>
      </c>
      <c r="J131" s="447"/>
      <c r="K131" s="988" t="s">
        <v>446</v>
      </c>
      <c r="L131" s="1026"/>
      <c r="M131" s="1025"/>
      <c r="N131" s="1025"/>
      <c r="O131" s="580"/>
      <c r="P131" s="164"/>
      <c r="Q131" s="164"/>
      <c r="R131" s="164"/>
      <c r="S131" s="164"/>
      <c r="T131" s="164"/>
      <c r="U131" s="164"/>
      <c r="W131" s="808"/>
    </row>
    <row r="132" spans="9:23" ht="29.1" customHeight="1">
      <c r="I132" s="529" t="s">
        <v>447</v>
      </c>
      <c r="J132" s="530" t="s">
        <v>448</v>
      </c>
      <c r="K132" s="1179" t="str">
        <f>IF(J132="Yes","No Issues", IF(J132="No","Contact project team","Check scorecard points"))</f>
        <v>Contact project team</v>
      </c>
      <c r="L132" s="1179"/>
      <c r="M132" s="1025"/>
      <c r="N132" s="1025"/>
      <c r="O132" s="990"/>
    </row>
    <row r="133" spans="9:23" ht="29.1" customHeight="1">
      <c r="I133" s="529" t="s">
        <v>449</v>
      </c>
      <c r="J133" s="530">
        <f>COUNTA(K10:K27,K31:K47,K51:K54,K58:K62,K66:K71,K75:K86,K90:K93,K97:K102,K106:K110)+COUNTIF(C4:C110,"TRUE")</f>
        <v>0</v>
      </c>
      <c r="K133" s="1179" t="str">
        <f>IF(J133=0,"No credits entered","No Issues")</f>
        <v>No credits entered</v>
      </c>
      <c r="L133" s="1179"/>
      <c r="M133" s="1025"/>
      <c r="N133" s="1025"/>
      <c r="O133" s="990"/>
      <c r="V133" s="808"/>
      <c r="W133" s="808"/>
    </row>
    <row r="134" spans="9:23" ht="29.1" customHeight="1">
      <c r="I134" s="529" t="s">
        <v>450</v>
      </c>
      <c r="J134" s="530">
        <f>COUNTIF(C11:C110,"TRUE")</f>
        <v>0</v>
      </c>
      <c r="K134" s="1179" t="str">
        <f>IF(J134=0,"No Issues - No NA credits claimed",CONCATENATE("No Issues - ",J134," Implementation Costs NOT needed"))</f>
        <v>No Issues - No NA credits claimed</v>
      </c>
      <c r="L134" s="1179"/>
      <c r="M134" s="1025"/>
      <c r="N134" s="1025"/>
      <c r="O134" s="990"/>
      <c r="V134" s="808"/>
      <c r="W134" s="808"/>
    </row>
    <row r="135" spans="9:23" ht="29.1" customHeight="1">
      <c r="I135" s="529" t="s">
        <v>451</v>
      </c>
      <c r="J135" s="530">
        <f>COUNTIF(P10:P110,"Yes")</f>
        <v>0</v>
      </c>
      <c r="K135" s="1179" t="str">
        <f>IF(J135&lt;J133,CONCATENATE(J133-J135," documentation cost missing"),IF(J135=0,"No credits entered",IF(COUNTIF(M10:M110,0)&gt;0,CONCATENATE(COUNTIF(M10:M110,0)," $0 cost(s) provided. Enter a value or explain the $0 value in the Comments column."),"No Issues")))</f>
        <v>No credits entered</v>
      </c>
      <c r="L135" s="1179"/>
      <c r="M135" s="1025"/>
      <c r="N135" s="1025"/>
      <c r="O135" s="990"/>
      <c r="V135" s="540"/>
      <c r="W135" s="593"/>
    </row>
    <row r="136" spans="9:23" ht="29.1" customHeight="1">
      <c r="I136" s="529" t="s">
        <v>452</v>
      </c>
      <c r="J136" s="530">
        <f>COUNTIF(Q10:Q110,"Yes")</f>
        <v>0</v>
      </c>
      <c r="K136" s="1179" t="str">
        <f>IF(J136&lt;(J133-J134),CONCATENATE(J133-J136-J134," implementation cost missing"),IF(J136=0,"No credits entered",IF(COUNTIF(N10:N110,0)&gt;ROUND(0.25*J133,0),CONCATENATE(COUNTIF(N10:N110,0)," $0 cost(s) provided. Enter a value or explain the $0 value in the Comments column."),"No Issues")))</f>
        <v>No credits entered</v>
      </c>
      <c r="L136" s="1179"/>
      <c r="M136" s="1025"/>
      <c r="N136" s="1025"/>
      <c r="O136" s="990"/>
      <c r="V136" s="539"/>
      <c r="W136" s="593"/>
    </row>
    <row r="137" spans="9:23" ht="29.1" customHeight="1">
      <c r="I137" s="529" t="s">
        <v>453</v>
      </c>
      <c r="J137" s="530" t="str">
        <f>IF(K122&gt;0,"Yes","No")</f>
        <v>No</v>
      </c>
      <c r="K137" s="1179" t="str">
        <f>IF(J137="No","Total Design Cost missing","No Issues")</f>
        <v>Total Design Cost missing</v>
      </c>
      <c r="L137" s="1179"/>
      <c r="M137" s="1025"/>
      <c r="N137" s="1025"/>
      <c r="O137" s="990"/>
      <c r="W137" s="808"/>
    </row>
    <row r="138" spans="9:23" ht="29.1" customHeight="1">
      <c r="I138" s="529" t="s">
        <v>454</v>
      </c>
      <c r="J138" s="530" t="str">
        <f>IF(K123&gt;0,"Yes","No")</f>
        <v>No</v>
      </c>
      <c r="K138" s="1179" t="str">
        <f>IF(J138="No","Total Construction Cost missing","No Issues")</f>
        <v>Total Construction Cost missing</v>
      </c>
      <c r="L138" s="1179"/>
      <c r="M138" s="1025"/>
      <c r="N138" s="1025"/>
      <c r="O138" s="990"/>
      <c r="W138" s="808"/>
    </row>
    <row r="139" spans="9:23" ht="29.1" customHeight="1">
      <c r="I139" s="529" t="s">
        <v>455</v>
      </c>
      <c r="J139" s="530" t="str">
        <f>IF(K125&gt;0,"Yes","No")</f>
        <v>No</v>
      </c>
      <c r="K139" s="1179" t="str">
        <f>IF(J139="No","Green Star Certification Fees missing","No Issues")</f>
        <v>Green Star Certification Fees missing</v>
      </c>
      <c r="L139" s="1179"/>
      <c r="M139" s="1025"/>
      <c r="N139" s="1025"/>
      <c r="O139" s="580"/>
      <c r="P139" s="164"/>
      <c r="Q139" s="164"/>
      <c r="R139" s="164"/>
      <c r="S139" s="164"/>
      <c r="T139" s="164"/>
      <c r="U139" s="164"/>
      <c r="V139" s="808"/>
      <c r="W139" s="808"/>
    </row>
    <row r="140" spans="9:23" ht="29.1" customHeight="1">
      <c r="I140" s="529" t="s">
        <v>112</v>
      </c>
      <c r="J140" s="816">
        <f>K129</f>
        <v>0</v>
      </c>
      <c r="K140" s="1179" t="str">
        <f>IF(J140=0,"Additional Costs have not been entered yet",IF(J140&gt;=0.1,"Implementing Green Star cost is unusually high. Check that only additional costs incurred as a result of pursuing a rating were included in the Green Star Certification Fees.","No Issues"))</f>
        <v>Additional Costs have not been entered yet</v>
      </c>
      <c r="L140" s="1179"/>
      <c r="M140" s="1025"/>
      <c r="N140" s="1025"/>
      <c r="O140" s="580"/>
      <c r="P140" s="164"/>
      <c r="Q140" s="164"/>
      <c r="R140" s="164"/>
      <c r="S140" s="164"/>
      <c r="T140" s="164"/>
      <c r="U140" s="164"/>
      <c r="V140" s="542"/>
      <c r="W140" s="593"/>
    </row>
    <row r="141" spans="9:23" ht="29.1" customHeight="1">
      <c r="I141" s="597" t="s">
        <v>188</v>
      </c>
      <c r="J141" s="597"/>
      <c r="K141" s="1180" t="s">
        <v>456</v>
      </c>
      <c r="L141" s="1180"/>
      <c r="M141" s="1025"/>
      <c r="N141" s="1025"/>
      <c r="O141" s="580"/>
      <c r="P141" s="164"/>
      <c r="Q141" s="164"/>
      <c r="R141" s="164"/>
      <c r="S141" s="164"/>
      <c r="T141" s="164"/>
      <c r="U141" s="164"/>
      <c r="V141" s="542"/>
      <c r="W141" s="541"/>
    </row>
    <row r="142" spans="9:23" ht="18">
      <c r="I142" s="115" t="s">
        <v>457</v>
      </c>
      <c r="J142" s="1175" t="str">
        <f>IF(OR(COUNTIF(K132:L140,"No Issues*")=9,K141="YES"),"1 POINT AWARDED", "1 POINT NOT AWARDED")</f>
        <v>1 POINT AWARDED</v>
      </c>
      <c r="K142" s="1175"/>
      <c r="L142" s="1175"/>
      <c r="M142" s="1025"/>
      <c r="N142" s="1025"/>
      <c r="O142" s="580"/>
      <c r="P142" s="164"/>
      <c r="Q142" s="164"/>
      <c r="R142" s="164"/>
      <c r="S142" s="164"/>
      <c r="T142" s="164"/>
      <c r="U142" s="164"/>
      <c r="V142" s="808"/>
      <c r="W142" s="808"/>
    </row>
  </sheetData>
  <sheetProtection algorithmName="SHA-512" hashValue="iFihpQfCTxZdRUkSvEYufFKQkXVgxy1mWqIlyX6Et5CR8PZi7HVN79KHuy9SmE/jwr1lSARqrETIGxjHzINo9Q==" saltValue="JBL2iFvJhOkSqnUl6ogtGg==" spinCount="100000" sheet="1" objects="1" scenarios="1"/>
  <mergeCells count="67">
    <mergeCell ref="F11:F15"/>
    <mergeCell ref="G11:G15"/>
    <mergeCell ref="F31:F33"/>
    <mergeCell ref="G31:G33"/>
    <mergeCell ref="F16:F17"/>
    <mergeCell ref="G16:G17"/>
    <mergeCell ref="F19:F20"/>
    <mergeCell ref="G19:G20"/>
    <mergeCell ref="F21:F22"/>
    <mergeCell ref="G21:G22"/>
    <mergeCell ref="F23:F25"/>
    <mergeCell ref="G23:G25"/>
    <mergeCell ref="F26:F27"/>
    <mergeCell ref="G26:G27"/>
    <mergeCell ref="F30:I30"/>
    <mergeCell ref="F34:F36"/>
    <mergeCell ref="G34:G36"/>
    <mergeCell ref="F37:F40"/>
    <mergeCell ref="G37:G40"/>
    <mergeCell ref="F41:F43"/>
    <mergeCell ref="G41:G43"/>
    <mergeCell ref="G3:H3"/>
    <mergeCell ref="F2:I2"/>
    <mergeCell ref="F89:I89"/>
    <mergeCell ref="F91:F93"/>
    <mergeCell ref="G91:G93"/>
    <mergeCell ref="F75:F80"/>
    <mergeCell ref="G75:G80"/>
    <mergeCell ref="F81:F83"/>
    <mergeCell ref="G81:G83"/>
    <mergeCell ref="F85:F86"/>
    <mergeCell ref="G85:G86"/>
    <mergeCell ref="F53:F54"/>
    <mergeCell ref="G53:G54"/>
    <mergeCell ref="F58:F62"/>
    <mergeCell ref="G58:G62"/>
    <mergeCell ref="F66:F71"/>
    <mergeCell ref="F99:F100"/>
    <mergeCell ref="G99:G100"/>
    <mergeCell ref="F105:I105"/>
    <mergeCell ref="J106:J110"/>
    <mergeCell ref="G4:H4"/>
    <mergeCell ref="F96:I96"/>
    <mergeCell ref="F97:F98"/>
    <mergeCell ref="G97:G98"/>
    <mergeCell ref="G66:G71"/>
    <mergeCell ref="F44:F45"/>
    <mergeCell ref="G44:G45"/>
    <mergeCell ref="F46:F47"/>
    <mergeCell ref="G46:G47"/>
    <mergeCell ref="F50:I50"/>
    <mergeCell ref="F51:F52"/>
    <mergeCell ref="G51:G52"/>
    <mergeCell ref="J142:L142"/>
    <mergeCell ref="M7:N7"/>
    <mergeCell ref="G5:H5"/>
    <mergeCell ref="K136:L136"/>
    <mergeCell ref="K137:L137"/>
    <mergeCell ref="K138:L138"/>
    <mergeCell ref="K139:L139"/>
    <mergeCell ref="K140:L140"/>
    <mergeCell ref="K141:L141"/>
    <mergeCell ref="K132:L132"/>
    <mergeCell ref="K133:L133"/>
    <mergeCell ref="K134:L134"/>
    <mergeCell ref="K135:L135"/>
    <mergeCell ref="L77:L80"/>
  </mergeCells>
  <conditionalFormatting sqref="H29:J29">
    <cfRule type="expression" dxfId="545" priority="135">
      <formula>#REF!=0</formula>
    </cfRule>
  </conditionalFormatting>
  <conditionalFormatting sqref="G55">
    <cfRule type="expression" dxfId="544" priority="134">
      <formula>$J$54=0</formula>
    </cfRule>
  </conditionalFormatting>
  <conditionalFormatting sqref="K24:K25">
    <cfRule type="expression" dxfId="543" priority="133">
      <formula>$G$23=$I$24</formula>
    </cfRule>
  </conditionalFormatting>
  <conditionalFormatting sqref="K99">
    <cfRule type="expression" dxfId="542" priority="132">
      <formula>#REF!=#REF!</formula>
    </cfRule>
  </conditionalFormatting>
  <conditionalFormatting sqref="H31:K31 K32:K47 E51:E54 E90:E93">
    <cfRule type="expression" dxfId="541" priority="131">
      <formula>$C31=TRUE</formula>
    </cfRule>
  </conditionalFormatting>
  <conditionalFormatting sqref="H32:J32">
    <cfRule type="expression" dxfId="540" priority="130">
      <formula>$C32=TRUE</formula>
    </cfRule>
  </conditionalFormatting>
  <conditionalFormatting sqref="H33:J36">
    <cfRule type="expression" dxfId="539" priority="129">
      <formula>$C33=TRUE</formula>
    </cfRule>
  </conditionalFormatting>
  <conditionalFormatting sqref="H38:J40">
    <cfRule type="expression" dxfId="538" priority="128">
      <formula>$C38=TRUE</formula>
    </cfRule>
  </conditionalFormatting>
  <conditionalFormatting sqref="H42:J47">
    <cfRule type="expression" dxfId="537" priority="127">
      <formula>$C42=TRUE</formula>
    </cfRule>
  </conditionalFormatting>
  <conditionalFormatting sqref="H70:K70">
    <cfRule type="expression" dxfId="536" priority="126">
      <formula>$C$70=TRUE</formula>
    </cfRule>
  </conditionalFormatting>
  <conditionalFormatting sqref="H71:K71">
    <cfRule type="expression" dxfId="535" priority="125">
      <formula>$C$71=TRUE</formula>
    </cfRule>
  </conditionalFormatting>
  <conditionalFormatting sqref="H93:K93">
    <cfRule type="expression" dxfId="534" priority="124">
      <formula>$C$93=TRUE</formula>
    </cfRule>
  </conditionalFormatting>
  <conditionalFormatting sqref="H80:K80">
    <cfRule type="expression" dxfId="533" priority="123">
      <formula>$C$80=TRUE</formula>
    </cfRule>
  </conditionalFormatting>
  <conditionalFormatting sqref="H81:K81">
    <cfRule type="expression" dxfId="532" priority="122">
      <formula>$C$81=TRUE</formula>
    </cfRule>
  </conditionalFormatting>
  <conditionalFormatting sqref="H82:K82">
    <cfRule type="expression" dxfId="531" priority="121">
      <formula>$C$82=TRUE</formula>
    </cfRule>
  </conditionalFormatting>
  <conditionalFormatting sqref="H83:K83">
    <cfRule type="expression" dxfId="530" priority="120">
      <formula>$C$83=TRUE</formula>
    </cfRule>
  </conditionalFormatting>
  <conditionalFormatting sqref="H51:K52">
    <cfRule type="expression" dxfId="529" priority="119">
      <formula>#REF!&lt;&gt;#REF!</formula>
    </cfRule>
  </conditionalFormatting>
  <conditionalFormatting sqref="E31:E47">
    <cfRule type="expression" dxfId="528" priority="118">
      <formula>$C31=TRUE</formula>
    </cfRule>
  </conditionalFormatting>
  <conditionalFormatting sqref="K59">
    <cfRule type="expression" dxfId="527" priority="117">
      <formula>$C59=TRUE</formula>
    </cfRule>
  </conditionalFormatting>
  <conditionalFormatting sqref="E66:E71">
    <cfRule type="expression" dxfId="526" priority="116">
      <formula>$C66=TRUE</formula>
    </cfRule>
  </conditionalFormatting>
  <conditionalFormatting sqref="E75:E86">
    <cfRule type="expression" dxfId="525" priority="115">
      <formula>$C75=TRUE</formula>
    </cfRule>
  </conditionalFormatting>
  <conditionalFormatting sqref="E97:E102">
    <cfRule type="expression" dxfId="524" priority="114">
      <formula>$C97=TRUE</formula>
    </cfRule>
  </conditionalFormatting>
  <conditionalFormatting sqref="E106:E110">
    <cfRule type="expression" dxfId="523" priority="113">
      <formula>$C106=TRUE</formula>
    </cfRule>
  </conditionalFormatting>
  <conditionalFormatting sqref="K60">
    <cfRule type="expression" dxfId="522" priority="112">
      <formula>$C$60=TRUE</formula>
    </cfRule>
  </conditionalFormatting>
  <conditionalFormatting sqref="H79:J79">
    <cfRule type="expression" dxfId="521" priority="111">
      <formula>$C$80=TRUE</formula>
    </cfRule>
  </conditionalFormatting>
  <conditionalFormatting sqref="H58:J62">
    <cfRule type="expression" dxfId="520" priority="110">
      <formula>#REF!&lt;&gt;#REF!</formula>
    </cfRule>
  </conditionalFormatting>
  <conditionalFormatting sqref="M29:O30 M49:O50 M56:O57 M64:O65 M73:O74 M88:O89 M95:O96 M104:O105">
    <cfRule type="expression" dxfId="519" priority="136">
      <formula>#REF!=$X$14</formula>
    </cfRule>
    <cfRule type="expression" dxfId="518" priority="137">
      <formula>#REF!=$X$14</formula>
    </cfRule>
  </conditionalFormatting>
  <conditionalFormatting sqref="H66:J66">
    <cfRule type="expression" dxfId="517" priority="138">
      <formula>$G$66=$V$66</formula>
    </cfRule>
  </conditionalFormatting>
  <conditionalFormatting sqref="H67:J71">
    <cfRule type="expression" dxfId="516" priority="139">
      <formula>$G$66=$V$67</formula>
    </cfRule>
  </conditionalFormatting>
  <conditionalFormatting sqref="K67:K71">
    <cfRule type="expression" dxfId="515" priority="140">
      <formula>$G$66=$V$67</formula>
    </cfRule>
  </conditionalFormatting>
  <conditionalFormatting sqref="K66">
    <cfRule type="expression" dxfId="514" priority="141">
      <formula>$G$66=$V$66</formula>
    </cfRule>
  </conditionalFormatting>
  <conditionalFormatting sqref="K97:K98 K100:K102 K106:K110">
    <cfRule type="expression" dxfId="513" priority="142">
      <formula>$G$74=$V$75</formula>
    </cfRule>
  </conditionalFormatting>
  <conditionalFormatting sqref="H75:K76">
    <cfRule type="expression" dxfId="512" priority="143">
      <formula>$G$75=$V$76</formula>
    </cfRule>
  </conditionalFormatting>
  <conditionalFormatting sqref="H77:K80">
    <cfRule type="expression" dxfId="511" priority="144">
      <formula>$G$75=$V$75</formula>
    </cfRule>
  </conditionalFormatting>
  <conditionalFormatting sqref="H26:K26">
    <cfRule type="expression" dxfId="510" priority="145">
      <formula>$G$26=$V$12</formula>
    </cfRule>
  </conditionalFormatting>
  <conditionalFormatting sqref="H27:K27">
    <cfRule type="expression" dxfId="509" priority="146">
      <formula>$G$26=$V$11</formula>
    </cfRule>
  </conditionalFormatting>
  <conditionalFormatting sqref="H53:K53 K58:K62">
    <cfRule type="expression" dxfId="508" priority="147">
      <formula>$G$53=$V$54</formula>
    </cfRule>
  </conditionalFormatting>
  <conditionalFormatting sqref="H54:K54">
    <cfRule type="expression" dxfId="507" priority="148">
      <formula>$G$53=$V$53</formula>
    </cfRule>
  </conditionalFormatting>
  <conditionalFormatting sqref="H85:K85">
    <cfRule type="expression" dxfId="506" priority="149">
      <formula>$G$85=$V$86</formula>
    </cfRule>
  </conditionalFormatting>
  <conditionalFormatting sqref="H86:K86">
    <cfRule type="expression" dxfId="505" priority="150">
      <formula>$G$85=$V$85</formula>
    </cfRule>
  </conditionalFormatting>
  <conditionalFormatting sqref="G2:H3 G6:H6 G4:G5">
    <cfRule type="containsText" dxfId="504" priority="109" operator="containsText" text="Please">
      <formula>NOT(ISERROR(SEARCH("Please",G2)))</formula>
    </cfRule>
  </conditionalFormatting>
  <conditionalFormatting sqref="M10:O27">
    <cfRule type="expression" dxfId="503" priority="108">
      <formula>$K10=""</formula>
    </cfRule>
  </conditionalFormatting>
  <conditionalFormatting sqref="O10:O27">
    <cfRule type="expression" dxfId="502" priority="107">
      <formula>$C10=TRUE</formula>
    </cfRule>
  </conditionalFormatting>
  <conditionalFormatting sqref="O28">
    <cfRule type="expression" dxfId="501" priority="106">
      <formula>$C28=TRUE</formula>
    </cfRule>
  </conditionalFormatting>
  <conditionalFormatting sqref="M31:O47">
    <cfRule type="expression" dxfId="500" priority="105">
      <formula>$K31=""</formula>
    </cfRule>
  </conditionalFormatting>
  <conditionalFormatting sqref="O31:O47">
    <cfRule type="expression" dxfId="499" priority="104">
      <formula>$C31=TRUE</formula>
    </cfRule>
  </conditionalFormatting>
  <conditionalFormatting sqref="O48">
    <cfRule type="expression" dxfId="498" priority="103">
      <formula>$C48=TRUE</formula>
    </cfRule>
  </conditionalFormatting>
  <conditionalFormatting sqref="M51:O54">
    <cfRule type="expression" dxfId="497" priority="102">
      <formula>$K51=""</formula>
    </cfRule>
  </conditionalFormatting>
  <conditionalFormatting sqref="O51:O54">
    <cfRule type="expression" dxfId="496" priority="101">
      <formula>$C51=TRUE</formula>
    </cfRule>
  </conditionalFormatting>
  <conditionalFormatting sqref="O55">
    <cfRule type="expression" dxfId="495" priority="100">
      <formula>$C53=TRUE</formula>
    </cfRule>
  </conditionalFormatting>
  <conditionalFormatting sqref="M58:O62">
    <cfRule type="expression" dxfId="494" priority="98">
      <formula>$K58=""</formula>
    </cfRule>
  </conditionalFormatting>
  <conditionalFormatting sqref="O58:O62">
    <cfRule type="expression" dxfId="493" priority="99">
      <formula>$C56=TRUE</formula>
    </cfRule>
  </conditionalFormatting>
  <conditionalFormatting sqref="O63">
    <cfRule type="expression" dxfId="492" priority="97">
      <formula>$C61=TRUE</formula>
    </cfRule>
  </conditionalFormatting>
  <conditionalFormatting sqref="M66:O71">
    <cfRule type="expression" dxfId="491" priority="95">
      <formula>$K66=""</formula>
    </cfRule>
  </conditionalFormatting>
  <conditionalFormatting sqref="O66:O71">
    <cfRule type="expression" dxfId="490" priority="96">
      <formula>$C64=TRUE</formula>
    </cfRule>
  </conditionalFormatting>
  <conditionalFormatting sqref="O72">
    <cfRule type="expression" dxfId="489" priority="94">
      <formula>$C70=TRUE</formula>
    </cfRule>
  </conditionalFormatting>
  <conditionalFormatting sqref="M75:O86">
    <cfRule type="expression" dxfId="488" priority="92">
      <formula>$K75=""</formula>
    </cfRule>
  </conditionalFormatting>
  <conditionalFormatting sqref="O75:O86">
    <cfRule type="expression" dxfId="487" priority="93">
      <formula>$C73=TRUE</formula>
    </cfRule>
  </conditionalFormatting>
  <conditionalFormatting sqref="O87">
    <cfRule type="expression" dxfId="486" priority="91">
      <formula>$C85=TRUE</formula>
    </cfRule>
  </conditionalFormatting>
  <conditionalFormatting sqref="M90:O93">
    <cfRule type="expression" dxfId="485" priority="89">
      <formula>$K90=""</formula>
    </cfRule>
  </conditionalFormatting>
  <conditionalFormatting sqref="O90:O93">
    <cfRule type="expression" dxfId="484" priority="90">
      <formula>$C88=TRUE</formula>
    </cfRule>
  </conditionalFormatting>
  <conditionalFormatting sqref="O94">
    <cfRule type="expression" dxfId="483" priority="88">
      <formula>$C92=TRUE</formula>
    </cfRule>
  </conditionalFormatting>
  <conditionalFormatting sqref="M97:O102">
    <cfRule type="expression" dxfId="482" priority="86">
      <formula>$K97=""</formula>
    </cfRule>
  </conditionalFormatting>
  <conditionalFormatting sqref="O97:O102">
    <cfRule type="expression" dxfId="481" priority="87">
      <formula>$C95=TRUE</formula>
    </cfRule>
  </conditionalFormatting>
  <conditionalFormatting sqref="O103">
    <cfRule type="expression" dxfId="480" priority="85">
      <formula>$C101=TRUE</formula>
    </cfRule>
  </conditionalFormatting>
  <conditionalFormatting sqref="M106:O110">
    <cfRule type="expression" dxfId="479" priority="83">
      <formula>$K106=""</formula>
    </cfRule>
  </conditionalFormatting>
  <conditionalFormatting sqref="O106:O110">
    <cfRule type="expression" dxfId="478" priority="84">
      <formula>$C104=TRUE</formula>
    </cfRule>
  </conditionalFormatting>
  <conditionalFormatting sqref="O111">
    <cfRule type="expression" dxfId="477" priority="82">
      <formula>$C109=TRUE</formula>
    </cfRule>
  </conditionalFormatting>
  <conditionalFormatting sqref="K132:K140">
    <cfRule type="containsText" dxfId="476" priority="80" operator="containsText" text="No Issues">
      <formula>NOT(ISERROR(SEARCH("No Issues",K132)))</formula>
    </cfRule>
  </conditionalFormatting>
  <conditionalFormatting sqref="K141:L141">
    <cfRule type="cellIs" dxfId="475" priority="81" operator="equal">
      <formula>"YES"</formula>
    </cfRule>
  </conditionalFormatting>
  <conditionalFormatting sqref="P9">
    <cfRule type="expression" dxfId="474" priority="79">
      <formula>$C9=TRUE</formula>
    </cfRule>
  </conditionalFormatting>
  <conditionalFormatting sqref="P10:Q10 P11:P27 Q10:Q27">
    <cfRule type="expression" dxfId="473" priority="78">
      <formula>$K10=""</formula>
    </cfRule>
  </conditionalFormatting>
  <conditionalFormatting sqref="Q10:Q27">
    <cfRule type="expression" dxfId="472" priority="77">
      <formula>$C10=TRUE</formula>
    </cfRule>
  </conditionalFormatting>
  <conditionalFormatting sqref="P49:P50 P56:P57 P64:P65 P73:P74 P88:P89 P95:P96 P104:P105">
    <cfRule type="expression" dxfId="471" priority="75">
      <formula>#REF!=$X$14</formula>
    </cfRule>
    <cfRule type="expression" dxfId="470" priority="76">
      <formula>#REF!=$X$14</formula>
    </cfRule>
  </conditionalFormatting>
  <conditionalFormatting sqref="P48">
    <cfRule type="expression" dxfId="469" priority="71">
      <formula>$C48=TRUE</formula>
    </cfRule>
  </conditionalFormatting>
  <conditionalFormatting sqref="P55">
    <cfRule type="expression" dxfId="468" priority="68">
      <formula>$C53=TRUE</formula>
    </cfRule>
  </conditionalFormatting>
  <conditionalFormatting sqref="P63">
    <cfRule type="expression" dxfId="467" priority="65">
      <formula>$C61=TRUE</formula>
    </cfRule>
  </conditionalFormatting>
  <conditionalFormatting sqref="P72">
    <cfRule type="expression" dxfId="466" priority="62">
      <formula>$C70=TRUE</formula>
    </cfRule>
  </conditionalFormatting>
  <conditionalFormatting sqref="P87">
    <cfRule type="expression" dxfId="465" priority="59">
      <formula>$C85=TRUE</formula>
    </cfRule>
  </conditionalFormatting>
  <conditionalFormatting sqref="P94">
    <cfRule type="expression" dxfId="464" priority="56">
      <formula>$C92=TRUE</formula>
    </cfRule>
  </conditionalFormatting>
  <conditionalFormatting sqref="P103">
    <cfRule type="expression" dxfId="463" priority="53">
      <formula>$C101=TRUE</formula>
    </cfRule>
  </conditionalFormatting>
  <conditionalFormatting sqref="P111">
    <cfRule type="expression" dxfId="462" priority="50">
      <formula>$C109=TRUE</formula>
    </cfRule>
  </conditionalFormatting>
  <conditionalFormatting sqref="Q29:Q30 Q49:Q50 Q56:Q57 Q64:Q65 Q73:Q74 Q88:Q89 Q95:Q96 Q104:Q105">
    <cfRule type="expression" dxfId="461" priority="48">
      <formula>#REF!=$X$14</formula>
    </cfRule>
    <cfRule type="expression" dxfId="460" priority="49">
      <formula>#REF!=$X$14</formula>
    </cfRule>
  </conditionalFormatting>
  <conditionalFormatting sqref="Q28">
    <cfRule type="expression" dxfId="459" priority="47">
      <formula>$C28=TRUE</formula>
    </cfRule>
  </conditionalFormatting>
  <conditionalFormatting sqref="Q48">
    <cfRule type="expression" dxfId="458" priority="44">
      <formula>$C48=TRUE</formula>
    </cfRule>
  </conditionalFormatting>
  <conditionalFormatting sqref="Q55">
    <cfRule type="expression" dxfId="457" priority="41">
      <formula>$C53=TRUE</formula>
    </cfRule>
  </conditionalFormatting>
  <conditionalFormatting sqref="Q63">
    <cfRule type="expression" dxfId="456" priority="38">
      <formula>$C61=TRUE</formula>
    </cfRule>
  </conditionalFormatting>
  <conditionalFormatting sqref="Q72">
    <cfRule type="expression" dxfId="455" priority="35">
      <formula>$C70=TRUE</formula>
    </cfRule>
  </conditionalFormatting>
  <conditionalFormatting sqref="Q87">
    <cfRule type="expression" dxfId="454" priority="32">
      <formula>$C85=TRUE</formula>
    </cfRule>
  </conditionalFormatting>
  <conditionalFormatting sqref="Q94">
    <cfRule type="expression" dxfId="453" priority="29">
      <formula>$C92=TRUE</formula>
    </cfRule>
  </conditionalFormatting>
  <conditionalFormatting sqref="Q103">
    <cfRule type="expression" dxfId="452" priority="26">
      <formula>$C101=TRUE</formula>
    </cfRule>
  </conditionalFormatting>
  <conditionalFormatting sqref="Q111">
    <cfRule type="expression" dxfId="451" priority="23">
      <formula>$C109=TRUE</formula>
    </cfRule>
  </conditionalFormatting>
  <conditionalFormatting sqref="M7:O7">
    <cfRule type="containsText" dxfId="450" priority="22" operator="containsText" text="Select">
      <formula>NOT(ISERROR(SEARCH("Select",M7)))</formula>
    </cfRule>
  </conditionalFormatting>
  <conditionalFormatting sqref="P28">
    <cfRule type="expression" dxfId="449" priority="21">
      <formula>$C28=TRUE</formula>
    </cfRule>
  </conditionalFormatting>
  <conditionalFormatting sqref="P29">
    <cfRule type="expression" dxfId="448" priority="19">
      <formula>#REF!=$X$14</formula>
    </cfRule>
    <cfRule type="expression" dxfId="447" priority="20">
      <formula>#REF!=$X$14</formula>
    </cfRule>
  </conditionalFormatting>
  <conditionalFormatting sqref="P30">
    <cfRule type="expression" dxfId="446" priority="17">
      <formula>#REF!=$X$14</formula>
    </cfRule>
    <cfRule type="expression" dxfId="445" priority="18">
      <formula>#REF!=$X$14</formula>
    </cfRule>
  </conditionalFormatting>
  <conditionalFormatting sqref="P31:Q47">
    <cfRule type="expression" dxfId="444" priority="16">
      <formula>$K31=""</formula>
    </cfRule>
  </conditionalFormatting>
  <conditionalFormatting sqref="Q31:Q47">
    <cfRule type="expression" dxfId="443" priority="15">
      <formula>$C31=TRUE</formula>
    </cfRule>
  </conditionalFormatting>
  <conditionalFormatting sqref="P51:Q54">
    <cfRule type="expression" dxfId="442" priority="14">
      <formula>$K51=""</formula>
    </cfRule>
  </conditionalFormatting>
  <conditionalFormatting sqref="Q51:Q54">
    <cfRule type="expression" dxfId="441" priority="13">
      <formula>$C51=TRUE</formula>
    </cfRule>
  </conditionalFormatting>
  <conditionalFormatting sqref="P58:Q62">
    <cfRule type="expression" dxfId="440" priority="12">
      <formula>$K58=""</formula>
    </cfRule>
  </conditionalFormatting>
  <conditionalFormatting sqref="Q58:Q62">
    <cfRule type="expression" dxfId="439" priority="11">
      <formula>$C58=TRUE</formula>
    </cfRule>
  </conditionalFormatting>
  <conditionalFormatting sqref="P66:Q71">
    <cfRule type="expression" dxfId="438" priority="10">
      <formula>$K66=""</formula>
    </cfRule>
  </conditionalFormatting>
  <conditionalFormatting sqref="Q66:Q71">
    <cfRule type="expression" dxfId="437" priority="9">
      <formula>$C66=TRUE</formula>
    </cfRule>
  </conditionalFormatting>
  <conditionalFormatting sqref="P75:Q86">
    <cfRule type="expression" dxfId="436" priority="8">
      <formula>$K75=""</formula>
    </cfRule>
  </conditionalFormatting>
  <conditionalFormatting sqref="Q75:Q86">
    <cfRule type="expression" dxfId="435" priority="7">
      <formula>$C75=TRUE</formula>
    </cfRule>
  </conditionalFormatting>
  <conditionalFormatting sqref="P90:Q93">
    <cfRule type="expression" dxfId="434" priority="6">
      <formula>$K90=""</formula>
    </cfRule>
  </conditionalFormatting>
  <conditionalFormatting sqref="Q90:Q93">
    <cfRule type="expression" dxfId="433" priority="5">
      <formula>$C90=TRUE</formula>
    </cfRule>
  </conditionalFormatting>
  <conditionalFormatting sqref="P97:Q102">
    <cfRule type="expression" dxfId="432" priority="4">
      <formula>$K97=""</formula>
    </cfRule>
  </conditionalFormatting>
  <conditionalFormatting sqref="Q97:Q102">
    <cfRule type="expression" dxfId="431" priority="3">
      <formula>$C97=TRUE</formula>
    </cfRule>
  </conditionalFormatting>
  <conditionalFormatting sqref="P106:Q110">
    <cfRule type="expression" dxfId="430" priority="2">
      <formula>$K106=""</formula>
    </cfRule>
  </conditionalFormatting>
  <conditionalFormatting sqref="Q106:Q110">
    <cfRule type="expression" dxfId="429" priority="1">
      <formula>$C106=TRUE</formula>
    </cfRule>
  </conditionalFormatting>
  <dataValidations xWindow="645" yWindow="395" count="23">
    <dataValidation type="list" allowBlank="1" showInputMessage="1" showErrorMessage="1" sqref="G29 G73" xr:uid="{00000000-0002-0000-0200-000000000000}">
      <formula1>#REF!</formula1>
    </dataValidation>
    <dataValidation type="list" allowBlank="1" showInputMessage="1" showErrorMessage="1" promptTitle="Selection Required" prompt="Please indicate the project's desired pathway." sqref="G85:G86" xr:uid="{00000000-0002-0000-0200-000001000000}">
      <formula1>$V$85:$V$86</formula1>
    </dataValidation>
    <dataValidation type="decimal" operator="lessThanOrEqual" allowBlank="1" showInputMessage="1" showErrorMessage="1" sqref="K26:K27" xr:uid="{00000000-0002-0000-0200-000002000000}">
      <formula1>1</formula1>
    </dataValidation>
    <dataValidation type="list" allowBlank="1" showInputMessage="1" showErrorMessage="1" sqref="G56" xr:uid="{00000000-0002-0000-0200-000003000000}">
      <formula1>$V$53:$V$53</formula1>
    </dataValidation>
    <dataValidation type="list" allowBlank="1" showInputMessage="1" showErrorMessage="1" promptTitle="Selection Required" prompt="Please indicate the project's desired pathway." sqref="G53:G54" xr:uid="{00000000-0002-0000-0200-000004000000}">
      <formula1>$V$53:$V$54</formula1>
    </dataValidation>
    <dataValidation type="list" allowBlank="1" showInputMessage="1" showErrorMessage="1" promptTitle="Selection Required" prompt="Please indicate the project's desired pathway." sqref="G26:G27" xr:uid="{00000000-0002-0000-0200-000005000000}">
      <formula1>$V$11:$V$12</formula1>
    </dataValidation>
    <dataValidation type="decimal" operator="lessThanOrEqual" allowBlank="1" showInputMessage="1" showErrorMessage="1" sqref="K106:K110" xr:uid="{00000000-0002-0000-0200-000006000000}">
      <formula1>10</formula1>
    </dataValidation>
    <dataValidation type="list" allowBlank="1" showInputMessage="1" showErrorMessage="1" promptTitle="Selection Required" prompt="Please indicate the project's desired pathway." sqref="G75:G80" xr:uid="{00000000-0002-0000-0200-000007000000}">
      <formula1>$V$75:$V$76</formula1>
    </dataValidation>
    <dataValidation type="list" allowBlank="1" showInputMessage="1" showErrorMessage="1" sqref="K51 K99 K11 K91 K23 K21" xr:uid="{00000000-0002-0000-0200-000008000000}">
      <formula1>$Y$10:$Y$12</formula1>
    </dataValidation>
    <dataValidation type="decimal" allowBlank="1" showInputMessage="1" showErrorMessage="1" sqref="K22 K10 K24:K25 K12:K20" xr:uid="{00000000-0002-0000-0200-000009000000}">
      <formula1>0</formula1>
      <formula2>J10</formula2>
    </dataValidation>
    <dataValidation type="list" allowBlank="1" showInputMessage="1" showErrorMessage="1" sqref="G64" xr:uid="{00000000-0002-0000-0200-00000A000000}">
      <formula1>$V$58:$V$58</formula1>
    </dataValidation>
    <dataValidation type="list" allowBlank="1" showInputMessage="1" showErrorMessage="1" promptTitle="Selection Required" prompt="Please indicate the project's desired pathway." sqref="G66:G71" xr:uid="{00000000-0002-0000-0200-00000B000000}">
      <formula1>$V$66:$V$67</formula1>
    </dataValidation>
    <dataValidation type="decimal" operator="lessThanOrEqual" allowBlank="1" showInputMessage="1" showErrorMessage="1" sqref="K100:K102 K111 K52:K54 K42:K47 K66:K71 K97:K98 K90 K31:K36 K38:K40 K75:K86 K58:K62 K92:K93" xr:uid="{00000000-0002-0000-0200-00000C000000}">
      <formula1>J31</formula1>
    </dataValidation>
    <dataValidation type="list" operator="lessThanOrEqual" allowBlank="1" showInputMessage="1" showErrorMessage="1" sqref="K37 K41" xr:uid="{00000000-0002-0000-0200-00000D000000}">
      <formula1>$Y$10:$Y$12</formula1>
    </dataValidation>
    <dataValidation allowBlank="1" showInputMessage="1" showErrorMessage="1" promptTitle="Project Name" prompt="Please enter the project name" sqref="G4" xr:uid="{00000000-0002-0000-0200-00000E000000}"/>
    <dataValidation allowBlank="1" showInputMessage="1" showErrorMessage="1" promptTitle="Project Number" prompt="Please enter the Green Star number" sqref="G3" xr:uid="{00000000-0002-0000-0200-00000F000000}"/>
    <dataValidation type="list" allowBlank="1" showInputMessage="1" showErrorMessage="1" promptTitle="Rating Tool Version" prompt="Please select the project's rating tool version" sqref="H6" xr:uid="{00000000-0002-0000-0200-000010000000}">
      <formula1>$AE$3:$AE$4</formula1>
    </dataValidation>
    <dataValidation type="list" allowBlank="1" showInputMessage="1" showErrorMessage="1" sqref="K141:L141" xr:uid="{00000000-0002-0000-0200-000011000000}">
      <formula1>"YES/NO, YES, NO"</formula1>
    </dataValidation>
    <dataValidation type="decimal" operator="greaterThanOrEqual" allowBlank="1" showInputMessage="1" showErrorMessage="1" sqref="K125 K122:K123" xr:uid="{00000000-0002-0000-0200-000012000000}">
      <formula1>0</formula1>
    </dataValidation>
    <dataValidation type="list" allowBlank="1" showInputMessage="1" showErrorMessage="1" sqref="J132" xr:uid="{00000000-0002-0000-0200-000013000000}">
      <formula1>"Please select, Yes, No"</formula1>
    </dataValidation>
    <dataValidation type="list" allowBlank="1" showInputMessage="1" showErrorMessage="1" sqref="M7:N7" xr:uid="{00000000-0002-0000-0200-000014000000}">
      <formula1>$AB$10:$AB$11</formula1>
    </dataValidation>
    <dataValidation type="list" allowBlank="1" showInputMessage="1" showErrorMessage="1" sqref="O7" xr:uid="{00000000-0002-0000-0200-000015000000}">
      <formula1>$AC$10:$AC$11</formula1>
    </dataValidation>
    <dataValidation type="list" allowBlank="1" showInputMessage="1" showErrorMessage="1" promptTitle="Green Star Rating" prompt="Please select the project's targeted rating" sqref="G5:H5" xr:uid="{00000000-0002-0000-0200-000016000000}">
      <formula1>$AD$9:$AD$11</formula1>
    </dataValidation>
  </dataValidations>
  <pageMargins left="0.70866141732283472" right="0.70866141732283472" top="0.74803149606299213" bottom="0.74803149606299213" header="0.31496062992125984" footer="0.31496062992125984"/>
  <pageSetup paperSize="9" scale="51"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4</xdr:col>
                    <xdr:colOff>38100</xdr:colOff>
                    <xdr:row>31</xdr:row>
                    <xdr:rowOff>184150</xdr:rowOff>
                  </from>
                  <to>
                    <xdr:col>5</xdr:col>
                    <xdr:colOff>565150</xdr:colOff>
                    <xdr:row>31</xdr:row>
                    <xdr:rowOff>381000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4</xdr:col>
                    <xdr:colOff>38100</xdr:colOff>
                    <xdr:row>30</xdr:row>
                    <xdr:rowOff>184150</xdr:rowOff>
                  </from>
                  <to>
                    <xdr:col>5</xdr:col>
                    <xdr:colOff>565150</xdr:colOff>
                    <xdr:row>30</xdr:row>
                    <xdr:rowOff>393700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4</xdr:col>
                    <xdr:colOff>38100</xdr:colOff>
                    <xdr:row>32</xdr:row>
                    <xdr:rowOff>184150</xdr:rowOff>
                  </from>
                  <to>
                    <xdr:col>5</xdr:col>
                    <xdr:colOff>565150</xdr:colOff>
                    <xdr:row>32</xdr:row>
                    <xdr:rowOff>381000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4</xdr:col>
                    <xdr:colOff>38100</xdr:colOff>
                    <xdr:row>33</xdr:row>
                    <xdr:rowOff>184150</xdr:rowOff>
                  </from>
                  <to>
                    <xdr:col>5</xdr:col>
                    <xdr:colOff>565150</xdr:colOff>
                    <xdr:row>33</xdr:row>
                    <xdr:rowOff>381000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4</xdr:col>
                    <xdr:colOff>38100</xdr:colOff>
                    <xdr:row>34</xdr:row>
                    <xdr:rowOff>184150</xdr:rowOff>
                  </from>
                  <to>
                    <xdr:col>5</xdr:col>
                    <xdr:colOff>565150</xdr:colOff>
                    <xdr:row>34</xdr:row>
                    <xdr:rowOff>381000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4</xdr:col>
                    <xdr:colOff>38100</xdr:colOff>
                    <xdr:row>35</xdr:row>
                    <xdr:rowOff>184150</xdr:rowOff>
                  </from>
                  <to>
                    <xdr:col>5</xdr:col>
                    <xdr:colOff>565150</xdr:colOff>
                    <xdr:row>35</xdr:row>
                    <xdr:rowOff>381000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4</xdr:col>
                    <xdr:colOff>38100</xdr:colOff>
                    <xdr:row>37</xdr:row>
                    <xdr:rowOff>184150</xdr:rowOff>
                  </from>
                  <to>
                    <xdr:col>5</xdr:col>
                    <xdr:colOff>565150</xdr:colOff>
                    <xdr:row>37</xdr:row>
                    <xdr:rowOff>381000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4</xdr:col>
                    <xdr:colOff>38100</xdr:colOff>
                    <xdr:row>38</xdr:row>
                    <xdr:rowOff>184150</xdr:rowOff>
                  </from>
                  <to>
                    <xdr:col>5</xdr:col>
                    <xdr:colOff>565150</xdr:colOff>
                    <xdr:row>38</xdr:row>
                    <xdr:rowOff>381000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4</xdr:col>
                    <xdr:colOff>38100</xdr:colOff>
                    <xdr:row>39</xdr:row>
                    <xdr:rowOff>184150</xdr:rowOff>
                  </from>
                  <to>
                    <xdr:col>5</xdr:col>
                    <xdr:colOff>565150</xdr:colOff>
                    <xdr:row>39</xdr:row>
                    <xdr:rowOff>381000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4</xdr:col>
                    <xdr:colOff>38100</xdr:colOff>
                    <xdr:row>41</xdr:row>
                    <xdr:rowOff>184150</xdr:rowOff>
                  </from>
                  <to>
                    <xdr:col>5</xdr:col>
                    <xdr:colOff>565150</xdr:colOff>
                    <xdr:row>41</xdr:row>
                    <xdr:rowOff>381000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4</xdr:col>
                    <xdr:colOff>38100</xdr:colOff>
                    <xdr:row>42</xdr:row>
                    <xdr:rowOff>184150</xdr:rowOff>
                  </from>
                  <to>
                    <xdr:col>5</xdr:col>
                    <xdr:colOff>565150</xdr:colOff>
                    <xdr:row>42</xdr:row>
                    <xdr:rowOff>381000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4</xdr:col>
                    <xdr:colOff>38100</xdr:colOff>
                    <xdr:row>43</xdr:row>
                    <xdr:rowOff>184150</xdr:rowOff>
                  </from>
                  <to>
                    <xdr:col>5</xdr:col>
                    <xdr:colOff>565150</xdr:colOff>
                    <xdr:row>43</xdr:row>
                    <xdr:rowOff>381000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4</xdr:col>
                    <xdr:colOff>38100</xdr:colOff>
                    <xdr:row>44</xdr:row>
                    <xdr:rowOff>184150</xdr:rowOff>
                  </from>
                  <to>
                    <xdr:col>5</xdr:col>
                    <xdr:colOff>565150</xdr:colOff>
                    <xdr:row>44</xdr:row>
                    <xdr:rowOff>381000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4</xdr:col>
                    <xdr:colOff>38100</xdr:colOff>
                    <xdr:row>45</xdr:row>
                    <xdr:rowOff>184150</xdr:rowOff>
                  </from>
                  <to>
                    <xdr:col>5</xdr:col>
                    <xdr:colOff>565150</xdr:colOff>
                    <xdr:row>45</xdr:row>
                    <xdr:rowOff>381000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4</xdr:col>
                    <xdr:colOff>38100</xdr:colOff>
                    <xdr:row>46</xdr:row>
                    <xdr:rowOff>184150</xdr:rowOff>
                  </from>
                  <to>
                    <xdr:col>5</xdr:col>
                    <xdr:colOff>565150</xdr:colOff>
                    <xdr:row>46</xdr:row>
                    <xdr:rowOff>381000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4</xdr:col>
                    <xdr:colOff>38100</xdr:colOff>
                    <xdr:row>58</xdr:row>
                    <xdr:rowOff>184150</xdr:rowOff>
                  </from>
                  <to>
                    <xdr:col>5</xdr:col>
                    <xdr:colOff>565150</xdr:colOff>
                    <xdr:row>58</xdr:row>
                    <xdr:rowOff>381000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4</xdr:col>
                    <xdr:colOff>38100</xdr:colOff>
                    <xdr:row>59</xdr:row>
                    <xdr:rowOff>184150</xdr:rowOff>
                  </from>
                  <to>
                    <xdr:col>5</xdr:col>
                    <xdr:colOff>565150</xdr:colOff>
                    <xdr:row>59</xdr:row>
                    <xdr:rowOff>381000</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4</xdr:col>
                    <xdr:colOff>38100</xdr:colOff>
                    <xdr:row>69</xdr:row>
                    <xdr:rowOff>184150</xdr:rowOff>
                  </from>
                  <to>
                    <xdr:col>5</xdr:col>
                    <xdr:colOff>565150</xdr:colOff>
                    <xdr:row>69</xdr:row>
                    <xdr:rowOff>381000</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4</xdr:col>
                    <xdr:colOff>38100</xdr:colOff>
                    <xdr:row>70</xdr:row>
                    <xdr:rowOff>184150</xdr:rowOff>
                  </from>
                  <to>
                    <xdr:col>5</xdr:col>
                    <xdr:colOff>565150</xdr:colOff>
                    <xdr:row>70</xdr:row>
                    <xdr:rowOff>381000</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4</xdr:col>
                    <xdr:colOff>38100</xdr:colOff>
                    <xdr:row>92</xdr:row>
                    <xdr:rowOff>184150</xdr:rowOff>
                  </from>
                  <to>
                    <xdr:col>5</xdr:col>
                    <xdr:colOff>565150</xdr:colOff>
                    <xdr:row>92</xdr:row>
                    <xdr:rowOff>381000</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4</xdr:col>
                    <xdr:colOff>38100</xdr:colOff>
                    <xdr:row>80</xdr:row>
                    <xdr:rowOff>184150</xdr:rowOff>
                  </from>
                  <to>
                    <xdr:col>5</xdr:col>
                    <xdr:colOff>565150</xdr:colOff>
                    <xdr:row>80</xdr:row>
                    <xdr:rowOff>381000</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4</xdr:col>
                    <xdr:colOff>38100</xdr:colOff>
                    <xdr:row>81</xdr:row>
                    <xdr:rowOff>184150</xdr:rowOff>
                  </from>
                  <to>
                    <xdr:col>5</xdr:col>
                    <xdr:colOff>565150</xdr:colOff>
                    <xdr:row>81</xdr:row>
                    <xdr:rowOff>381000</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4</xdr:col>
                    <xdr:colOff>38100</xdr:colOff>
                    <xdr:row>82</xdr:row>
                    <xdr:rowOff>184150</xdr:rowOff>
                  </from>
                  <to>
                    <xdr:col>5</xdr:col>
                    <xdr:colOff>565150</xdr:colOff>
                    <xdr:row>82</xdr:row>
                    <xdr:rowOff>381000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5269A-D14E-4C57-8D54-CDE0FF04D00C}">
  <sheetPr>
    <pageSetUpPr fitToPage="1"/>
  </sheetPr>
  <dimension ref="A1:AD141"/>
  <sheetViews>
    <sheetView showGridLines="0" topLeftCell="D1" zoomScale="60" zoomScaleNormal="60" workbookViewId="0">
      <selection activeCell="S38" sqref="S1:Y1048576"/>
    </sheetView>
  </sheetViews>
  <sheetFormatPr defaultColWidth="10.42578125" defaultRowHeight="14.45"/>
  <cols>
    <col min="1" max="2" width="10.42578125" style="604" hidden="1" customWidth="1"/>
    <col min="3" max="3" width="7.5703125" style="604" hidden="1" customWidth="1"/>
    <col min="4" max="4" width="1.85546875" style="604" customWidth="1"/>
    <col min="5" max="5" width="4.5703125" style="604" customWidth="1"/>
    <col min="6" max="6" width="27.42578125" style="610" customWidth="1"/>
    <col min="7" max="7" width="54.5703125" style="610" customWidth="1"/>
    <col min="8" max="8" width="11" style="665" customWidth="1"/>
    <col min="9" max="9" width="53.140625" style="610" customWidth="1"/>
    <col min="10" max="10" width="16" style="665" customWidth="1"/>
    <col min="11" max="11" width="42.28515625" style="989" customWidth="1"/>
    <col min="12" max="12" width="42.28515625" style="990" customWidth="1"/>
    <col min="13" max="13" width="42.28515625" style="991" customWidth="1"/>
    <col min="14" max="15" width="42.28515625" style="992" customWidth="1"/>
    <col min="16" max="16" width="16.140625" style="192" customWidth="1"/>
    <col min="17" max="17" width="16.28515625" style="192" customWidth="1"/>
    <col min="18" max="18" width="10.42578125" style="192" customWidth="1"/>
    <col min="19" max="21" width="10.42578125" style="192" hidden="1" customWidth="1"/>
    <col min="22" max="22" width="35.5703125" style="192" hidden="1" customWidth="1"/>
    <col min="23" max="23" width="10.42578125" style="192" hidden="1" customWidth="1"/>
    <col min="24" max="25" width="18" style="192" hidden="1" customWidth="1"/>
    <col min="26" max="27" width="10.42578125" style="192" customWidth="1"/>
    <col min="28" max="28" width="24.5703125" style="192" customWidth="1"/>
    <col min="29" max="29" width="25.85546875" style="192" customWidth="1"/>
    <col min="30" max="30" width="27.140625" style="192" customWidth="1"/>
    <col min="31" max="38" width="10.42578125" style="192" customWidth="1"/>
    <col min="39" max="16384" width="10.42578125" style="192"/>
  </cols>
  <sheetData>
    <row r="1" spans="1:30">
      <c r="P1" s="717" t="s">
        <v>14</v>
      </c>
      <c r="Q1" s="717" t="s">
        <v>14</v>
      </c>
    </row>
    <row r="2" spans="1:30" ht="29.45">
      <c r="F2" s="1201" t="s">
        <v>0</v>
      </c>
      <c r="G2" s="1202"/>
      <c r="H2" s="1202"/>
      <c r="I2" s="1202"/>
    </row>
    <row r="3" spans="1:30" ht="18">
      <c r="F3" s="500" t="s">
        <v>227</v>
      </c>
      <c r="G3" s="1199" t="s">
        <v>228</v>
      </c>
      <c r="H3" s="1200"/>
      <c r="I3" s="6"/>
    </row>
    <row r="4" spans="1:30" ht="18">
      <c r="F4" s="501" t="s">
        <v>229</v>
      </c>
      <c r="G4" s="1187" t="s">
        <v>230</v>
      </c>
      <c r="H4" s="1188"/>
      <c r="I4" s="6"/>
    </row>
    <row r="5" spans="1:30" ht="37.5" customHeight="1">
      <c r="A5" s="606" t="s">
        <v>231</v>
      </c>
      <c r="B5" s="606" t="s">
        <v>232</v>
      </c>
      <c r="C5" s="607" t="s">
        <v>233</v>
      </c>
      <c r="F5" s="501" t="s">
        <v>234</v>
      </c>
      <c r="G5" s="1177" t="s">
        <v>235</v>
      </c>
      <c r="H5" s="1178"/>
      <c r="I5" s="9"/>
      <c r="J5" s="608" t="s">
        <v>236</v>
      </c>
      <c r="K5" s="971" t="s">
        <v>237</v>
      </c>
      <c r="L5" s="993"/>
      <c r="M5" s="993"/>
      <c r="N5" s="993"/>
      <c r="O5" s="993"/>
    </row>
    <row r="6" spans="1:30" ht="45" customHeight="1">
      <c r="F6" s="502" t="s">
        <v>238</v>
      </c>
      <c r="G6" s="799" t="s">
        <v>458</v>
      </c>
      <c r="H6" s="599"/>
      <c r="I6" s="9"/>
      <c r="J6" s="609">
        <f>J113</f>
        <v>100</v>
      </c>
      <c r="K6" s="994">
        <f>K116</f>
        <v>0</v>
      </c>
      <c r="L6" s="993"/>
      <c r="M6" s="993"/>
      <c r="N6" s="993"/>
      <c r="O6" s="993"/>
    </row>
    <row r="7" spans="1:30" ht="37.5" customHeight="1">
      <c r="G7" s="611"/>
      <c r="H7" s="605"/>
      <c r="I7" s="611"/>
      <c r="J7" s="605"/>
      <c r="K7" s="995"/>
      <c r="L7" s="993"/>
      <c r="M7" s="1176" t="s">
        <v>240</v>
      </c>
      <c r="N7" s="1176"/>
      <c r="O7" s="972" t="s">
        <v>241</v>
      </c>
    </row>
    <row r="8" spans="1:30" ht="45" customHeight="1">
      <c r="E8" s="613" t="s">
        <v>242</v>
      </c>
      <c r="F8" s="614" t="s">
        <v>243</v>
      </c>
      <c r="G8" s="614" t="s">
        <v>244</v>
      </c>
      <c r="H8" s="608" t="s">
        <v>245</v>
      </c>
      <c r="I8" s="614" t="s">
        <v>246</v>
      </c>
      <c r="J8" s="608" t="s">
        <v>247</v>
      </c>
      <c r="K8" s="971" t="s">
        <v>248</v>
      </c>
      <c r="L8" s="976"/>
      <c r="M8" s="971" t="s">
        <v>249</v>
      </c>
      <c r="N8" s="971" t="s">
        <v>250</v>
      </c>
      <c r="O8" s="971" t="s">
        <v>251</v>
      </c>
      <c r="P8" s="7" t="s">
        <v>252</v>
      </c>
      <c r="Q8" s="7" t="s">
        <v>253</v>
      </c>
      <c r="AB8" s="164"/>
      <c r="AC8" s="164"/>
      <c r="AD8" s="164" t="s">
        <v>235</v>
      </c>
    </row>
    <row r="9" spans="1:30" ht="45" customHeight="1">
      <c r="E9" s="615"/>
      <c r="F9" s="616" t="s">
        <v>254</v>
      </c>
      <c r="G9" s="615"/>
      <c r="H9" s="617"/>
      <c r="I9" s="615"/>
      <c r="J9" s="617">
        <f>15-SUM(B10:B26)</f>
        <v>15</v>
      </c>
      <c r="K9" s="973"/>
      <c r="L9" s="976"/>
      <c r="M9" s="973"/>
      <c r="N9" s="973"/>
      <c r="O9" s="973"/>
      <c r="P9" s="21"/>
      <c r="Q9" s="21"/>
      <c r="X9" s="618"/>
      <c r="Y9" s="618"/>
      <c r="Z9" s="619"/>
      <c r="AB9" s="164" t="s">
        <v>255</v>
      </c>
      <c r="AC9" s="164" t="s">
        <v>241</v>
      </c>
      <c r="AD9" s="164" t="s">
        <v>256</v>
      </c>
    </row>
    <row r="10" spans="1:30" ht="45" customHeight="1">
      <c r="E10" s="620"/>
      <c r="F10" s="621" t="s">
        <v>257</v>
      </c>
      <c r="G10" s="622" t="s">
        <v>258</v>
      </c>
      <c r="H10" s="623">
        <v>1</v>
      </c>
      <c r="I10" s="622" t="s">
        <v>257</v>
      </c>
      <c r="J10" s="624">
        <v>1</v>
      </c>
      <c r="K10" s="996"/>
      <c r="L10" s="997"/>
      <c r="M10" s="974"/>
      <c r="N10" s="974"/>
      <c r="O10" s="998"/>
      <c r="P10" s="807" t="str">
        <f>IF(M10=0,"no","yes")</f>
        <v>no</v>
      </c>
      <c r="Q10" s="807" t="str">
        <f>IF(N10=0,"no","yes")</f>
        <v>no</v>
      </c>
      <c r="X10" s="618"/>
      <c r="Y10" s="618"/>
      <c r="Z10" s="619"/>
      <c r="AB10" s="164" t="s">
        <v>240</v>
      </c>
      <c r="AC10" s="164" t="s">
        <v>259</v>
      </c>
      <c r="AD10" s="164" t="s">
        <v>260</v>
      </c>
    </row>
    <row r="11" spans="1:30" ht="45" customHeight="1">
      <c r="E11" s="620"/>
      <c r="F11" s="1189" t="s">
        <v>261</v>
      </c>
      <c r="G11" s="1183" t="s">
        <v>262</v>
      </c>
      <c r="H11" s="625">
        <v>2.1</v>
      </c>
      <c r="I11" s="629" t="s">
        <v>263</v>
      </c>
      <c r="J11" s="626">
        <v>2</v>
      </c>
      <c r="K11" s="999"/>
      <c r="L11" s="997" t="s">
        <v>459</v>
      </c>
      <c r="M11" s="974"/>
      <c r="N11" s="974"/>
      <c r="O11" s="998"/>
      <c r="P11" s="807" t="str">
        <f t="shared" ref="P11:Q26" si="0">IF(M11=0,"no","yes")</f>
        <v>no</v>
      </c>
      <c r="Q11" s="807" t="str">
        <f t="shared" si="0"/>
        <v>no</v>
      </c>
      <c r="V11" s="627" t="s">
        <v>265</v>
      </c>
      <c r="W11" s="627"/>
      <c r="X11" s="618"/>
      <c r="Y11" s="618" t="s">
        <v>266</v>
      </c>
      <c r="Z11" s="619"/>
      <c r="AB11" s="164" t="s">
        <v>267</v>
      </c>
      <c r="AC11" s="164" t="s">
        <v>268</v>
      </c>
      <c r="AD11" s="164" t="s">
        <v>269</v>
      </c>
    </row>
    <row r="12" spans="1:30" ht="45" customHeight="1">
      <c r="E12" s="620"/>
      <c r="F12" s="1182"/>
      <c r="G12" s="1190"/>
      <c r="H12" s="628">
        <v>2.2000000000000002</v>
      </c>
      <c r="I12" s="629" t="s">
        <v>270</v>
      </c>
      <c r="J12" s="630">
        <v>1</v>
      </c>
      <c r="K12" s="996"/>
      <c r="L12" s="997" t="str">
        <f t="shared" ref="L12:L13" si="1">IF(AND(K12&gt;0,$K$11&lt;&gt;$Y$11),"!","")</f>
        <v/>
      </c>
      <c r="M12" s="974"/>
      <c r="N12" s="974"/>
      <c r="O12" s="998"/>
      <c r="P12" s="807" t="str">
        <f t="shared" si="0"/>
        <v>no</v>
      </c>
      <c r="Q12" s="807" t="str">
        <f t="shared" si="0"/>
        <v>no</v>
      </c>
      <c r="V12" s="627" t="s">
        <v>271</v>
      </c>
      <c r="W12" s="627" t="s">
        <v>272</v>
      </c>
      <c r="X12" s="618" t="s">
        <v>273</v>
      </c>
      <c r="Y12" s="618" t="s">
        <v>274</v>
      </c>
      <c r="Z12" s="619"/>
      <c r="AB12" s="164"/>
      <c r="AC12" s="164"/>
      <c r="AD12" s="164"/>
    </row>
    <row r="13" spans="1:30" ht="45" customHeight="1">
      <c r="E13" s="620"/>
      <c r="F13" s="1182"/>
      <c r="G13" s="1190"/>
      <c r="H13" s="628">
        <v>2.2999999999999998</v>
      </c>
      <c r="I13" s="629" t="s">
        <v>460</v>
      </c>
      <c r="J13" s="630">
        <v>1</v>
      </c>
      <c r="K13" s="996"/>
      <c r="L13" s="997" t="str">
        <f t="shared" si="1"/>
        <v/>
      </c>
      <c r="M13" s="974"/>
      <c r="N13" s="974"/>
      <c r="O13" s="998"/>
      <c r="P13" s="807" t="str">
        <f t="shared" si="0"/>
        <v>no</v>
      </c>
      <c r="Q13" s="807" t="str">
        <f t="shared" si="0"/>
        <v>no</v>
      </c>
      <c r="W13" s="627" t="s">
        <v>276</v>
      </c>
      <c r="X13" s="618" t="s">
        <v>277</v>
      </c>
      <c r="Y13" s="619"/>
      <c r="Z13" s="619"/>
    </row>
    <row r="14" spans="1:30" ht="45" customHeight="1">
      <c r="E14" s="620"/>
      <c r="F14" s="1206" t="s">
        <v>283</v>
      </c>
      <c r="G14" s="1183" t="s">
        <v>284</v>
      </c>
      <c r="H14" s="620">
        <v>3.1</v>
      </c>
      <c r="I14" s="629" t="s">
        <v>461</v>
      </c>
      <c r="J14" s="624" t="s">
        <v>264</v>
      </c>
      <c r="K14" s="996"/>
      <c r="L14" s="997" t="s">
        <v>459</v>
      </c>
      <c r="M14" s="974"/>
      <c r="N14" s="974"/>
      <c r="O14" s="998"/>
      <c r="P14" s="807" t="str">
        <f t="shared" si="0"/>
        <v>no</v>
      </c>
      <c r="Q14" s="807" t="str">
        <f t="shared" si="0"/>
        <v>no</v>
      </c>
      <c r="X14" s="619"/>
      <c r="Y14" s="619"/>
      <c r="Z14" s="619"/>
    </row>
    <row r="15" spans="1:30" ht="45" customHeight="1">
      <c r="E15" s="620"/>
      <c r="F15" s="1207"/>
      <c r="G15" s="1190"/>
      <c r="H15" s="620">
        <v>3.2</v>
      </c>
      <c r="I15" s="622" t="s">
        <v>462</v>
      </c>
      <c r="J15" s="624">
        <v>2</v>
      </c>
      <c r="K15" s="996"/>
      <c r="L15" s="997"/>
      <c r="M15" s="974"/>
      <c r="N15" s="974"/>
      <c r="O15" s="998"/>
      <c r="P15" s="807"/>
      <c r="Q15" s="807"/>
      <c r="X15" s="619"/>
      <c r="Y15" s="619"/>
      <c r="Z15" s="619"/>
    </row>
    <row r="16" spans="1:30" ht="45" customHeight="1">
      <c r="E16" s="620"/>
      <c r="F16" s="1189"/>
      <c r="G16" s="1184"/>
      <c r="H16" s="620">
        <v>3.3</v>
      </c>
      <c r="I16" s="622" t="s">
        <v>286</v>
      </c>
      <c r="J16" s="624">
        <v>1</v>
      </c>
      <c r="K16" s="996"/>
      <c r="L16" s="997"/>
      <c r="M16" s="974"/>
      <c r="N16" s="974"/>
      <c r="O16" s="998"/>
      <c r="P16" s="807" t="str">
        <f t="shared" si="0"/>
        <v>no</v>
      </c>
      <c r="Q16" s="807" t="str">
        <f t="shared" si="0"/>
        <v>no</v>
      </c>
      <c r="X16" s="619"/>
      <c r="Y16" s="619"/>
      <c r="Z16" s="619"/>
    </row>
    <row r="17" spans="1:26" ht="87" customHeight="1">
      <c r="E17" s="620"/>
      <c r="F17" s="621" t="s">
        <v>38</v>
      </c>
      <c r="G17" s="631" t="s">
        <v>287</v>
      </c>
      <c r="H17" s="623">
        <v>4.0999999999999996</v>
      </c>
      <c r="I17" s="622" t="s">
        <v>38</v>
      </c>
      <c r="J17" s="624">
        <v>1</v>
      </c>
      <c r="K17" s="996"/>
      <c r="L17" s="997"/>
      <c r="M17" s="974"/>
      <c r="N17" s="974"/>
      <c r="O17" s="998"/>
      <c r="P17" s="807" t="str">
        <f t="shared" si="0"/>
        <v>no</v>
      </c>
      <c r="Q17" s="807" t="str">
        <f t="shared" si="0"/>
        <v>no</v>
      </c>
      <c r="X17" s="619"/>
      <c r="Y17" s="619"/>
      <c r="Z17" s="619"/>
    </row>
    <row r="18" spans="1:26" ht="45" customHeight="1">
      <c r="E18" s="620"/>
      <c r="F18" s="1182" t="s">
        <v>288</v>
      </c>
      <c r="G18" s="1195" t="s">
        <v>289</v>
      </c>
      <c r="H18" s="620">
        <v>5.0999999999999996</v>
      </c>
      <c r="I18" s="622" t="s">
        <v>290</v>
      </c>
      <c r="J18" s="624">
        <v>1</v>
      </c>
      <c r="K18" s="996"/>
      <c r="L18" s="997"/>
      <c r="M18" s="974"/>
      <c r="N18" s="974"/>
      <c r="O18" s="998"/>
      <c r="P18" s="807" t="str">
        <f t="shared" si="0"/>
        <v>no</v>
      </c>
      <c r="Q18" s="807" t="str">
        <f t="shared" si="0"/>
        <v>no</v>
      </c>
      <c r="X18" s="619"/>
      <c r="Y18" s="619"/>
      <c r="Z18" s="619"/>
    </row>
    <row r="19" spans="1:26" ht="45" customHeight="1">
      <c r="E19" s="620"/>
      <c r="F19" s="1182"/>
      <c r="G19" s="1195"/>
      <c r="H19" s="620">
        <v>5.2</v>
      </c>
      <c r="I19" s="622" t="s">
        <v>291</v>
      </c>
      <c r="J19" s="624">
        <v>1</v>
      </c>
      <c r="K19" s="996"/>
      <c r="L19" s="997"/>
      <c r="M19" s="974"/>
      <c r="N19" s="974"/>
      <c r="O19" s="998"/>
      <c r="P19" s="807" t="str">
        <f t="shared" si="0"/>
        <v>no</v>
      </c>
      <c r="Q19" s="807" t="str">
        <f t="shared" si="0"/>
        <v>no</v>
      </c>
      <c r="X19" s="619"/>
      <c r="Y19" s="619"/>
      <c r="Z19" s="619"/>
    </row>
    <row r="20" spans="1:26" ht="45" customHeight="1">
      <c r="E20" s="620"/>
      <c r="F20" s="1182" t="s">
        <v>292</v>
      </c>
      <c r="G20" s="1195" t="s">
        <v>293</v>
      </c>
      <c r="H20" s="620">
        <v>6.1</v>
      </c>
      <c r="I20" s="622" t="s">
        <v>294</v>
      </c>
      <c r="J20" s="632" t="s">
        <v>264</v>
      </c>
      <c r="K20" s="999"/>
      <c r="L20" s="997"/>
      <c r="M20" s="974"/>
      <c r="N20" s="974"/>
      <c r="O20" s="998"/>
      <c r="P20" s="807" t="str">
        <f t="shared" si="0"/>
        <v>no</v>
      </c>
      <c r="Q20" s="807" t="str">
        <f t="shared" si="0"/>
        <v>no</v>
      </c>
      <c r="X20" s="619"/>
      <c r="Y20" s="619"/>
      <c r="Z20" s="619"/>
    </row>
    <row r="21" spans="1:26" ht="45" customHeight="1">
      <c r="E21" s="620"/>
      <c r="F21" s="1182"/>
      <c r="G21" s="1195"/>
      <c r="H21" s="620">
        <v>6.2</v>
      </c>
      <c r="I21" s="622" t="s">
        <v>295</v>
      </c>
      <c r="J21" s="624">
        <v>1</v>
      </c>
      <c r="K21" s="996"/>
      <c r="L21" s="997" t="str">
        <f>IF(AND(K21&gt;0,$K$20&lt;&gt;$Y$11),"!","")</f>
        <v/>
      </c>
      <c r="M21" s="974"/>
      <c r="N21" s="974"/>
      <c r="O21" s="998"/>
      <c r="P21" s="807" t="str">
        <f t="shared" si="0"/>
        <v>no</v>
      </c>
      <c r="Q21" s="807" t="str">
        <f t="shared" si="0"/>
        <v>no</v>
      </c>
      <c r="X21" s="619"/>
      <c r="Y21" s="619"/>
      <c r="Z21" s="619"/>
    </row>
    <row r="22" spans="1:26" ht="45" customHeight="1">
      <c r="E22" s="620"/>
      <c r="F22" s="1206" t="s">
        <v>296</v>
      </c>
      <c r="G22" s="1183" t="s">
        <v>297</v>
      </c>
      <c r="H22" s="620">
        <v>7.1</v>
      </c>
      <c r="I22" s="622" t="s">
        <v>298</v>
      </c>
      <c r="J22" s="633" t="s">
        <v>264</v>
      </c>
      <c r="K22" s="1000"/>
      <c r="L22" s="997"/>
      <c r="M22" s="974"/>
      <c r="N22" s="974"/>
      <c r="O22" s="998"/>
      <c r="P22" s="807" t="str">
        <f t="shared" si="0"/>
        <v>no</v>
      </c>
      <c r="Q22" s="807" t="str">
        <f t="shared" si="0"/>
        <v>no</v>
      </c>
      <c r="X22" s="619"/>
      <c r="Y22" s="619"/>
      <c r="Z22" s="619"/>
    </row>
    <row r="23" spans="1:26" ht="45" customHeight="1">
      <c r="E23" s="620"/>
      <c r="F23" s="1207"/>
      <c r="G23" s="1190"/>
      <c r="H23" s="620">
        <v>7.2</v>
      </c>
      <c r="I23" s="622" t="s">
        <v>463</v>
      </c>
      <c r="J23" s="634">
        <v>1</v>
      </c>
      <c r="K23" s="1001"/>
      <c r="L23" s="997" t="str">
        <f>IF(AND(K23&gt;0,$K$22&lt;&gt;$Y$11),"!","")</f>
        <v/>
      </c>
      <c r="M23" s="974"/>
      <c r="N23" s="974"/>
      <c r="O23" s="998"/>
      <c r="P23" s="807" t="str">
        <f t="shared" si="0"/>
        <v>no</v>
      </c>
      <c r="Q23" s="807" t="str">
        <f t="shared" si="0"/>
        <v>no</v>
      </c>
      <c r="X23" s="619"/>
      <c r="Y23" s="619"/>
      <c r="Z23" s="619"/>
    </row>
    <row r="24" spans="1:26" ht="45" customHeight="1">
      <c r="E24" s="620"/>
      <c r="F24" s="1189"/>
      <c r="G24" s="1184"/>
      <c r="H24" s="620">
        <v>7.3</v>
      </c>
      <c r="I24" s="622" t="s">
        <v>46</v>
      </c>
      <c r="J24" s="634">
        <v>1</v>
      </c>
      <c r="K24" s="1001"/>
      <c r="L24" s="997" t="str">
        <f>IF(AND(K24&gt;0,$K$22&lt;&gt;$Y$11),"!","")</f>
        <v/>
      </c>
      <c r="M24" s="974"/>
      <c r="N24" s="974"/>
      <c r="O24" s="998"/>
      <c r="P24" s="807" t="str">
        <f t="shared" si="0"/>
        <v>no</v>
      </c>
      <c r="Q24" s="807" t="str">
        <f t="shared" si="0"/>
        <v>no</v>
      </c>
      <c r="X24" s="619"/>
      <c r="Y24" s="619"/>
      <c r="Z24" s="619"/>
    </row>
    <row r="25" spans="1:26" ht="45" customHeight="1">
      <c r="E25" s="620"/>
      <c r="F25" s="1206" t="s">
        <v>300</v>
      </c>
      <c r="G25" s="1210" t="s">
        <v>265</v>
      </c>
      <c r="H25" s="620" t="s">
        <v>301</v>
      </c>
      <c r="I25" s="622" t="s">
        <v>302</v>
      </c>
      <c r="J25" s="634">
        <f>IF(G25=V11,1,"0")</f>
        <v>1</v>
      </c>
      <c r="K25" s="1001"/>
      <c r="L25" s="997" t="str">
        <f>IF(AND(K25&gt;0,G25="Prescriptive Pathway"),"!","")</f>
        <v/>
      </c>
      <c r="M25" s="974"/>
      <c r="N25" s="974"/>
      <c r="O25" s="998"/>
      <c r="P25" s="807" t="str">
        <f t="shared" si="0"/>
        <v>no</v>
      </c>
      <c r="Q25" s="807" t="str">
        <f t="shared" si="0"/>
        <v>no</v>
      </c>
      <c r="X25" s="619"/>
      <c r="Y25" s="619"/>
      <c r="Z25" s="619"/>
    </row>
    <row r="26" spans="1:26" ht="45" customHeight="1">
      <c r="E26" s="620"/>
      <c r="F26" s="1189"/>
      <c r="G26" s="1211"/>
      <c r="H26" s="620" t="s">
        <v>303</v>
      </c>
      <c r="I26" s="622" t="s">
        <v>304</v>
      </c>
      <c r="J26" s="634" t="str">
        <f>IF(G25=V12,1,"0")</f>
        <v>0</v>
      </c>
      <c r="K26" s="1001"/>
      <c r="L26" s="997" t="str">
        <f>IF(AND(K26&gt;0,G25="Performance Pathway"),"!","")</f>
        <v/>
      </c>
      <c r="M26" s="974"/>
      <c r="N26" s="974"/>
      <c r="O26" s="998"/>
      <c r="P26" s="807" t="str">
        <f t="shared" si="0"/>
        <v>no</v>
      </c>
      <c r="Q26" s="807" t="str">
        <f t="shared" si="0"/>
        <v>no</v>
      </c>
    </row>
    <row r="27" spans="1:26" ht="37.5" customHeight="1">
      <c r="E27" s="635"/>
      <c r="F27" s="635" t="s">
        <v>305</v>
      </c>
      <c r="G27" s="635"/>
      <c r="H27" s="636"/>
      <c r="I27" s="635"/>
      <c r="J27" s="636">
        <f>SUM(J10:J26)</f>
        <v>15</v>
      </c>
      <c r="K27" s="1002">
        <f>SUM(K10:K26)</f>
        <v>0</v>
      </c>
      <c r="L27" s="997" t="str">
        <f>IF(K27&gt;J27,"!","")</f>
        <v/>
      </c>
      <c r="M27" s="1003"/>
      <c r="N27" s="1003"/>
      <c r="O27" s="1003"/>
      <c r="P27" s="19"/>
      <c r="Q27" s="19"/>
    </row>
    <row r="28" spans="1:26" ht="45" customHeight="1">
      <c r="F28" s="637"/>
      <c r="G28" s="638"/>
      <c r="H28" s="639"/>
      <c r="I28" s="640"/>
      <c r="J28" s="641"/>
      <c r="K28" s="1004"/>
      <c r="L28" s="976"/>
      <c r="M28" s="642"/>
      <c r="N28" s="643"/>
      <c r="O28" s="643"/>
      <c r="P28" s="643"/>
      <c r="Q28" s="643"/>
    </row>
    <row r="29" spans="1:26" ht="45" customHeight="1">
      <c r="E29" s="615"/>
      <c r="F29" s="1216" t="s">
        <v>306</v>
      </c>
      <c r="G29" s="1216"/>
      <c r="H29" s="1216"/>
      <c r="I29" s="1216"/>
      <c r="J29" s="644">
        <f>17-SUM(B30:B46)</f>
        <v>17</v>
      </c>
      <c r="K29" s="975"/>
      <c r="L29" s="997"/>
      <c r="M29" s="646"/>
      <c r="N29" s="647"/>
      <c r="O29" s="647"/>
      <c r="P29" s="647"/>
      <c r="Q29" s="647"/>
    </row>
    <row r="30" spans="1:26" ht="45" customHeight="1">
      <c r="A30" s="604">
        <v>1</v>
      </c>
      <c r="B30" s="604">
        <f t="shared" ref="B30:B35" si="2">IF(C30=TRUE,A30,0)</f>
        <v>0</v>
      </c>
      <c r="C30" s="604" t="b">
        <v>0</v>
      </c>
      <c r="E30" s="620"/>
      <c r="F30" s="1194" t="s">
        <v>307</v>
      </c>
      <c r="G30" s="1195" t="s">
        <v>308</v>
      </c>
      <c r="H30" s="620">
        <v>9.1</v>
      </c>
      <c r="I30" s="648" t="s">
        <v>309</v>
      </c>
      <c r="J30" s="649">
        <f t="shared" ref="J30:J35" si="3">IF(C30=FALSE,A30,0)</f>
        <v>1</v>
      </c>
      <c r="K30" s="1005"/>
      <c r="L30" s="997"/>
      <c r="M30" s="974"/>
      <c r="N30" s="974"/>
      <c r="O30" s="1006"/>
      <c r="P30" s="807" t="str">
        <f>IF(M30=0,"no","yes")</f>
        <v>no</v>
      </c>
      <c r="Q30" s="807" t="str">
        <f>IF(N30=0,"no","yes")</f>
        <v>no</v>
      </c>
    </row>
    <row r="31" spans="1:26" ht="45" customHeight="1">
      <c r="A31" s="604">
        <v>2</v>
      </c>
      <c r="B31" s="604">
        <f t="shared" si="2"/>
        <v>0</v>
      </c>
      <c r="C31" s="604" t="b">
        <v>0</v>
      </c>
      <c r="E31" s="620"/>
      <c r="F31" s="1194"/>
      <c r="G31" s="1195"/>
      <c r="H31" s="620">
        <v>9.1999999999999993</v>
      </c>
      <c r="I31" s="648" t="s">
        <v>310</v>
      </c>
      <c r="J31" s="649">
        <f t="shared" si="3"/>
        <v>2</v>
      </c>
      <c r="K31" s="1005"/>
      <c r="L31" s="997"/>
      <c r="M31" s="974"/>
      <c r="N31" s="974"/>
      <c r="O31" s="1006"/>
      <c r="P31" s="807" t="str">
        <f t="shared" ref="P31:Q46" si="4">IF(M31=0,"no","yes")</f>
        <v>no</v>
      </c>
      <c r="Q31" s="807" t="str">
        <f t="shared" si="4"/>
        <v>no</v>
      </c>
    </row>
    <row r="32" spans="1:26" ht="45" customHeight="1">
      <c r="A32" s="604">
        <v>1</v>
      </c>
      <c r="B32" s="604">
        <f t="shared" si="2"/>
        <v>0</v>
      </c>
      <c r="C32" s="604" t="b">
        <v>0</v>
      </c>
      <c r="E32" s="620"/>
      <c r="F32" s="1194"/>
      <c r="G32" s="1195"/>
      <c r="H32" s="620">
        <v>9.3000000000000007</v>
      </c>
      <c r="I32" s="648" t="s">
        <v>311</v>
      </c>
      <c r="J32" s="649">
        <f t="shared" si="3"/>
        <v>1</v>
      </c>
      <c r="K32" s="1005"/>
      <c r="L32" s="997"/>
      <c r="M32" s="974"/>
      <c r="N32" s="974"/>
      <c r="O32" s="1006"/>
      <c r="P32" s="807" t="str">
        <f t="shared" si="4"/>
        <v>no</v>
      </c>
      <c r="Q32" s="807" t="str">
        <f t="shared" si="4"/>
        <v>no</v>
      </c>
    </row>
    <row r="33" spans="1:17" ht="45" customHeight="1">
      <c r="A33" s="604">
        <v>1</v>
      </c>
      <c r="B33" s="604">
        <f t="shared" si="2"/>
        <v>0</v>
      </c>
      <c r="C33" s="604" t="b">
        <v>0</v>
      </c>
      <c r="E33" s="620"/>
      <c r="F33" s="1194" t="s">
        <v>312</v>
      </c>
      <c r="G33" s="1195" t="s">
        <v>313</v>
      </c>
      <c r="H33" s="620">
        <v>10.1</v>
      </c>
      <c r="I33" s="648" t="s">
        <v>314</v>
      </c>
      <c r="J33" s="649">
        <f t="shared" si="3"/>
        <v>1</v>
      </c>
      <c r="K33" s="1005"/>
      <c r="L33" s="997"/>
      <c r="M33" s="974"/>
      <c r="N33" s="974"/>
      <c r="O33" s="1006"/>
      <c r="P33" s="807" t="str">
        <f t="shared" si="4"/>
        <v>no</v>
      </c>
      <c r="Q33" s="807" t="str">
        <f t="shared" si="4"/>
        <v>no</v>
      </c>
    </row>
    <row r="34" spans="1:17" ht="45" customHeight="1">
      <c r="A34" s="604">
        <v>1</v>
      </c>
      <c r="B34" s="604">
        <f t="shared" si="2"/>
        <v>0</v>
      </c>
      <c r="C34" s="604" t="b">
        <v>0</v>
      </c>
      <c r="E34" s="620"/>
      <c r="F34" s="1194"/>
      <c r="G34" s="1195"/>
      <c r="H34" s="620">
        <v>10.199999999999999</v>
      </c>
      <c r="I34" s="648" t="s">
        <v>315</v>
      </c>
      <c r="J34" s="649">
        <f t="shared" si="3"/>
        <v>1</v>
      </c>
      <c r="K34" s="1005"/>
      <c r="L34" s="997"/>
      <c r="M34" s="974"/>
      <c r="N34" s="974"/>
      <c r="O34" s="1006"/>
      <c r="P34" s="807" t="str">
        <f t="shared" si="4"/>
        <v>no</v>
      </c>
      <c r="Q34" s="807" t="str">
        <f t="shared" si="4"/>
        <v>no</v>
      </c>
    </row>
    <row r="35" spans="1:17" ht="45" customHeight="1">
      <c r="A35" s="604">
        <v>1</v>
      </c>
      <c r="B35" s="604">
        <f t="shared" si="2"/>
        <v>0</v>
      </c>
      <c r="C35" s="604" t="b">
        <v>0</v>
      </c>
      <c r="E35" s="620"/>
      <c r="F35" s="1194"/>
      <c r="G35" s="1195"/>
      <c r="H35" s="620">
        <v>10.3</v>
      </c>
      <c r="I35" s="648" t="s">
        <v>316</v>
      </c>
      <c r="J35" s="649">
        <f t="shared" si="3"/>
        <v>1</v>
      </c>
      <c r="K35" s="1005"/>
      <c r="L35" s="997"/>
      <c r="M35" s="974"/>
      <c r="N35" s="974"/>
      <c r="O35" s="1006"/>
      <c r="P35" s="807" t="str">
        <f t="shared" si="4"/>
        <v>no</v>
      </c>
      <c r="Q35" s="807" t="str">
        <f t="shared" si="4"/>
        <v>no</v>
      </c>
    </row>
    <row r="36" spans="1:17" ht="45" customHeight="1">
      <c r="E36" s="620"/>
      <c r="F36" s="1194" t="s">
        <v>317</v>
      </c>
      <c r="G36" s="1195" t="s">
        <v>318</v>
      </c>
      <c r="H36" s="620">
        <v>11.1</v>
      </c>
      <c r="I36" s="648" t="s">
        <v>319</v>
      </c>
      <c r="J36" s="650" t="s">
        <v>264</v>
      </c>
      <c r="K36" s="1005"/>
      <c r="L36" s="997"/>
      <c r="M36" s="974"/>
      <c r="N36" s="974"/>
      <c r="O36" s="1006"/>
      <c r="P36" s="807" t="str">
        <f t="shared" si="4"/>
        <v>no</v>
      </c>
      <c r="Q36" s="807" t="str">
        <f t="shared" si="4"/>
        <v>no</v>
      </c>
    </row>
    <row r="37" spans="1:17" ht="45" customHeight="1">
      <c r="A37" s="604">
        <v>1</v>
      </c>
      <c r="B37" s="604">
        <f>IF(C37=TRUE,A37,0)</f>
        <v>0</v>
      </c>
      <c r="C37" s="604" t="b">
        <v>0</v>
      </c>
      <c r="E37" s="620"/>
      <c r="F37" s="1194"/>
      <c r="G37" s="1195"/>
      <c r="H37" s="620">
        <v>11.2</v>
      </c>
      <c r="I37" s="648" t="s">
        <v>320</v>
      </c>
      <c r="J37" s="649">
        <f>IF(C37=FALSE,A37,0)</f>
        <v>1</v>
      </c>
      <c r="K37" s="1005"/>
      <c r="L37" s="997" t="str">
        <f>IF(AND(K37&gt;0,$K$36&lt;&gt;$Y$11),"!","")</f>
        <v/>
      </c>
      <c r="M37" s="974"/>
      <c r="N37" s="974"/>
      <c r="O37" s="1006"/>
      <c r="P37" s="807" t="str">
        <f t="shared" si="4"/>
        <v>no</v>
      </c>
      <c r="Q37" s="807" t="str">
        <f t="shared" si="4"/>
        <v>no</v>
      </c>
    </row>
    <row r="38" spans="1:17" ht="45" customHeight="1">
      <c r="A38" s="604">
        <v>1</v>
      </c>
      <c r="B38" s="604">
        <f>IF(C38=TRUE,A38,0)</f>
        <v>0</v>
      </c>
      <c r="C38" s="604" t="b">
        <v>0</v>
      </c>
      <c r="E38" s="620"/>
      <c r="F38" s="1194"/>
      <c r="G38" s="1195"/>
      <c r="H38" s="620">
        <v>11.3</v>
      </c>
      <c r="I38" s="648" t="s">
        <v>321</v>
      </c>
      <c r="J38" s="649">
        <f>IF(C38=FALSE,A38,0)</f>
        <v>1</v>
      </c>
      <c r="K38" s="1005"/>
      <c r="L38" s="997" t="str">
        <f>IF(AND(K38&gt;0,$K$36&lt;&gt;$Y$11),"!","")</f>
        <v/>
      </c>
      <c r="M38" s="974"/>
      <c r="N38" s="974"/>
      <c r="O38" s="1006"/>
      <c r="P38" s="807" t="str">
        <f t="shared" si="4"/>
        <v>no</v>
      </c>
      <c r="Q38" s="807" t="str">
        <f t="shared" si="4"/>
        <v>no</v>
      </c>
    </row>
    <row r="39" spans="1:17" ht="45" customHeight="1">
      <c r="A39" s="604">
        <v>1</v>
      </c>
      <c r="B39" s="604">
        <f>IF(C39=TRUE,A39,0)</f>
        <v>0</v>
      </c>
      <c r="C39" s="604" t="b">
        <v>0</v>
      </c>
      <c r="E39" s="620"/>
      <c r="F39" s="1194"/>
      <c r="G39" s="1195"/>
      <c r="H39" s="620">
        <v>11.4</v>
      </c>
      <c r="I39" s="648" t="s">
        <v>322</v>
      </c>
      <c r="J39" s="649">
        <f>IF(C39=FALSE,A39,0)</f>
        <v>1</v>
      </c>
      <c r="K39" s="1005"/>
      <c r="L39" s="997" t="str">
        <f>IF(AND(K39&gt;0,$K$36&lt;&gt;$Y$11),"!","")</f>
        <v/>
      </c>
      <c r="M39" s="974"/>
      <c r="N39" s="974"/>
      <c r="O39" s="1006"/>
      <c r="P39" s="807" t="str">
        <f t="shared" si="4"/>
        <v>no</v>
      </c>
      <c r="Q39" s="807" t="str">
        <f t="shared" si="4"/>
        <v>no</v>
      </c>
    </row>
    <row r="40" spans="1:17" ht="45" customHeight="1">
      <c r="E40" s="620"/>
      <c r="F40" s="1194" t="s">
        <v>323</v>
      </c>
      <c r="G40" s="1195" t="s">
        <v>324</v>
      </c>
      <c r="H40" s="620">
        <v>12.1</v>
      </c>
      <c r="I40" s="648" t="s">
        <v>325</v>
      </c>
      <c r="J40" s="650" t="s">
        <v>264</v>
      </c>
      <c r="K40" s="1005"/>
      <c r="L40" s="997"/>
      <c r="M40" s="974"/>
      <c r="N40" s="974"/>
      <c r="O40" s="1006"/>
      <c r="P40" s="807" t="str">
        <f t="shared" si="4"/>
        <v>no</v>
      </c>
      <c r="Q40" s="807" t="str">
        <f t="shared" si="4"/>
        <v>no</v>
      </c>
    </row>
    <row r="41" spans="1:17" ht="45" customHeight="1">
      <c r="A41" s="604">
        <v>2</v>
      </c>
      <c r="B41" s="604">
        <f t="shared" ref="B41:B46" si="5">IF(C41=TRUE,A41,0)</f>
        <v>0</v>
      </c>
      <c r="C41" s="604" t="b">
        <v>0</v>
      </c>
      <c r="E41" s="620"/>
      <c r="F41" s="1194"/>
      <c r="G41" s="1195"/>
      <c r="H41" s="620">
        <v>12.2</v>
      </c>
      <c r="I41" s="648" t="s">
        <v>326</v>
      </c>
      <c r="J41" s="649">
        <f t="shared" ref="J41:J46" si="6">IF(C41=FALSE,A41,0)</f>
        <v>2</v>
      </c>
      <c r="K41" s="1005"/>
      <c r="L41" s="997" t="str">
        <f>IF(AND(K41&gt;0,$K$40&lt;&gt;$Y$11),"!","")</f>
        <v/>
      </c>
      <c r="M41" s="974"/>
      <c r="N41" s="974"/>
      <c r="O41" s="1006"/>
      <c r="P41" s="807" t="str">
        <f t="shared" si="4"/>
        <v>no</v>
      </c>
      <c r="Q41" s="807" t="str">
        <f t="shared" si="4"/>
        <v>no</v>
      </c>
    </row>
    <row r="42" spans="1:17" ht="45" customHeight="1">
      <c r="A42" s="604">
        <v>1</v>
      </c>
      <c r="B42" s="604">
        <f t="shared" si="5"/>
        <v>0</v>
      </c>
      <c r="C42" s="604" t="b">
        <v>0</v>
      </c>
      <c r="E42" s="620"/>
      <c r="F42" s="1194"/>
      <c r="G42" s="1195"/>
      <c r="H42" s="620">
        <v>12.3</v>
      </c>
      <c r="I42" s="648" t="s">
        <v>327</v>
      </c>
      <c r="J42" s="649">
        <f t="shared" si="6"/>
        <v>1</v>
      </c>
      <c r="K42" s="1005"/>
      <c r="L42" s="997" t="str">
        <f>IF(AND(K42&gt;0,$K$40&lt;&gt;$Y$11),"!","")</f>
        <v/>
      </c>
      <c r="M42" s="974"/>
      <c r="N42" s="974"/>
      <c r="O42" s="1006"/>
      <c r="P42" s="807" t="str">
        <f t="shared" si="4"/>
        <v>no</v>
      </c>
      <c r="Q42" s="807" t="str">
        <f t="shared" si="4"/>
        <v>no</v>
      </c>
    </row>
    <row r="43" spans="1:17" ht="45" customHeight="1">
      <c r="A43" s="604">
        <v>1</v>
      </c>
      <c r="B43" s="604">
        <f t="shared" si="5"/>
        <v>0</v>
      </c>
      <c r="C43" s="604" t="b">
        <v>0</v>
      </c>
      <c r="E43" s="620"/>
      <c r="F43" s="1194" t="s">
        <v>328</v>
      </c>
      <c r="G43" s="1195" t="s">
        <v>329</v>
      </c>
      <c r="H43" s="620">
        <v>13.1</v>
      </c>
      <c r="I43" s="648" t="s">
        <v>330</v>
      </c>
      <c r="J43" s="649">
        <f t="shared" si="6"/>
        <v>1</v>
      </c>
      <c r="K43" s="1005"/>
      <c r="L43" s="997"/>
      <c r="M43" s="974"/>
      <c r="N43" s="974"/>
      <c r="O43" s="1006"/>
      <c r="P43" s="807" t="str">
        <f t="shared" si="4"/>
        <v>no</v>
      </c>
      <c r="Q43" s="807" t="str">
        <f t="shared" si="4"/>
        <v>no</v>
      </c>
    </row>
    <row r="44" spans="1:17" ht="45" customHeight="1">
      <c r="A44" s="604">
        <v>1</v>
      </c>
      <c r="B44" s="604">
        <f t="shared" si="5"/>
        <v>0</v>
      </c>
      <c r="C44" s="604" t="b">
        <v>0</v>
      </c>
      <c r="E44" s="620"/>
      <c r="F44" s="1194"/>
      <c r="G44" s="1195"/>
      <c r="H44" s="620">
        <v>13.2</v>
      </c>
      <c r="I44" s="648" t="s">
        <v>331</v>
      </c>
      <c r="J44" s="649">
        <f t="shared" si="6"/>
        <v>1</v>
      </c>
      <c r="K44" s="1005"/>
      <c r="L44" s="997"/>
      <c r="M44" s="974"/>
      <c r="N44" s="974"/>
      <c r="O44" s="1006"/>
      <c r="P44" s="807" t="str">
        <f t="shared" si="4"/>
        <v>no</v>
      </c>
      <c r="Q44" s="807" t="str">
        <f t="shared" si="4"/>
        <v>no</v>
      </c>
    </row>
    <row r="45" spans="1:17" ht="45" customHeight="1">
      <c r="A45" s="604">
        <v>1</v>
      </c>
      <c r="B45" s="604">
        <f t="shared" si="5"/>
        <v>0</v>
      </c>
      <c r="C45" s="604" t="b">
        <v>0</v>
      </c>
      <c r="E45" s="620"/>
      <c r="F45" s="1194" t="s">
        <v>332</v>
      </c>
      <c r="G45" s="1195" t="s">
        <v>333</v>
      </c>
      <c r="H45" s="620">
        <v>14.1</v>
      </c>
      <c r="I45" s="648" t="s">
        <v>332</v>
      </c>
      <c r="J45" s="649">
        <f t="shared" si="6"/>
        <v>1</v>
      </c>
      <c r="K45" s="1005"/>
      <c r="L45" s="997"/>
      <c r="M45" s="974"/>
      <c r="N45" s="974"/>
      <c r="O45" s="1006"/>
      <c r="P45" s="807" t="str">
        <f t="shared" si="4"/>
        <v>no</v>
      </c>
      <c r="Q45" s="807" t="str">
        <f t="shared" si="4"/>
        <v>no</v>
      </c>
    </row>
    <row r="46" spans="1:17" ht="45" customHeight="1">
      <c r="A46" s="604">
        <v>1</v>
      </c>
      <c r="B46" s="604">
        <f t="shared" si="5"/>
        <v>0</v>
      </c>
      <c r="C46" s="604" t="b">
        <v>0</v>
      </c>
      <c r="E46" s="620"/>
      <c r="F46" s="1196"/>
      <c r="G46" s="1183"/>
      <c r="H46" s="620">
        <v>14.2</v>
      </c>
      <c r="I46" s="648" t="s">
        <v>334</v>
      </c>
      <c r="J46" s="649">
        <f t="shared" si="6"/>
        <v>1</v>
      </c>
      <c r="K46" s="1005"/>
      <c r="L46" s="997"/>
      <c r="M46" s="974"/>
      <c r="N46" s="974"/>
      <c r="O46" s="1006"/>
      <c r="P46" s="807" t="str">
        <f t="shared" si="4"/>
        <v>no</v>
      </c>
      <c r="Q46" s="807" t="str">
        <f t="shared" si="4"/>
        <v>no</v>
      </c>
    </row>
    <row r="47" spans="1:17" ht="45" customHeight="1">
      <c r="E47" s="635"/>
      <c r="F47" s="635" t="s">
        <v>305</v>
      </c>
      <c r="G47" s="635"/>
      <c r="H47" s="636"/>
      <c r="I47" s="635"/>
      <c r="J47" s="636">
        <f>SUM(J30:J46)</f>
        <v>17</v>
      </c>
      <c r="K47" s="1002">
        <f>SUM(K30:K46)</f>
        <v>0</v>
      </c>
      <c r="L47" s="997" t="str">
        <f>IF(K47&gt;J47,"!","")</f>
        <v/>
      </c>
      <c r="M47" s="1003"/>
      <c r="N47" s="1003"/>
      <c r="O47" s="1003"/>
      <c r="P47" s="19"/>
      <c r="Q47" s="19"/>
    </row>
    <row r="48" spans="1:17" ht="45" customHeight="1">
      <c r="F48" s="653"/>
      <c r="G48" s="653"/>
      <c r="H48" s="605"/>
      <c r="I48" s="653"/>
      <c r="J48" s="605"/>
      <c r="K48" s="995"/>
      <c r="L48" s="1007"/>
      <c r="M48" s="651"/>
      <c r="N48" s="652"/>
      <c r="O48" s="652"/>
      <c r="P48" s="652"/>
      <c r="Q48" s="652"/>
    </row>
    <row r="49" spans="2:22" ht="45" customHeight="1">
      <c r="E49" s="615"/>
      <c r="F49" s="1185" t="s">
        <v>335</v>
      </c>
      <c r="G49" s="1185"/>
      <c r="H49" s="1185"/>
      <c r="I49" s="1185"/>
      <c r="J49" s="645">
        <f>22-SUM(B50:B53)</f>
        <v>22</v>
      </c>
      <c r="K49" s="975"/>
      <c r="L49" s="976"/>
      <c r="M49" s="646"/>
      <c r="N49" s="654"/>
      <c r="O49" s="654"/>
      <c r="P49" s="654"/>
      <c r="Q49" s="654"/>
    </row>
    <row r="50" spans="2:22" ht="45" customHeight="1">
      <c r="E50" s="620"/>
      <c r="F50" s="1197" t="s">
        <v>336</v>
      </c>
      <c r="G50" s="1195" t="s">
        <v>337</v>
      </c>
      <c r="H50" s="601">
        <v>15.1</v>
      </c>
      <c r="I50" s="655" t="s">
        <v>338</v>
      </c>
      <c r="J50" s="656" t="s">
        <v>264</v>
      </c>
      <c r="K50" s="1008"/>
      <c r="L50" s="997" t="s">
        <v>459</v>
      </c>
      <c r="M50" s="974"/>
      <c r="N50" s="974"/>
      <c r="O50" s="998"/>
      <c r="P50" s="807" t="str">
        <f>IF(M50=0,"no","yes")</f>
        <v>no</v>
      </c>
      <c r="Q50" s="807" t="str">
        <f>IF(N50=0,"no","yes")</f>
        <v>no</v>
      </c>
    </row>
    <row r="51" spans="2:22" ht="45" customHeight="1">
      <c r="E51" s="620"/>
      <c r="F51" s="1198"/>
      <c r="G51" s="1183"/>
      <c r="H51" s="601">
        <v>15.2</v>
      </c>
      <c r="I51" s="657" t="s">
        <v>339</v>
      </c>
      <c r="J51" s="658">
        <v>18</v>
      </c>
      <c r="K51" s="1008"/>
      <c r="L51" s="997" t="str">
        <f>IF(AND(K51&gt;0,K50&lt;&gt;$Y$11),"!","")</f>
        <v/>
      </c>
      <c r="M51" s="974"/>
      <c r="N51" s="974"/>
      <c r="O51" s="998"/>
      <c r="P51" s="807" t="str">
        <f t="shared" ref="P51:Q53" si="7">IF(M51=0,"no","yes")</f>
        <v>no</v>
      </c>
      <c r="Q51" s="807" t="str">
        <f t="shared" si="7"/>
        <v>no</v>
      </c>
    </row>
    <row r="52" spans="2:22" ht="45" customHeight="1">
      <c r="E52" s="620"/>
      <c r="F52" s="1194" t="s">
        <v>340</v>
      </c>
      <c r="G52" s="1212" t="s">
        <v>271</v>
      </c>
      <c r="H52" s="659" t="s">
        <v>341</v>
      </c>
      <c r="I52" s="660" t="s">
        <v>342</v>
      </c>
      <c r="J52" s="661">
        <f>IF(G52=V52,1,"0")</f>
        <v>1</v>
      </c>
      <c r="K52" s="1008"/>
      <c r="L52" s="976"/>
      <c r="M52" s="974"/>
      <c r="N52" s="974"/>
      <c r="O52" s="998"/>
      <c r="P52" s="807" t="str">
        <f t="shared" si="7"/>
        <v>no</v>
      </c>
      <c r="Q52" s="807" t="str">
        <f t="shared" si="7"/>
        <v>no</v>
      </c>
      <c r="V52" s="612" t="s">
        <v>271</v>
      </c>
    </row>
    <row r="53" spans="2:22" ht="45" customHeight="1">
      <c r="E53" s="620"/>
      <c r="F53" s="1196"/>
      <c r="G53" s="1213"/>
      <c r="H53" s="662" t="s">
        <v>343</v>
      </c>
      <c r="I53" s="663" t="s">
        <v>344</v>
      </c>
      <c r="J53" s="664" t="str">
        <f>IF(G52=V53,2,"0")</f>
        <v>0</v>
      </c>
      <c r="K53" s="1009"/>
      <c r="L53" s="1010"/>
      <c r="M53" s="974"/>
      <c r="N53" s="974"/>
      <c r="O53" s="998"/>
      <c r="P53" s="807" t="str">
        <f t="shared" si="7"/>
        <v>no</v>
      </c>
      <c r="Q53" s="807" t="str">
        <f t="shared" si="7"/>
        <v>no</v>
      </c>
      <c r="V53" s="192" t="s">
        <v>265</v>
      </c>
    </row>
    <row r="54" spans="2:22" ht="45" customHeight="1">
      <c r="E54" s="635"/>
      <c r="F54" s="635" t="s">
        <v>305</v>
      </c>
      <c r="G54" s="635"/>
      <c r="H54" s="636"/>
      <c r="I54" s="635"/>
      <c r="J54" s="636">
        <f>SUM(J50:J53)</f>
        <v>19</v>
      </c>
      <c r="K54" s="1002">
        <f>SUM(K50:K53)</f>
        <v>0</v>
      </c>
      <c r="L54" s="997" t="str">
        <f>IF(K54&gt;J54,"!","")</f>
        <v/>
      </c>
      <c r="M54" s="1003"/>
      <c r="N54" s="1003"/>
      <c r="O54" s="1003"/>
      <c r="P54" s="19"/>
      <c r="Q54" s="19"/>
    </row>
    <row r="55" spans="2:22" ht="45" customHeight="1">
      <c r="L55" s="1011"/>
      <c r="M55" s="642"/>
      <c r="N55" s="643"/>
      <c r="O55" s="643"/>
      <c r="P55" s="643"/>
      <c r="Q55" s="643"/>
    </row>
    <row r="56" spans="2:22" ht="45" customHeight="1">
      <c r="E56" s="615"/>
      <c r="F56" s="666" t="s">
        <v>345</v>
      </c>
      <c r="G56" s="667"/>
      <c r="H56" s="668"/>
      <c r="I56" s="667"/>
      <c r="J56" s="645">
        <f>10-SUM(B57:B62)</f>
        <v>10</v>
      </c>
      <c r="K56" s="975"/>
      <c r="L56" s="976"/>
      <c r="M56" s="646"/>
      <c r="N56" s="647"/>
      <c r="O56" s="647"/>
      <c r="P56" s="647"/>
      <c r="Q56" s="647"/>
    </row>
    <row r="57" spans="2:22" ht="45" customHeight="1">
      <c r="E57" s="620"/>
      <c r="F57" s="1197" t="s">
        <v>346</v>
      </c>
      <c r="G57" s="1219" t="s">
        <v>464</v>
      </c>
      <c r="H57" s="601" t="s">
        <v>465</v>
      </c>
      <c r="I57" s="657" t="s">
        <v>466</v>
      </c>
      <c r="J57" s="658">
        <v>10</v>
      </c>
      <c r="K57" s="1008"/>
      <c r="L57" s="1010"/>
      <c r="M57" s="974"/>
      <c r="N57" s="974"/>
      <c r="O57" s="1006"/>
      <c r="P57" s="807" t="str">
        <f t="shared" ref="P57:Q62" si="8">IF(M57=0,"no","yes")</f>
        <v>no</v>
      </c>
      <c r="Q57" s="807" t="str">
        <f t="shared" si="8"/>
        <v>no</v>
      </c>
      <c r="V57" s="612" t="s">
        <v>271</v>
      </c>
    </row>
    <row r="58" spans="2:22" ht="45" customHeight="1">
      <c r="E58" s="620"/>
      <c r="F58" s="1197"/>
      <c r="G58" s="1219"/>
      <c r="H58" s="601" t="s">
        <v>467</v>
      </c>
      <c r="I58" s="657" t="s">
        <v>468</v>
      </c>
      <c r="J58" s="658">
        <f>IF($G$57=$S$59,4,"0")</f>
        <v>4</v>
      </c>
      <c r="K58" s="1008"/>
      <c r="L58" s="1010"/>
      <c r="M58" s="974"/>
      <c r="N58" s="974"/>
      <c r="O58" s="1006"/>
      <c r="P58" s="807" t="str">
        <f t="shared" si="8"/>
        <v>no</v>
      </c>
      <c r="Q58" s="807" t="str">
        <f t="shared" si="8"/>
        <v>no</v>
      </c>
      <c r="S58" s="192" t="s">
        <v>469</v>
      </c>
    </row>
    <row r="59" spans="2:22" ht="45" customHeight="1">
      <c r="B59" s="604">
        <f>IF((C59=TRUE),1,0)</f>
        <v>0</v>
      </c>
      <c r="C59" s="604" t="b">
        <v>0</v>
      </c>
      <c r="E59" s="620"/>
      <c r="F59" s="1197"/>
      <c r="G59" s="1219"/>
      <c r="H59" s="601" t="s">
        <v>470</v>
      </c>
      <c r="I59" s="657" t="s">
        <v>471</v>
      </c>
      <c r="J59" s="658">
        <f>IF($G$57=$S$59,1,"0")</f>
        <v>1</v>
      </c>
      <c r="K59" s="1008"/>
      <c r="L59" s="1010"/>
      <c r="M59" s="974"/>
      <c r="N59" s="974"/>
      <c r="O59" s="1006"/>
      <c r="P59" s="807" t="str">
        <f t="shared" si="8"/>
        <v>no</v>
      </c>
      <c r="Q59" s="807" t="str">
        <f t="shared" si="8"/>
        <v>no</v>
      </c>
      <c r="S59" s="192" t="s">
        <v>464</v>
      </c>
    </row>
    <row r="60" spans="2:22" ht="45" customHeight="1">
      <c r="B60" s="604">
        <f>IF((C60=TRUE),2,0)</f>
        <v>0</v>
      </c>
      <c r="C60" s="604" t="b">
        <v>0</v>
      </c>
      <c r="E60" s="620"/>
      <c r="F60" s="1197"/>
      <c r="G60" s="1219"/>
      <c r="H60" s="601" t="s">
        <v>472</v>
      </c>
      <c r="I60" s="657" t="s">
        <v>473</v>
      </c>
      <c r="J60" s="658">
        <f>IF($G$57=$S$59,2,"0")</f>
        <v>2</v>
      </c>
      <c r="K60" s="1008"/>
      <c r="L60" s="1010"/>
      <c r="M60" s="974"/>
      <c r="N60" s="974"/>
      <c r="O60" s="1006"/>
      <c r="P60" s="807" t="str">
        <f t="shared" si="8"/>
        <v>no</v>
      </c>
      <c r="Q60" s="807" t="str">
        <f t="shared" si="8"/>
        <v>no</v>
      </c>
    </row>
    <row r="61" spans="2:22" ht="45" customHeight="1">
      <c r="E61" s="620"/>
      <c r="F61" s="1197"/>
      <c r="G61" s="1219"/>
      <c r="H61" s="601" t="s">
        <v>474</v>
      </c>
      <c r="I61" s="657" t="s">
        <v>475</v>
      </c>
      <c r="J61" s="658">
        <f>IF($G$57=$S$59,2,"0")</f>
        <v>2</v>
      </c>
      <c r="K61" s="1008"/>
      <c r="L61" s="1010"/>
      <c r="M61" s="974"/>
      <c r="N61" s="974"/>
      <c r="O61" s="1006"/>
      <c r="P61" s="807"/>
      <c r="Q61" s="807"/>
    </row>
    <row r="62" spans="2:22" ht="45" customHeight="1">
      <c r="E62" s="620"/>
      <c r="F62" s="1198"/>
      <c r="G62" s="1220"/>
      <c r="H62" s="601" t="s">
        <v>476</v>
      </c>
      <c r="I62" s="657" t="s">
        <v>352</v>
      </c>
      <c r="J62" s="658">
        <f>IF($G$57=$S$59,1,"0")</f>
        <v>1</v>
      </c>
      <c r="K62" s="1008"/>
      <c r="L62" s="1010"/>
      <c r="M62" s="974"/>
      <c r="N62" s="974"/>
      <c r="O62" s="1006"/>
      <c r="P62" s="807" t="str">
        <f t="shared" si="8"/>
        <v>no</v>
      </c>
      <c r="Q62" s="807" t="str">
        <f t="shared" si="8"/>
        <v>no</v>
      </c>
    </row>
    <row r="63" spans="2:22" ht="45" customHeight="1">
      <c r="E63" s="635"/>
      <c r="F63" s="635" t="s">
        <v>305</v>
      </c>
      <c r="G63" s="635"/>
      <c r="H63" s="636"/>
      <c r="I63" s="635"/>
      <c r="J63" s="636">
        <f>SUM(J57:J62)</f>
        <v>20</v>
      </c>
      <c r="K63" s="1002">
        <f>SUM(K57:K62)</f>
        <v>0</v>
      </c>
      <c r="L63" s="997" t="str">
        <f>IF(K63&gt;J63,"!","")</f>
        <v/>
      </c>
      <c r="M63" s="1003"/>
      <c r="N63" s="1003"/>
      <c r="O63" s="1003"/>
      <c r="P63" s="19"/>
      <c r="Q63" s="19"/>
    </row>
    <row r="64" spans="2:22" ht="45" customHeight="1">
      <c r="L64" s="1011"/>
      <c r="M64" s="642"/>
      <c r="N64" s="643"/>
      <c r="O64" s="643"/>
      <c r="P64" s="643"/>
      <c r="Q64" s="643"/>
    </row>
    <row r="65" spans="1:22" ht="45" customHeight="1">
      <c r="E65" s="615"/>
      <c r="F65" s="666" t="s">
        <v>353</v>
      </c>
      <c r="G65" s="667"/>
      <c r="H65" s="668"/>
      <c r="I65" s="667"/>
      <c r="J65" s="645">
        <f>12-SUM(B66:B71)</f>
        <v>12</v>
      </c>
      <c r="K65" s="975"/>
      <c r="L65" s="976"/>
      <c r="M65" s="646"/>
      <c r="N65" s="647"/>
      <c r="O65" s="647"/>
      <c r="P65" s="647"/>
      <c r="Q65" s="647"/>
    </row>
    <row r="66" spans="1:22" ht="45" customHeight="1">
      <c r="E66" s="620"/>
      <c r="F66" s="1215" t="s">
        <v>354</v>
      </c>
      <c r="G66" s="1191" t="s">
        <v>265</v>
      </c>
      <c r="H66" s="669" t="s">
        <v>355</v>
      </c>
      <c r="I66" s="670" t="s">
        <v>356</v>
      </c>
      <c r="J66" s="671">
        <f>IF(G66=V66,10,0)</f>
        <v>10</v>
      </c>
      <c r="K66" s="1012"/>
      <c r="L66" s="1010"/>
      <c r="M66" s="974"/>
      <c r="N66" s="974"/>
      <c r="O66" s="1006"/>
      <c r="P66" s="807" t="str">
        <f t="shared" ref="P66:Q71" si="9">IF(M66=0,"no","yes")</f>
        <v>no</v>
      </c>
      <c r="Q66" s="807" t="str">
        <f t="shared" si="9"/>
        <v>no</v>
      </c>
      <c r="V66" s="612" t="s">
        <v>265</v>
      </c>
    </row>
    <row r="67" spans="1:22" ht="45" customHeight="1">
      <c r="E67" s="620"/>
      <c r="F67" s="1194"/>
      <c r="G67" s="1192"/>
      <c r="H67" s="672" t="s">
        <v>357</v>
      </c>
      <c r="I67" s="673" t="s">
        <v>358</v>
      </c>
      <c r="J67" s="674">
        <f>IF($G$66=$V$67,1,0)</f>
        <v>0</v>
      </c>
      <c r="K67" s="1013"/>
      <c r="L67" s="1010"/>
      <c r="M67" s="974"/>
      <c r="N67" s="974"/>
      <c r="O67" s="1006"/>
      <c r="P67" s="807" t="str">
        <f t="shared" si="9"/>
        <v>no</v>
      </c>
      <c r="Q67" s="807" t="str">
        <f t="shared" si="9"/>
        <v>no</v>
      </c>
      <c r="V67" s="612" t="s">
        <v>271</v>
      </c>
    </row>
    <row r="68" spans="1:22" ht="45" customHeight="1">
      <c r="E68" s="620"/>
      <c r="F68" s="1194"/>
      <c r="G68" s="1192"/>
      <c r="H68" s="672" t="s">
        <v>359</v>
      </c>
      <c r="I68" s="673" t="s">
        <v>360</v>
      </c>
      <c r="J68" s="674">
        <f>IF($G$66=$V$67,1,0)</f>
        <v>0</v>
      </c>
      <c r="K68" s="1013"/>
      <c r="L68" s="1010"/>
      <c r="M68" s="974"/>
      <c r="N68" s="974"/>
      <c r="O68" s="1006"/>
      <c r="P68" s="807" t="str">
        <f t="shared" si="9"/>
        <v>no</v>
      </c>
      <c r="Q68" s="807" t="str">
        <f t="shared" si="9"/>
        <v>no</v>
      </c>
    </row>
    <row r="69" spans="1:22" ht="45" customHeight="1">
      <c r="E69" s="620"/>
      <c r="F69" s="1194"/>
      <c r="G69" s="1192"/>
      <c r="H69" s="672" t="s">
        <v>361</v>
      </c>
      <c r="I69" s="673" t="s">
        <v>362</v>
      </c>
      <c r="J69" s="674">
        <f>IF($G$66=$V$67,1,0)</f>
        <v>0</v>
      </c>
      <c r="K69" s="1013"/>
      <c r="L69" s="1010"/>
      <c r="M69" s="974"/>
      <c r="N69" s="974"/>
      <c r="O69" s="1006"/>
      <c r="P69" s="807" t="str">
        <f t="shared" si="9"/>
        <v>no</v>
      </c>
      <c r="Q69" s="807" t="str">
        <f t="shared" si="9"/>
        <v>no</v>
      </c>
    </row>
    <row r="70" spans="1:22" ht="45" customHeight="1">
      <c r="B70" s="604">
        <f>IF(AND($G$66=$V$67,C70=TRUE),1,0)</f>
        <v>0</v>
      </c>
      <c r="C70" s="604" t="b">
        <v>0</v>
      </c>
      <c r="E70" s="620"/>
      <c r="F70" s="1194"/>
      <c r="G70" s="1192"/>
      <c r="H70" s="672" t="s">
        <v>363</v>
      </c>
      <c r="I70" s="675" t="s">
        <v>364</v>
      </c>
      <c r="J70" s="674">
        <f>IF(OR($G$66=$V$66,C70=TRUE),0,1)</f>
        <v>0</v>
      </c>
      <c r="K70" s="1013"/>
      <c r="L70" s="1010"/>
      <c r="M70" s="974"/>
      <c r="N70" s="974"/>
      <c r="O70" s="1006"/>
      <c r="P70" s="807" t="str">
        <f t="shared" si="9"/>
        <v>no</v>
      </c>
      <c r="Q70" s="807" t="str">
        <f t="shared" si="9"/>
        <v>no</v>
      </c>
    </row>
    <row r="71" spans="1:22" ht="45" customHeight="1">
      <c r="B71" s="604">
        <f>IF(AND($G$66=$V$67,C71=TRUE),1,0)</f>
        <v>0</v>
      </c>
      <c r="C71" s="604" t="b">
        <v>0</v>
      </c>
      <c r="E71" s="620"/>
      <c r="F71" s="1196"/>
      <c r="G71" s="1193"/>
      <c r="H71" s="676" t="s">
        <v>365</v>
      </c>
      <c r="I71" s="675" t="s">
        <v>366</v>
      </c>
      <c r="J71" s="677">
        <f>IF(OR($G$66=$V$66,C71=TRUE),0,1)</f>
        <v>0</v>
      </c>
      <c r="K71" s="1014"/>
      <c r="L71" s="1010"/>
      <c r="M71" s="974"/>
      <c r="N71" s="974"/>
      <c r="O71" s="1006"/>
      <c r="P71" s="807" t="str">
        <f t="shared" si="9"/>
        <v>no</v>
      </c>
      <c r="Q71" s="807" t="str">
        <f t="shared" si="9"/>
        <v>no</v>
      </c>
    </row>
    <row r="72" spans="1:22" ht="45" customHeight="1">
      <c r="E72" s="635"/>
      <c r="F72" s="635" t="s">
        <v>305</v>
      </c>
      <c r="G72" s="635"/>
      <c r="H72" s="636"/>
      <c r="I72" s="635"/>
      <c r="J72" s="636">
        <f>SUM(J66:J71)</f>
        <v>10</v>
      </c>
      <c r="K72" s="1002">
        <f>SUM(K66:K71)</f>
        <v>0</v>
      </c>
      <c r="L72" s="997" t="str">
        <f>IF(K72&gt;J72,"!","")</f>
        <v/>
      </c>
      <c r="M72" s="1003"/>
      <c r="N72" s="1003"/>
      <c r="O72" s="1003"/>
      <c r="P72" s="19"/>
      <c r="Q72" s="19"/>
    </row>
    <row r="73" spans="1:22" ht="45" customHeight="1">
      <c r="L73" s="1011"/>
      <c r="M73" s="642"/>
      <c r="N73" s="643"/>
      <c r="O73" s="643"/>
      <c r="P73" s="643"/>
      <c r="Q73" s="643"/>
    </row>
    <row r="74" spans="1:22" ht="45" customHeight="1">
      <c r="E74" s="615"/>
      <c r="F74" s="666" t="s">
        <v>367</v>
      </c>
      <c r="G74" s="667"/>
      <c r="H74" s="645"/>
      <c r="I74" s="667"/>
      <c r="J74" s="645">
        <f>14-SUM(B75:B85)</f>
        <v>14</v>
      </c>
      <c r="K74" s="975"/>
      <c r="L74" s="976"/>
      <c r="M74" s="646"/>
      <c r="N74" s="647"/>
      <c r="O74" s="647"/>
      <c r="P74" s="647"/>
      <c r="Q74" s="647"/>
      <c r="V74" s="612"/>
    </row>
    <row r="75" spans="1:22" ht="45" customHeight="1">
      <c r="E75" s="620"/>
      <c r="F75" s="1203" t="s">
        <v>477</v>
      </c>
      <c r="G75" s="1217" t="s">
        <v>478</v>
      </c>
      <c r="H75" s="678" t="s">
        <v>370</v>
      </c>
      <c r="I75" s="679" t="s">
        <v>478</v>
      </c>
      <c r="J75" s="680">
        <f>IF($G$75=$V$75,6,"0")</f>
        <v>6</v>
      </c>
      <c r="K75" s="1015"/>
      <c r="L75" s="1010" t="s">
        <v>459</v>
      </c>
      <c r="M75" s="974"/>
      <c r="N75" s="974"/>
      <c r="O75" s="1006"/>
      <c r="P75" s="807" t="str">
        <f t="shared" ref="P75:Q85" si="10">IF(M75=0,"no","yes")</f>
        <v>no</v>
      </c>
      <c r="Q75" s="807" t="str">
        <f t="shared" si="10"/>
        <v>no</v>
      </c>
      <c r="V75" s="681" t="s">
        <v>478</v>
      </c>
    </row>
    <row r="76" spans="1:22" ht="45" customHeight="1">
      <c r="E76" s="620"/>
      <c r="F76" s="1204"/>
      <c r="G76" s="1218"/>
      <c r="H76" s="678" t="s">
        <v>373</v>
      </c>
      <c r="I76" s="679" t="s">
        <v>479</v>
      </c>
      <c r="J76" s="680" t="str">
        <f>IF($G$75=V76,6,"0")</f>
        <v>0</v>
      </c>
      <c r="K76" s="1015"/>
      <c r="L76" s="1010" t="str">
        <f>IF(SUM(K75:K76)&gt;7,"!", "")</f>
        <v/>
      </c>
      <c r="M76" s="974"/>
      <c r="N76" s="974"/>
      <c r="O76" s="1006"/>
      <c r="P76" s="807" t="str">
        <f t="shared" si="10"/>
        <v>no</v>
      </c>
      <c r="Q76" s="807" t="str">
        <f t="shared" si="10"/>
        <v>no</v>
      </c>
      <c r="V76" s="192" t="s">
        <v>479</v>
      </c>
    </row>
    <row r="77" spans="1:22" ht="45" customHeight="1">
      <c r="E77" s="620"/>
      <c r="F77" s="1204"/>
      <c r="G77" s="679"/>
      <c r="H77" s="678">
        <v>19.2</v>
      </c>
      <c r="I77" s="1152" t="s">
        <v>371</v>
      </c>
      <c r="J77" s="680">
        <v>3</v>
      </c>
      <c r="K77" s="1015"/>
      <c r="L77" s="1010"/>
      <c r="M77" s="974"/>
      <c r="N77" s="974"/>
      <c r="O77" s="1006"/>
      <c r="P77" s="807"/>
      <c r="Q77" s="807"/>
    </row>
    <row r="78" spans="1:22" ht="45" customHeight="1">
      <c r="E78" s="620"/>
      <c r="F78" s="1204"/>
      <c r="G78" s="679"/>
      <c r="H78" s="678">
        <v>19.3</v>
      </c>
      <c r="I78" s="1152" t="s">
        <v>480</v>
      </c>
      <c r="J78" s="680">
        <v>2</v>
      </c>
      <c r="K78" s="1015"/>
      <c r="L78" s="1150" t="str">
        <f>IF(SUM(K78:K78)&gt;5,"Error: the total number of points available for the 'Material Use' Pathway is 5. Please enter a points score less than or equal to 5.","")</f>
        <v/>
      </c>
      <c r="M78" s="974"/>
      <c r="N78" s="974"/>
      <c r="O78" s="1006"/>
      <c r="P78" s="807" t="str">
        <f t="shared" si="10"/>
        <v>no</v>
      </c>
      <c r="Q78" s="807" t="str">
        <f t="shared" si="10"/>
        <v>no</v>
      </c>
    </row>
    <row r="79" spans="1:22" ht="45" customHeight="1">
      <c r="A79" s="604">
        <v>1</v>
      </c>
      <c r="B79" s="604">
        <f>IF(C79=TRUE,A79,0)</f>
        <v>0</v>
      </c>
      <c r="C79" s="604" t="b">
        <v>0</v>
      </c>
      <c r="E79" s="620"/>
      <c r="F79" s="1206" t="s">
        <v>383</v>
      </c>
      <c r="G79" s="1183" t="s">
        <v>384</v>
      </c>
      <c r="H79" s="684">
        <v>20.100000000000001</v>
      </c>
      <c r="I79" s="685" t="s">
        <v>385</v>
      </c>
      <c r="J79" s="680">
        <f>IF(C79=TRUE,0,1)</f>
        <v>1</v>
      </c>
      <c r="K79" s="1005"/>
      <c r="L79" s="1010"/>
      <c r="M79" s="974"/>
      <c r="N79" s="974"/>
      <c r="O79" s="1006"/>
      <c r="P79" s="807" t="str">
        <f t="shared" si="10"/>
        <v>no</v>
      </c>
      <c r="Q79" s="807" t="str">
        <f t="shared" si="10"/>
        <v>no</v>
      </c>
    </row>
    <row r="80" spans="1:22" ht="45" customHeight="1">
      <c r="A80" s="604">
        <v>1</v>
      </c>
      <c r="B80" s="604">
        <f>IF(C80=TRUE,A80,0)</f>
        <v>0</v>
      </c>
      <c r="C80" s="604" t="b">
        <v>0</v>
      </c>
      <c r="E80" s="620"/>
      <c r="F80" s="1207"/>
      <c r="G80" s="1208"/>
      <c r="H80" s="684">
        <v>20.2</v>
      </c>
      <c r="I80" s="685" t="s">
        <v>386</v>
      </c>
      <c r="J80" s="680">
        <f>IF(C80=TRUE,0,1)</f>
        <v>1</v>
      </c>
      <c r="K80" s="1005"/>
      <c r="L80" s="997"/>
      <c r="M80" s="974"/>
      <c r="N80" s="974"/>
      <c r="O80" s="1006"/>
      <c r="P80" s="807" t="str">
        <f t="shared" si="10"/>
        <v>no</v>
      </c>
      <c r="Q80" s="807" t="str">
        <f t="shared" si="10"/>
        <v>no</v>
      </c>
    </row>
    <row r="81" spans="1:22" ht="45" customHeight="1">
      <c r="A81" s="604">
        <v>1</v>
      </c>
      <c r="B81" s="604">
        <f>IF(C81=TRUE,A81,0)</f>
        <v>0</v>
      </c>
      <c r="C81" s="604" t="b">
        <v>0</v>
      </c>
      <c r="E81" s="620"/>
      <c r="F81" s="1189"/>
      <c r="G81" s="1209"/>
      <c r="H81" s="684">
        <v>20.3</v>
      </c>
      <c r="I81" s="685" t="s">
        <v>387</v>
      </c>
      <c r="J81" s="680">
        <f>IF(C81=TRUE,0,1)</f>
        <v>1</v>
      </c>
      <c r="K81" s="1005"/>
      <c r="L81" s="997"/>
      <c r="M81" s="974"/>
      <c r="N81" s="974"/>
      <c r="O81" s="1006"/>
      <c r="P81" s="807" t="str">
        <f t="shared" si="10"/>
        <v>no</v>
      </c>
      <c r="Q81" s="807" t="str">
        <f t="shared" si="10"/>
        <v>no</v>
      </c>
    </row>
    <row r="82" spans="1:22" ht="45" customHeight="1">
      <c r="E82" s="620"/>
      <c r="F82" s="621" t="s">
        <v>388</v>
      </c>
      <c r="G82" s="622" t="s">
        <v>389</v>
      </c>
      <c r="H82" s="686">
        <v>21</v>
      </c>
      <c r="I82" s="685" t="s">
        <v>390</v>
      </c>
      <c r="J82" s="680">
        <v>3</v>
      </c>
      <c r="K82" s="1005"/>
      <c r="L82" s="976"/>
      <c r="M82" s="974"/>
      <c r="N82" s="974"/>
      <c r="O82" s="1006"/>
      <c r="P82" s="807" t="str">
        <f t="shared" si="10"/>
        <v>no</v>
      </c>
      <c r="Q82" s="807" t="str">
        <f t="shared" si="10"/>
        <v>no</v>
      </c>
    </row>
    <row r="83" spans="1:22" ht="45" customHeight="1">
      <c r="E83" s="620"/>
      <c r="F83" s="1206" t="s">
        <v>391</v>
      </c>
      <c r="G83" s="622"/>
      <c r="H83" s="686">
        <v>22.1</v>
      </c>
      <c r="I83" s="685" t="s">
        <v>481</v>
      </c>
      <c r="J83" s="680" t="s">
        <v>264</v>
      </c>
      <c r="K83" s="1005"/>
      <c r="L83" s="976"/>
      <c r="M83" s="974"/>
      <c r="N83" s="974"/>
      <c r="O83" s="1006"/>
      <c r="P83" s="807"/>
      <c r="Q83" s="807"/>
    </row>
    <row r="84" spans="1:22" ht="45" customHeight="1">
      <c r="E84" s="620"/>
      <c r="F84" s="1207"/>
      <c r="G84" s="1153" t="s">
        <v>392</v>
      </c>
      <c r="H84" s="632" t="s">
        <v>482</v>
      </c>
      <c r="I84" s="685" t="s">
        <v>394</v>
      </c>
      <c r="J84" s="680" t="str">
        <f>IF(G84=V84,1,"0")</f>
        <v>0</v>
      </c>
      <c r="K84" s="1005"/>
      <c r="L84" s="976"/>
      <c r="M84" s="974"/>
      <c r="N84" s="974"/>
      <c r="O84" s="1006"/>
      <c r="P84" s="807" t="str">
        <f t="shared" si="10"/>
        <v>no</v>
      </c>
      <c r="Q84" s="807" t="str">
        <f t="shared" si="10"/>
        <v>no</v>
      </c>
      <c r="V84" s="192" t="s">
        <v>394</v>
      </c>
    </row>
    <row r="85" spans="1:22" ht="45" customHeight="1">
      <c r="E85" s="620"/>
      <c r="F85" s="1189"/>
      <c r="G85" s="1154"/>
      <c r="H85" s="632" t="s">
        <v>483</v>
      </c>
      <c r="I85" s="622" t="s">
        <v>392</v>
      </c>
      <c r="J85" s="680">
        <f>IF(G84=V85,1,"0")</f>
        <v>1</v>
      </c>
      <c r="K85" s="1005"/>
      <c r="L85" s="997"/>
      <c r="M85" s="974"/>
      <c r="N85" s="974"/>
      <c r="O85" s="1006"/>
      <c r="P85" s="807" t="str">
        <f t="shared" si="10"/>
        <v>no</v>
      </c>
      <c r="Q85" s="807" t="str">
        <f t="shared" si="10"/>
        <v>no</v>
      </c>
      <c r="V85" s="192" t="s">
        <v>392</v>
      </c>
    </row>
    <row r="86" spans="1:22" ht="45" customHeight="1">
      <c r="E86" s="635"/>
      <c r="F86" s="635" t="s">
        <v>305</v>
      </c>
      <c r="G86" s="635"/>
      <c r="H86" s="636"/>
      <c r="I86" s="635"/>
      <c r="J86" s="636">
        <f>SUM(J75:J85)</f>
        <v>18</v>
      </c>
      <c r="K86" s="1002">
        <f>SUM(K75:K85)</f>
        <v>0</v>
      </c>
      <c r="L86" s="997" t="str">
        <f>IF(K86&gt;J86,"!","")</f>
        <v/>
      </c>
      <c r="M86" s="1003"/>
      <c r="N86" s="1003"/>
      <c r="O86" s="1003"/>
      <c r="P86" s="19"/>
      <c r="Q86" s="19"/>
    </row>
    <row r="87" spans="1:22" ht="45" customHeight="1">
      <c r="L87" s="1011"/>
      <c r="M87" s="642"/>
      <c r="N87" s="643"/>
      <c r="O87" s="643"/>
      <c r="P87" s="643"/>
      <c r="Q87" s="643"/>
    </row>
    <row r="88" spans="1:22" ht="45" customHeight="1">
      <c r="E88" s="615"/>
      <c r="F88" s="1185" t="s">
        <v>396</v>
      </c>
      <c r="G88" s="1185"/>
      <c r="H88" s="1185"/>
      <c r="I88" s="1185"/>
      <c r="J88" s="645">
        <f>5-SUM(B89:B92)</f>
        <v>5</v>
      </c>
      <c r="K88" s="975"/>
      <c r="L88" s="976"/>
      <c r="M88" s="646"/>
      <c r="N88" s="647"/>
      <c r="O88" s="647"/>
      <c r="P88" s="647"/>
      <c r="Q88" s="647"/>
    </row>
    <row r="89" spans="1:22" ht="45" customHeight="1">
      <c r="E89" s="620"/>
      <c r="F89" s="687" t="s">
        <v>397</v>
      </c>
      <c r="G89" s="688" t="s">
        <v>398</v>
      </c>
      <c r="H89" s="689">
        <v>23</v>
      </c>
      <c r="I89" s="648" t="s">
        <v>397</v>
      </c>
      <c r="J89" s="624">
        <v>3</v>
      </c>
      <c r="K89" s="1015"/>
      <c r="L89" s="997"/>
      <c r="M89" s="974"/>
      <c r="N89" s="974"/>
      <c r="O89" s="1006"/>
      <c r="P89" s="807" t="str">
        <f>IF(M89=0,"no","yes")</f>
        <v>no</v>
      </c>
      <c r="Q89" s="807" t="str">
        <f t="shared" ref="Q89:Q92" si="11">IF(N89=0,"no","yes")</f>
        <v>no</v>
      </c>
    </row>
    <row r="90" spans="1:22" ht="45" customHeight="1">
      <c r="E90" s="620"/>
      <c r="F90" s="1182" t="s">
        <v>399</v>
      </c>
      <c r="G90" s="1183" t="s">
        <v>400</v>
      </c>
      <c r="H90" s="628">
        <v>24.1</v>
      </c>
      <c r="I90" s="622" t="s">
        <v>484</v>
      </c>
      <c r="J90" s="632" t="s">
        <v>264</v>
      </c>
      <c r="K90" s="1015"/>
      <c r="L90" s="1010" t="s">
        <v>459</v>
      </c>
      <c r="M90" s="974"/>
      <c r="N90" s="974"/>
      <c r="O90" s="1006"/>
      <c r="P90" s="807" t="str">
        <f>IF(M90=0,"no","yes")</f>
        <v>no</v>
      </c>
      <c r="Q90" s="807" t="str">
        <f t="shared" si="11"/>
        <v>no</v>
      </c>
    </row>
    <row r="91" spans="1:22" ht="45" customHeight="1">
      <c r="E91" s="620"/>
      <c r="F91" s="1182"/>
      <c r="G91" s="1190"/>
      <c r="H91" s="628">
        <v>24.2</v>
      </c>
      <c r="I91" s="690" t="s">
        <v>402</v>
      </c>
      <c r="J91" s="624">
        <v>1</v>
      </c>
      <c r="K91" s="1015"/>
      <c r="L91" s="997" t="str">
        <f>IF(AND(K91&gt;0,$K$90&lt;&gt;$Y$11),"!","")</f>
        <v/>
      </c>
      <c r="M91" s="974"/>
      <c r="N91" s="974"/>
      <c r="O91" s="1006"/>
      <c r="P91" s="807" t="str">
        <f t="shared" ref="P91:P92" si="12">IF(M91=0,"no","yes")</f>
        <v>no</v>
      </c>
      <c r="Q91" s="807" t="str">
        <f t="shared" si="11"/>
        <v>no</v>
      </c>
    </row>
    <row r="92" spans="1:22" ht="45" customHeight="1">
      <c r="A92" s="604">
        <v>1</v>
      </c>
      <c r="B92" s="604">
        <f>IF(C92=TRUE,A92,0)</f>
        <v>0</v>
      </c>
      <c r="C92" s="604" t="b">
        <v>0</v>
      </c>
      <c r="E92" s="620"/>
      <c r="F92" s="1182"/>
      <c r="G92" s="1184"/>
      <c r="H92" s="628">
        <v>24.3</v>
      </c>
      <c r="I92" s="690" t="s">
        <v>403</v>
      </c>
      <c r="J92" s="624">
        <f>IF(C92=FALSE,1,0)</f>
        <v>1</v>
      </c>
      <c r="K92" s="1015"/>
      <c r="L92" s="997" t="str">
        <f>IF(AND(K92&gt;0,$K$90&lt;&gt;$Y$11),"!","")</f>
        <v/>
      </c>
      <c r="M92" s="974"/>
      <c r="N92" s="974"/>
      <c r="O92" s="1006"/>
      <c r="P92" s="807" t="str">
        <f t="shared" si="12"/>
        <v>no</v>
      </c>
      <c r="Q92" s="807" t="str">
        <f t="shared" si="11"/>
        <v>no</v>
      </c>
    </row>
    <row r="93" spans="1:22" ht="45" customHeight="1">
      <c r="E93" s="635"/>
      <c r="F93" s="635" t="s">
        <v>305</v>
      </c>
      <c r="G93" s="635"/>
      <c r="H93" s="636"/>
      <c r="I93" s="635"/>
      <c r="J93" s="636">
        <f>SUM(J89:J92)</f>
        <v>5</v>
      </c>
      <c r="K93" s="1002">
        <f>SUM(K89:K92)</f>
        <v>0</v>
      </c>
      <c r="L93" s="997" t="str">
        <f>IF(K93&gt;J93,"!","")</f>
        <v/>
      </c>
      <c r="M93" s="1003"/>
      <c r="N93" s="1003"/>
      <c r="O93" s="1003"/>
      <c r="P93" s="19"/>
      <c r="Q93" s="19"/>
    </row>
    <row r="94" spans="1:22" ht="45" customHeight="1">
      <c r="L94" s="1011"/>
      <c r="M94" s="642"/>
      <c r="N94" s="643"/>
      <c r="O94" s="643"/>
      <c r="P94" s="643"/>
      <c r="Q94" s="643"/>
    </row>
    <row r="95" spans="1:22" ht="45" customHeight="1">
      <c r="E95" s="615"/>
      <c r="F95" s="1185" t="s">
        <v>404</v>
      </c>
      <c r="G95" s="1185"/>
      <c r="H95" s="1185"/>
      <c r="I95" s="1185"/>
      <c r="J95" s="645">
        <f>5-SUM(B96:B101)</f>
        <v>5</v>
      </c>
      <c r="K95" s="975"/>
      <c r="L95" s="976"/>
      <c r="M95" s="646"/>
      <c r="N95" s="647"/>
      <c r="O95" s="647"/>
      <c r="P95" s="647"/>
      <c r="Q95" s="647"/>
    </row>
    <row r="96" spans="1:22" ht="45" customHeight="1">
      <c r="E96" s="620"/>
      <c r="F96" s="1189" t="s">
        <v>405</v>
      </c>
      <c r="G96" s="1190" t="s">
        <v>406</v>
      </c>
      <c r="H96" s="691">
        <v>25.1</v>
      </c>
      <c r="I96" s="648" t="s">
        <v>407</v>
      </c>
      <c r="J96" s="692">
        <v>1</v>
      </c>
      <c r="K96" s="1016"/>
      <c r="L96" s="1010"/>
      <c r="M96" s="974"/>
      <c r="N96" s="974"/>
      <c r="O96" s="1006"/>
      <c r="P96" s="807" t="str">
        <f t="shared" ref="P96:Q101" si="13">IF(M96=0,"no","yes")</f>
        <v>no</v>
      </c>
      <c r="Q96" s="807" t="str">
        <f t="shared" si="13"/>
        <v>no</v>
      </c>
    </row>
    <row r="97" spans="2:17" ht="45" customHeight="1">
      <c r="E97" s="620"/>
      <c r="F97" s="1182"/>
      <c r="G97" s="1184"/>
      <c r="H97" s="628">
        <v>25.2</v>
      </c>
      <c r="I97" s="648" t="s">
        <v>408</v>
      </c>
      <c r="J97" s="624">
        <v>1</v>
      </c>
      <c r="K97" s="1015"/>
      <c r="L97" s="1010"/>
      <c r="M97" s="974"/>
      <c r="N97" s="974"/>
      <c r="O97" s="1006"/>
      <c r="P97" s="807" t="str">
        <f t="shared" si="13"/>
        <v>no</v>
      </c>
      <c r="Q97" s="807" t="str">
        <f t="shared" si="13"/>
        <v>no</v>
      </c>
    </row>
    <row r="98" spans="2:17" ht="45" customHeight="1">
      <c r="E98" s="620"/>
      <c r="F98" s="1182" t="s">
        <v>409</v>
      </c>
      <c r="G98" s="1183" t="s">
        <v>410</v>
      </c>
      <c r="H98" s="628">
        <v>26.1</v>
      </c>
      <c r="I98" s="690" t="s">
        <v>411</v>
      </c>
      <c r="J98" s="632" t="s">
        <v>264</v>
      </c>
      <c r="K98" s="1015"/>
      <c r="L98" s="1010"/>
      <c r="M98" s="974"/>
      <c r="N98" s="974"/>
      <c r="O98" s="1006"/>
      <c r="P98" s="807" t="str">
        <f t="shared" si="13"/>
        <v>no</v>
      </c>
      <c r="Q98" s="807" t="str">
        <f t="shared" si="13"/>
        <v>no</v>
      </c>
    </row>
    <row r="99" spans="2:17" ht="45" customHeight="1">
      <c r="E99" s="620"/>
      <c r="F99" s="1182"/>
      <c r="G99" s="1184"/>
      <c r="H99" s="630">
        <v>26.2</v>
      </c>
      <c r="I99" s="690" t="s">
        <v>412</v>
      </c>
      <c r="J99" s="624">
        <v>1</v>
      </c>
      <c r="K99" s="1015"/>
      <c r="L99" s="997" t="str">
        <f>IF(AND(K99&gt;0,$K98&lt;&gt;$Y$11),"!","")</f>
        <v/>
      </c>
      <c r="M99" s="974"/>
      <c r="N99" s="974"/>
      <c r="O99" s="1006"/>
      <c r="P99" s="807" t="str">
        <f t="shared" si="13"/>
        <v>no</v>
      </c>
      <c r="Q99" s="807" t="str">
        <f t="shared" si="13"/>
        <v>no</v>
      </c>
    </row>
    <row r="100" spans="2:17" ht="45" customHeight="1">
      <c r="E100" s="620"/>
      <c r="F100" s="621" t="s">
        <v>413</v>
      </c>
      <c r="G100" s="622" t="s">
        <v>414</v>
      </c>
      <c r="H100" s="689">
        <v>27</v>
      </c>
      <c r="I100" s="693" t="s">
        <v>415</v>
      </c>
      <c r="J100" s="624">
        <v>1</v>
      </c>
      <c r="K100" s="1015"/>
      <c r="L100" s="1010"/>
      <c r="M100" s="974"/>
      <c r="N100" s="974"/>
      <c r="O100" s="1006"/>
      <c r="P100" s="807" t="str">
        <f t="shared" si="13"/>
        <v>no</v>
      </c>
      <c r="Q100" s="807" t="str">
        <f t="shared" si="13"/>
        <v>no</v>
      </c>
    </row>
    <row r="101" spans="2:17" ht="45" customHeight="1">
      <c r="E101" s="620"/>
      <c r="F101" s="694" t="s">
        <v>416</v>
      </c>
      <c r="G101" s="695" t="s">
        <v>417</v>
      </c>
      <c r="H101" s="696">
        <v>28</v>
      </c>
      <c r="I101" s="693" t="s">
        <v>418</v>
      </c>
      <c r="J101" s="697">
        <v>1</v>
      </c>
      <c r="K101" s="1009"/>
      <c r="L101" s="1010"/>
      <c r="M101" s="974"/>
      <c r="N101" s="974"/>
      <c r="O101" s="1006"/>
      <c r="P101" s="807" t="str">
        <f t="shared" si="13"/>
        <v>no</v>
      </c>
      <c r="Q101" s="807" t="str">
        <f t="shared" si="13"/>
        <v>no</v>
      </c>
    </row>
    <row r="102" spans="2:17" ht="45" customHeight="1">
      <c r="E102" s="635"/>
      <c r="F102" s="635" t="s">
        <v>305</v>
      </c>
      <c r="G102" s="635"/>
      <c r="H102" s="636"/>
      <c r="I102" s="635"/>
      <c r="J102" s="636">
        <f>SUM(J96:J101)</f>
        <v>5</v>
      </c>
      <c r="K102" s="1002">
        <f>SUM(K96:K101)</f>
        <v>0</v>
      </c>
      <c r="L102" s="997" t="str">
        <f>IF(K102&gt;J102,"!","")</f>
        <v/>
      </c>
      <c r="M102" s="1003"/>
      <c r="N102" s="1003"/>
      <c r="O102" s="1003"/>
      <c r="P102" s="19"/>
      <c r="Q102" s="19"/>
    </row>
    <row r="103" spans="2:17" ht="45" customHeight="1">
      <c r="F103" s="653"/>
      <c r="G103" s="653"/>
      <c r="H103" s="605"/>
      <c r="I103" s="653"/>
      <c r="J103" s="605"/>
      <c r="K103" s="995"/>
      <c r="L103" s="976"/>
      <c r="M103" s="698"/>
      <c r="N103" s="699"/>
      <c r="O103" s="699"/>
      <c r="P103" s="699"/>
      <c r="Q103" s="699"/>
    </row>
    <row r="104" spans="2:17" ht="45" customHeight="1">
      <c r="E104" s="615"/>
      <c r="F104" s="1185" t="s">
        <v>419</v>
      </c>
      <c r="G104" s="1185"/>
      <c r="H104" s="1185"/>
      <c r="I104" s="1185"/>
      <c r="J104" s="645">
        <v>10</v>
      </c>
      <c r="K104" s="977"/>
      <c r="L104" s="976"/>
      <c r="M104" s="700"/>
      <c r="N104" s="701"/>
      <c r="O104" s="701"/>
      <c r="P104" s="701"/>
      <c r="Q104" s="701"/>
    </row>
    <row r="105" spans="2:17" ht="45" customHeight="1">
      <c r="E105" s="620"/>
      <c r="F105" s="702" t="s">
        <v>420</v>
      </c>
      <c r="G105" s="703" t="s">
        <v>421</v>
      </c>
      <c r="H105" s="692">
        <v>29.1</v>
      </c>
      <c r="I105" s="704" t="s">
        <v>420</v>
      </c>
      <c r="J105" s="1186">
        <v>10</v>
      </c>
      <c r="K105" s="1016"/>
      <c r="L105" s="1010"/>
      <c r="M105" s="974"/>
      <c r="N105" s="974"/>
      <c r="O105" s="1006"/>
      <c r="P105" s="807" t="str">
        <f t="shared" ref="P105:Q109" si="14">IF(M105=0,"no","yes")</f>
        <v>no</v>
      </c>
      <c r="Q105" s="807" t="str">
        <f t="shared" si="14"/>
        <v>no</v>
      </c>
    </row>
    <row r="106" spans="2:17" ht="45" customHeight="1">
      <c r="E106" s="620"/>
      <c r="F106" s="621" t="s">
        <v>422</v>
      </c>
      <c r="G106" s="705" t="s">
        <v>423</v>
      </c>
      <c r="H106" s="624">
        <v>29.2</v>
      </c>
      <c r="I106" s="629" t="s">
        <v>422</v>
      </c>
      <c r="J106" s="1186"/>
      <c r="K106" s="1016"/>
      <c r="L106" s="1010"/>
      <c r="M106" s="974"/>
      <c r="N106" s="974"/>
      <c r="O106" s="1006"/>
      <c r="P106" s="807" t="str">
        <f t="shared" si="14"/>
        <v>no</v>
      </c>
      <c r="Q106" s="807" t="str">
        <f t="shared" si="14"/>
        <v>no</v>
      </c>
    </row>
    <row r="107" spans="2:17" ht="45" customHeight="1">
      <c r="E107" s="620"/>
      <c r="F107" s="621" t="s">
        <v>424</v>
      </c>
      <c r="G107" s="705" t="s">
        <v>425</v>
      </c>
      <c r="H107" s="624">
        <v>29.3</v>
      </c>
      <c r="I107" s="629" t="s">
        <v>424</v>
      </c>
      <c r="J107" s="1186"/>
      <c r="K107" s="1016"/>
      <c r="L107" s="1010"/>
      <c r="M107" s="974"/>
      <c r="N107" s="974"/>
      <c r="O107" s="1006"/>
      <c r="P107" s="807" t="str">
        <f t="shared" si="14"/>
        <v>no</v>
      </c>
      <c r="Q107" s="807" t="str">
        <f t="shared" si="14"/>
        <v>no</v>
      </c>
    </row>
    <row r="108" spans="2:17" ht="45" customHeight="1">
      <c r="E108" s="620"/>
      <c r="F108" s="621" t="s">
        <v>426</v>
      </c>
      <c r="G108" s="705" t="s">
        <v>427</v>
      </c>
      <c r="H108" s="624">
        <v>29.4</v>
      </c>
      <c r="I108" s="629" t="s">
        <v>426</v>
      </c>
      <c r="J108" s="1186"/>
      <c r="K108" s="1016"/>
      <c r="L108" s="1010"/>
      <c r="M108" s="974"/>
      <c r="N108" s="974"/>
      <c r="O108" s="1006"/>
      <c r="P108" s="807" t="str">
        <f t="shared" si="14"/>
        <v>no</v>
      </c>
      <c r="Q108" s="807" t="str">
        <f t="shared" si="14"/>
        <v>no</v>
      </c>
    </row>
    <row r="109" spans="2:17" ht="45" customHeight="1">
      <c r="E109" s="620"/>
      <c r="F109" s="706" t="s">
        <v>428</v>
      </c>
      <c r="G109" s="707" t="s">
        <v>429</v>
      </c>
      <c r="H109" s="697">
        <v>29.5</v>
      </c>
      <c r="I109" s="708" t="s">
        <v>428</v>
      </c>
      <c r="J109" s="1186"/>
      <c r="K109" s="1016"/>
      <c r="L109" s="1010"/>
      <c r="M109" s="974"/>
      <c r="N109" s="974"/>
      <c r="O109" s="1006"/>
      <c r="P109" s="807" t="str">
        <f t="shared" si="14"/>
        <v>no</v>
      </c>
      <c r="Q109" s="807" t="str">
        <f t="shared" si="14"/>
        <v>no</v>
      </c>
    </row>
    <row r="110" spans="2:17" ht="45" customHeight="1">
      <c r="E110" s="635"/>
      <c r="F110" s="635" t="s">
        <v>305</v>
      </c>
      <c r="G110" s="635"/>
      <c r="H110" s="636"/>
      <c r="I110" s="635"/>
      <c r="J110" s="636">
        <f>SUM(J105)</f>
        <v>10</v>
      </c>
      <c r="K110" s="1002">
        <f>IF(SUM(K105:K109)&gt;10,10,SUM(K105:K109))</f>
        <v>0</v>
      </c>
      <c r="L110" s="997" t="str">
        <f>IF(K110&gt;J110,"!","")</f>
        <v/>
      </c>
      <c r="M110" s="1017"/>
      <c r="N110" s="1017"/>
      <c r="O110" s="1003"/>
      <c r="P110" s="19"/>
      <c r="Q110" s="19"/>
    </row>
    <row r="111" spans="2:17" ht="45" customHeight="1">
      <c r="F111" s="653"/>
      <c r="G111" s="653"/>
      <c r="H111" s="605"/>
      <c r="I111" s="653"/>
      <c r="J111" s="605"/>
      <c r="K111" s="995"/>
      <c r="L111" s="1018"/>
      <c r="M111" s="642"/>
      <c r="N111" s="643"/>
      <c r="O111" s="643"/>
    </row>
    <row r="112" spans="2:17" ht="45" customHeight="1">
      <c r="B112" s="709" t="s">
        <v>430</v>
      </c>
      <c r="F112" s="710"/>
      <c r="G112" s="710"/>
      <c r="H112" s="711"/>
      <c r="I112" s="712" t="s">
        <v>431</v>
      </c>
      <c r="J112" s="608" t="s">
        <v>432</v>
      </c>
      <c r="K112" s="971" t="s">
        <v>433</v>
      </c>
      <c r="L112" s="978"/>
      <c r="M112" s="1019"/>
      <c r="N112" s="1020"/>
      <c r="O112" s="1020"/>
    </row>
    <row r="113" spans="2:24" ht="45" customHeight="1">
      <c r="B113" s="604">
        <f>SUM(B10:B101)</f>
        <v>0</v>
      </c>
      <c r="F113" s="611"/>
      <c r="G113" s="611"/>
      <c r="H113" s="605"/>
      <c r="I113" s="614" t="s">
        <v>434</v>
      </c>
      <c r="J113" s="713">
        <f>100-B113</f>
        <v>100</v>
      </c>
      <c r="K113" s="1021">
        <f>K27+K47+K54+K63+K72+K86+K93+K102</f>
        <v>0</v>
      </c>
      <c r="L113" s="978"/>
      <c r="M113" s="1022"/>
      <c r="N113" s="1023"/>
      <c r="O113" s="1023"/>
    </row>
    <row r="114" spans="2:24" ht="45" customHeight="1">
      <c r="F114" s="611"/>
      <c r="G114" s="611"/>
      <c r="H114" s="714"/>
      <c r="I114" s="614" t="s">
        <v>435</v>
      </c>
      <c r="J114" s="715"/>
      <c r="K114" s="1024">
        <f>K113/J113*100</f>
        <v>0</v>
      </c>
      <c r="L114" s="979"/>
      <c r="M114" s="1022"/>
      <c r="N114" s="1023"/>
      <c r="O114" s="1023"/>
    </row>
    <row r="115" spans="2:24" ht="45" customHeight="1">
      <c r="F115" s="611"/>
      <c r="G115" s="611"/>
      <c r="H115" s="605"/>
      <c r="I115" s="614" t="s">
        <v>436</v>
      </c>
      <c r="J115" s="713">
        <v>10</v>
      </c>
      <c r="K115" s="1021">
        <f>K110</f>
        <v>0</v>
      </c>
      <c r="L115" s="980"/>
      <c r="M115" s="1022"/>
      <c r="N115" s="1023"/>
      <c r="O115" s="1023"/>
    </row>
    <row r="116" spans="2:24" ht="45" customHeight="1">
      <c r="I116" s="614" t="s">
        <v>237</v>
      </c>
      <c r="J116" s="716"/>
      <c r="K116" s="1024">
        <f>K114+K115</f>
        <v>0</v>
      </c>
      <c r="M116" s="642"/>
      <c r="N116" s="643"/>
      <c r="O116" s="643"/>
    </row>
    <row r="117" spans="2:24">
      <c r="M117" s="642"/>
      <c r="N117" s="643"/>
      <c r="O117" s="643"/>
    </row>
    <row r="118" spans="2:24">
      <c r="M118" s="642"/>
      <c r="N118" s="643"/>
      <c r="O118" s="643"/>
    </row>
    <row r="119" spans="2:24">
      <c r="M119" s="642"/>
      <c r="N119" s="643"/>
      <c r="O119" s="643"/>
    </row>
    <row r="120" spans="2:24" ht="27.95">
      <c r="I120" s="230" t="s">
        <v>437</v>
      </c>
      <c r="J120" s="243"/>
      <c r="K120" s="981"/>
      <c r="L120" s="580"/>
      <c r="M120" s="982" t="s">
        <v>438</v>
      </c>
      <c r="N120" s="982" t="s">
        <v>439</v>
      </c>
      <c r="O120" s="580"/>
      <c r="P120" s="164"/>
      <c r="Q120" s="164"/>
      <c r="R120" s="164"/>
      <c r="S120" s="164"/>
      <c r="T120" s="164"/>
      <c r="U120" s="164"/>
      <c r="V120" s="808"/>
      <c r="W120" s="808"/>
      <c r="X120" s="808"/>
    </row>
    <row r="121" spans="2:24" ht="33.950000000000003" customHeight="1">
      <c r="D121" s="665" t="s">
        <v>14</v>
      </c>
      <c r="I121" s="809" t="s">
        <v>440</v>
      </c>
      <c r="J121" s="800"/>
      <c r="K121" s="983"/>
      <c r="L121" s="580"/>
      <c r="M121" s="984">
        <f>SUMIF(P10:P109,"Yes",M10:M109)</f>
        <v>0</v>
      </c>
      <c r="N121" s="984">
        <f>SUMIF(Q10:Q109,"Yes",N10:N109)</f>
        <v>0</v>
      </c>
      <c r="O121" s="580"/>
      <c r="P121" s="164"/>
      <c r="Q121" s="164"/>
      <c r="R121" s="164"/>
      <c r="S121" s="164"/>
      <c r="T121" s="164"/>
      <c r="U121" s="164"/>
      <c r="V121" s="808"/>
      <c r="W121" s="808"/>
      <c r="X121" s="808"/>
    </row>
    <row r="122" spans="2:24" ht="33.950000000000003" customHeight="1">
      <c r="D122" s="665" t="s">
        <v>14</v>
      </c>
      <c r="I122" s="809" t="s">
        <v>441</v>
      </c>
      <c r="J122" s="800"/>
      <c r="K122" s="983"/>
      <c r="L122" s="580"/>
      <c r="M122" s="1025"/>
      <c r="N122" s="1025"/>
      <c r="O122" s="580"/>
      <c r="P122" s="164"/>
      <c r="Q122" s="164"/>
      <c r="R122" s="164"/>
      <c r="S122" s="164"/>
      <c r="T122" s="164"/>
      <c r="U122" s="164"/>
      <c r="V122" s="808"/>
      <c r="W122" s="808"/>
    </row>
    <row r="123" spans="2:24" ht="33.950000000000003" customHeight="1">
      <c r="D123" s="665" t="s">
        <v>14</v>
      </c>
      <c r="I123" s="520" t="s">
        <v>442</v>
      </c>
      <c r="J123" s="800"/>
      <c r="K123" s="985">
        <f>K121+K122</f>
        <v>0</v>
      </c>
      <c r="L123" s="580"/>
      <c r="M123" s="1025"/>
      <c r="N123" s="1025"/>
      <c r="O123" s="580"/>
      <c r="P123" s="164"/>
      <c r="Q123" s="164"/>
      <c r="R123" s="164"/>
      <c r="S123" s="164"/>
      <c r="T123" s="164"/>
      <c r="U123" s="164"/>
      <c r="V123" s="808"/>
      <c r="W123" s="808"/>
    </row>
    <row r="124" spans="2:24" ht="33.950000000000003" customHeight="1">
      <c r="D124" s="665" t="s">
        <v>14</v>
      </c>
      <c r="I124" s="809" t="s">
        <v>443</v>
      </c>
      <c r="J124" s="800"/>
      <c r="K124" s="983"/>
      <c r="L124" s="580"/>
      <c r="M124" s="1025"/>
      <c r="N124" s="1025"/>
      <c r="O124" s="580"/>
      <c r="P124" s="164"/>
      <c r="Q124" s="164"/>
      <c r="R124" s="164"/>
      <c r="S124" s="164"/>
      <c r="T124" s="164"/>
      <c r="U124" s="164"/>
      <c r="V124" s="808"/>
      <c r="W124" s="808"/>
    </row>
    <row r="125" spans="2:24" ht="33.950000000000003" customHeight="1">
      <c r="D125" s="665" t="s">
        <v>14</v>
      </c>
      <c r="I125" s="520" t="s">
        <v>107</v>
      </c>
      <c r="J125" s="800"/>
      <c r="K125" s="985">
        <f>M121</f>
        <v>0</v>
      </c>
      <c r="L125" s="580"/>
      <c r="M125" s="1025"/>
      <c r="N125" s="1025"/>
      <c r="O125" s="580"/>
      <c r="P125" s="164"/>
      <c r="Q125" s="164"/>
      <c r="R125" s="164"/>
      <c r="S125" s="164"/>
      <c r="T125" s="164"/>
      <c r="U125" s="164"/>
      <c r="V125" s="808"/>
      <c r="W125" s="808"/>
    </row>
    <row r="126" spans="2:24" ht="33.950000000000003" customHeight="1">
      <c r="D126" s="665" t="s">
        <v>14</v>
      </c>
      <c r="I126" s="520" t="s">
        <v>444</v>
      </c>
      <c r="J126" s="800"/>
      <c r="K126" s="985">
        <f>N121</f>
        <v>0</v>
      </c>
      <c r="L126" s="580"/>
      <c r="M126" s="1025"/>
      <c r="N126" s="1025"/>
      <c r="O126" s="580"/>
      <c r="P126" s="164"/>
      <c r="Q126" s="164"/>
      <c r="R126" s="164"/>
      <c r="S126" s="164"/>
      <c r="T126" s="164"/>
      <c r="U126" s="164"/>
      <c r="V126" s="808"/>
      <c r="W126" s="808"/>
    </row>
    <row r="127" spans="2:24" ht="33.950000000000003" customHeight="1">
      <c r="I127" s="520" t="s">
        <v>445</v>
      </c>
      <c r="J127" s="800"/>
      <c r="K127" s="985">
        <f>SUM(K124:K126)</f>
        <v>0</v>
      </c>
      <c r="L127" s="580"/>
      <c r="M127" s="1025"/>
      <c r="N127" s="1025"/>
      <c r="O127" s="580"/>
      <c r="P127" s="164"/>
      <c r="Q127" s="164"/>
      <c r="R127" s="164"/>
      <c r="S127" s="164"/>
      <c r="T127" s="164"/>
      <c r="U127" s="164"/>
      <c r="V127" s="808"/>
      <c r="W127" s="808"/>
    </row>
    <row r="128" spans="2:24" ht="33.950000000000003" customHeight="1">
      <c r="I128" s="506" t="s">
        <v>112</v>
      </c>
      <c r="J128" s="507"/>
      <c r="K128" s="986">
        <f>IFERROR(K127/K123,0)</f>
        <v>0</v>
      </c>
      <c r="L128" s="580"/>
      <c r="M128" s="1025"/>
      <c r="N128" s="1025"/>
      <c r="O128" s="580"/>
      <c r="P128" s="164"/>
      <c r="Q128" s="164"/>
      <c r="R128" s="164"/>
      <c r="S128" s="164"/>
      <c r="T128" s="164"/>
      <c r="U128" s="164"/>
      <c r="V128" s="808"/>
      <c r="W128" s="808"/>
    </row>
    <row r="129" spans="9:23" ht="33.950000000000003" customHeight="1">
      <c r="I129" s="814"/>
      <c r="J129" s="538"/>
      <c r="K129" s="987"/>
      <c r="L129" s="580"/>
      <c r="M129" s="1025"/>
      <c r="N129" s="1025"/>
      <c r="O129" s="580"/>
      <c r="P129" s="164"/>
      <c r="Q129" s="164"/>
      <c r="R129" s="164"/>
      <c r="S129" s="164"/>
      <c r="T129" s="164"/>
      <c r="U129" s="164"/>
      <c r="V129" s="808"/>
      <c r="W129" s="808"/>
    </row>
    <row r="130" spans="9:23">
      <c r="I130" s="446" t="s">
        <v>101</v>
      </c>
      <c r="J130" s="447"/>
      <c r="K130" s="988" t="s">
        <v>446</v>
      </c>
      <c r="L130" s="1026"/>
      <c r="M130" s="1025"/>
      <c r="N130" s="1025"/>
      <c r="O130" s="580"/>
      <c r="P130" s="164"/>
      <c r="Q130" s="164"/>
      <c r="R130" s="164"/>
      <c r="S130" s="164"/>
      <c r="T130" s="164"/>
      <c r="U130" s="164"/>
      <c r="W130" s="808"/>
    </row>
    <row r="131" spans="9:23" ht="29.1" customHeight="1">
      <c r="I131" s="529" t="s">
        <v>447</v>
      </c>
      <c r="J131" s="530" t="s">
        <v>448</v>
      </c>
      <c r="K131" s="1179" t="str">
        <f>IF(J131="Yes","No Issues", IF(J131="No","Contact project team","Check scorecard points"))</f>
        <v>Contact project team</v>
      </c>
      <c r="L131" s="1179"/>
      <c r="M131" s="1025"/>
      <c r="N131" s="1025"/>
      <c r="O131" s="990"/>
    </row>
    <row r="132" spans="9:23" ht="29.1" customHeight="1">
      <c r="I132" s="529" t="s">
        <v>449</v>
      </c>
      <c r="J132" s="530">
        <f>COUNTA(K10:K26,K30:K46,K50:K53,K57:K62,K66:K71,K75:K85,K89:K92,K96:K101,K105:K109)+COUNTIF(C4:C109,"TRUE")</f>
        <v>0</v>
      </c>
      <c r="K132" s="1179" t="str">
        <f>IF(J132=0,"No credits entered","No Issues")</f>
        <v>No credits entered</v>
      </c>
      <c r="L132" s="1179"/>
      <c r="M132" s="1025"/>
      <c r="N132" s="1025"/>
      <c r="O132" s="990"/>
      <c r="V132" s="808"/>
      <c r="W132" s="808"/>
    </row>
    <row r="133" spans="9:23" ht="29.1" customHeight="1">
      <c r="I133" s="529" t="s">
        <v>450</v>
      </c>
      <c r="J133" s="530">
        <f>COUNTIF(C11:C109,"TRUE")</f>
        <v>0</v>
      </c>
      <c r="K133" s="1179" t="str">
        <f>IF(J133=0,"No Issues - No NA credits claimed",CONCATENATE("No Issues - ",J133," Implementation Costs NOT needed"))</f>
        <v>No Issues - No NA credits claimed</v>
      </c>
      <c r="L133" s="1179"/>
      <c r="M133" s="1025"/>
      <c r="N133" s="1025"/>
      <c r="O133" s="990"/>
      <c r="V133" s="808"/>
      <c r="W133" s="808"/>
    </row>
    <row r="134" spans="9:23" ht="29.1" customHeight="1">
      <c r="I134" s="529" t="s">
        <v>451</v>
      </c>
      <c r="J134" s="530">
        <f>COUNTIF(P10:P109,"Yes")</f>
        <v>0</v>
      </c>
      <c r="K134" s="1179" t="str">
        <f>IF(J134&lt;J132,CONCATENATE(J132-J134," documentation cost missing"),IF(J134=0,"No credits entered",IF(COUNTIF(M10:M109,0)&gt;0,CONCATENATE(COUNTIF(M10:M109,0)," $0 cost(s) provided. Enter a value or explain the $0 value in the Comments column."),"No Issues")))</f>
        <v>No credits entered</v>
      </c>
      <c r="L134" s="1179"/>
      <c r="M134" s="1025"/>
      <c r="N134" s="1025"/>
      <c r="O134" s="990"/>
      <c r="V134" s="540"/>
      <c r="W134" s="593"/>
    </row>
    <row r="135" spans="9:23" ht="29.1" customHeight="1">
      <c r="I135" s="529" t="s">
        <v>452</v>
      </c>
      <c r="J135" s="530">
        <f>COUNTIF(Q10:Q109,"Yes")</f>
        <v>0</v>
      </c>
      <c r="K135" s="1179" t="str">
        <f>IF(J135&lt;(J132-J133),CONCATENATE(J132-J135-J133," implementation cost missing"),IF(J135=0,"No credits entered",IF(COUNTIF(N10:N109,0)&gt;ROUND(0.25*J132,0),CONCATENATE(COUNTIF(N10:N109,0)," $0 cost(s) provided. Enter a value or explain the $0 value in the Comments column."),"No Issues")))</f>
        <v>No credits entered</v>
      </c>
      <c r="L135" s="1179"/>
      <c r="M135" s="1025"/>
      <c r="N135" s="1025"/>
      <c r="O135" s="990"/>
      <c r="V135" s="539"/>
      <c r="W135" s="593"/>
    </row>
    <row r="136" spans="9:23" ht="29.1" customHeight="1">
      <c r="I136" s="529" t="s">
        <v>453</v>
      </c>
      <c r="J136" s="530" t="str">
        <f>IF(K121&gt;0,"Yes","No")</f>
        <v>No</v>
      </c>
      <c r="K136" s="1179" t="str">
        <f>IF(J136="No","Total Design Cost missing","No Issues")</f>
        <v>Total Design Cost missing</v>
      </c>
      <c r="L136" s="1179"/>
      <c r="M136" s="1025"/>
      <c r="N136" s="1025"/>
      <c r="O136" s="990"/>
      <c r="W136" s="808"/>
    </row>
    <row r="137" spans="9:23" ht="29.1" customHeight="1">
      <c r="I137" s="529" t="s">
        <v>454</v>
      </c>
      <c r="J137" s="530" t="str">
        <f>IF(K122&gt;0,"Yes","No")</f>
        <v>No</v>
      </c>
      <c r="K137" s="1179" t="str">
        <f>IF(J137="No","Total Construction Cost missing","No Issues")</f>
        <v>Total Construction Cost missing</v>
      </c>
      <c r="L137" s="1179"/>
      <c r="M137" s="1025"/>
      <c r="N137" s="1025"/>
      <c r="O137" s="990"/>
      <c r="W137" s="808"/>
    </row>
    <row r="138" spans="9:23" ht="29.1" customHeight="1">
      <c r="I138" s="529" t="s">
        <v>455</v>
      </c>
      <c r="J138" s="530" t="str">
        <f>IF(K124&gt;0,"Yes","No")</f>
        <v>No</v>
      </c>
      <c r="K138" s="1179" t="str">
        <f>IF(J138="No","Green Star Certification Fees missing","No Issues")</f>
        <v>Green Star Certification Fees missing</v>
      </c>
      <c r="L138" s="1179"/>
      <c r="M138" s="1025"/>
      <c r="N138" s="1025"/>
      <c r="O138" s="580"/>
      <c r="P138" s="164"/>
      <c r="Q138" s="164"/>
      <c r="R138" s="164"/>
      <c r="S138" s="164"/>
      <c r="T138" s="164"/>
      <c r="U138" s="164"/>
      <c r="V138" s="808"/>
      <c r="W138" s="808"/>
    </row>
    <row r="139" spans="9:23" ht="29.1" customHeight="1">
      <c r="I139" s="529" t="s">
        <v>112</v>
      </c>
      <c r="J139" s="816">
        <f>K128</f>
        <v>0</v>
      </c>
      <c r="K139" s="1179" t="str">
        <f>IF(J139=0,"Additional Costs have not been entered yet",IF(J139&gt;=0.1,"Implementing Green Star cost is unusually high. Check that only additional costs incurred as a result of pursuing a rating were included in the Green Star Certification Fees.","No Issues"))</f>
        <v>Additional Costs have not been entered yet</v>
      </c>
      <c r="L139" s="1179"/>
      <c r="M139" s="1025"/>
      <c r="N139" s="1025"/>
      <c r="O139" s="580"/>
      <c r="P139" s="164"/>
      <c r="Q139" s="164"/>
      <c r="R139" s="164"/>
      <c r="S139" s="164"/>
      <c r="T139" s="164"/>
      <c r="U139" s="164"/>
      <c r="V139" s="542"/>
      <c r="W139" s="593"/>
    </row>
    <row r="140" spans="9:23" ht="29.1" customHeight="1">
      <c r="I140" s="597" t="s">
        <v>188</v>
      </c>
      <c r="J140" s="597"/>
      <c r="K140" s="1180" t="s">
        <v>456</v>
      </c>
      <c r="L140" s="1180"/>
      <c r="M140" s="1025"/>
      <c r="N140" s="1025"/>
      <c r="O140" s="580"/>
      <c r="P140" s="164"/>
      <c r="Q140" s="164"/>
      <c r="R140" s="164"/>
      <c r="S140" s="164"/>
      <c r="T140" s="164"/>
      <c r="U140" s="164"/>
      <c r="V140" s="542"/>
      <c r="W140" s="541"/>
    </row>
    <row r="141" spans="9:23" ht="18">
      <c r="I141" s="115" t="s">
        <v>457</v>
      </c>
      <c r="J141" s="1175" t="str">
        <f>IF(OR(COUNTIF(K131:L139,"No Issues*")=9,K140="YES"),"1 POINT AWARDED", "1 POINT NOT AWARDED")</f>
        <v>1 POINT AWARDED</v>
      </c>
      <c r="K141" s="1175"/>
      <c r="L141" s="1175"/>
      <c r="M141" s="1025"/>
      <c r="N141" s="1025"/>
      <c r="O141" s="580"/>
      <c r="P141" s="164"/>
      <c r="Q141" s="164"/>
      <c r="R141" s="164"/>
      <c r="S141" s="164"/>
      <c r="T141" s="164"/>
      <c r="U141" s="164"/>
      <c r="V141" s="808"/>
      <c r="W141" s="808"/>
    </row>
  </sheetData>
  <sheetProtection algorithmName="SHA-512" hashValue="LdS/jAfNPLIP5H1RAY/s3UmClvl5l3NBCxbtWVhJp8VYzRwX1tAV6QerB+pYPc4NSTap53KLDHjxui4Sz2vqvQ==" saltValue="eVMrKa1yPyShgyhV42Mwrg==" spinCount="100000" sheet="1" objects="1" scenarios="1"/>
  <mergeCells count="65">
    <mergeCell ref="K139:L139"/>
    <mergeCell ref="K140:L140"/>
    <mergeCell ref="J141:L141"/>
    <mergeCell ref="K133:L133"/>
    <mergeCell ref="K134:L134"/>
    <mergeCell ref="K135:L135"/>
    <mergeCell ref="K136:L136"/>
    <mergeCell ref="K137:L137"/>
    <mergeCell ref="K138:L138"/>
    <mergeCell ref="K132:L132"/>
    <mergeCell ref="F88:I88"/>
    <mergeCell ref="F90:F92"/>
    <mergeCell ref="G90:G92"/>
    <mergeCell ref="F95:I95"/>
    <mergeCell ref="F96:F97"/>
    <mergeCell ref="G96:G97"/>
    <mergeCell ref="F98:F99"/>
    <mergeCell ref="G98:G99"/>
    <mergeCell ref="F104:I104"/>
    <mergeCell ref="J105:J109"/>
    <mergeCell ref="K131:L131"/>
    <mergeCell ref="F75:F78"/>
    <mergeCell ref="G75:G76"/>
    <mergeCell ref="F83:F85"/>
    <mergeCell ref="F50:F51"/>
    <mergeCell ref="G50:G51"/>
    <mergeCell ref="F52:F53"/>
    <mergeCell ref="G52:G53"/>
    <mergeCell ref="F57:F62"/>
    <mergeCell ref="G57:G62"/>
    <mergeCell ref="F66:F71"/>
    <mergeCell ref="G66:G71"/>
    <mergeCell ref="F79:F81"/>
    <mergeCell ref="G79:G81"/>
    <mergeCell ref="F22:F24"/>
    <mergeCell ref="G22:G24"/>
    <mergeCell ref="F49:I49"/>
    <mergeCell ref="F33:F35"/>
    <mergeCell ref="G33:G35"/>
    <mergeCell ref="F36:F39"/>
    <mergeCell ref="G36:G39"/>
    <mergeCell ref="F40:F42"/>
    <mergeCell ref="G40:G42"/>
    <mergeCell ref="F43:F44"/>
    <mergeCell ref="G43:G44"/>
    <mergeCell ref="F45:F46"/>
    <mergeCell ref="G45:G46"/>
    <mergeCell ref="F30:F32"/>
    <mergeCell ref="G30:G32"/>
    <mergeCell ref="M7:N7"/>
    <mergeCell ref="F25:F26"/>
    <mergeCell ref="G25:G26"/>
    <mergeCell ref="F29:I29"/>
    <mergeCell ref="F2:I2"/>
    <mergeCell ref="G3:H3"/>
    <mergeCell ref="G4:H4"/>
    <mergeCell ref="G5:H5"/>
    <mergeCell ref="F11:F13"/>
    <mergeCell ref="G11:G13"/>
    <mergeCell ref="F14:F16"/>
    <mergeCell ref="G14:G16"/>
    <mergeCell ref="F18:F19"/>
    <mergeCell ref="G18:G19"/>
    <mergeCell ref="F20:F21"/>
    <mergeCell ref="G20:G21"/>
  </mergeCells>
  <phoneticPr fontId="97" type="noConversion"/>
  <conditionalFormatting sqref="H28:J28">
    <cfRule type="expression" dxfId="428" priority="106">
      <formula>#REF!=0</formula>
    </cfRule>
  </conditionalFormatting>
  <conditionalFormatting sqref="G54">
    <cfRule type="expression" dxfId="427" priority="105">
      <formula>$J$53=0</formula>
    </cfRule>
  </conditionalFormatting>
  <conditionalFormatting sqref="K23:K24">
    <cfRule type="expression" dxfId="426" priority="104">
      <formula>$G$22=$I$23</formula>
    </cfRule>
  </conditionalFormatting>
  <conditionalFormatting sqref="K98">
    <cfRule type="expression" dxfId="425" priority="103">
      <formula>#REF!=#REF!</formula>
    </cfRule>
  </conditionalFormatting>
  <conditionalFormatting sqref="H30:K30 K31:K46 E50:E53 E89:E92 E75:E85">
    <cfRule type="expression" dxfId="424" priority="102">
      <formula>$C30=TRUE</formula>
    </cfRule>
  </conditionalFormatting>
  <conditionalFormatting sqref="H31:J31">
    <cfRule type="expression" dxfId="423" priority="101">
      <formula>$C31=TRUE</formula>
    </cfRule>
  </conditionalFormatting>
  <conditionalFormatting sqref="H32:J35">
    <cfRule type="expression" dxfId="422" priority="100">
      <formula>$C32=TRUE</formula>
    </cfRule>
  </conditionalFormatting>
  <conditionalFormatting sqref="H37:J39">
    <cfRule type="expression" dxfId="421" priority="99">
      <formula>$C37=TRUE</formula>
    </cfRule>
  </conditionalFormatting>
  <conditionalFormatting sqref="H41:J46">
    <cfRule type="expression" dxfId="420" priority="98">
      <formula>$C41=TRUE</formula>
    </cfRule>
  </conditionalFormatting>
  <conditionalFormatting sqref="H70:K70">
    <cfRule type="expression" dxfId="419" priority="97">
      <formula>$C$70=TRUE</formula>
    </cfRule>
  </conditionalFormatting>
  <conditionalFormatting sqref="H71:K71">
    <cfRule type="expression" dxfId="418" priority="96">
      <formula>$C$71=TRUE</formula>
    </cfRule>
  </conditionalFormatting>
  <conditionalFormatting sqref="H92:K92">
    <cfRule type="expression" dxfId="417" priority="95">
      <formula>$C$92=TRUE</formula>
    </cfRule>
  </conditionalFormatting>
  <conditionalFormatting sqref="H79:K79">
    <cfRule type="expression" dxfId="416" priority="93">
      <formula>$C$79=TRUE</formula>
    </cfRule>
  </conditionalFormatting>
  <conditionalFormatting sqref="H80:K80">
    <cfRule type="expression" dxfId="415" priority="92">
      <formula>$C$80=TRUE</formula>
    </cfRule>
  </conditionalFormatting>
  <conditionalFormatting sqref="H81:K81">
    <cfRule type="expression" dxfId="414" priority="91">
      <formula>$C$81=TRUE</formula>
    </cfRule>
  </conditionalFormatting>
  <conditionalFormatting sqref="H50:K51">
    <cfRule type="expression" dxfId="413" priority="90">
      <formula>#REF!&lt;&gt;#REF!</formula>
    </cfRule>
  </conditionalFormatting>
  <conditionalFormatting sqref="E30:E46">
    <cfRule type="expression" dxfId="412" priority="89">
      <formula>$C30=TRUE</formula>
    </cfRule>
  </conditionalFormatting>
  <conditionalFormatting sqref="K58">
    <cfRule type="expression" dxfId="411" priority="88">
      <formula>$C58=TRUE</formula>
    </cfRule>
  </conditionalFormatting>
  <conditionalFormatting sqref="E66:E71">
    <cfRule type="expression" dxfId="410" priority="87">
      <formula>$C66=TRUE</formula>
    </cfRule>
  </conditionalFormatting>
  <conditionalFormatting sqref="E96:E101">
    <cfRule type="expression" dxfId="409" priority="85">
      <formula>$C96=TRUE</formula>
    </cfRule>
  </conditionalFormatting>
  <conditionalFormatting sqref="E105:E109">
    <cfRule type="expression" dxfId="408" priority="84">
      <formula>$C105=TRUE</formula>
    </cfRule>
  </conditionalFormatting>
  <conditionalFormatting sqref="K59">
    <cfRule type="expression" dxfId="407" priority="83">
      <formula>$C$59=TRUE</formula>
    </cfRule>
  </conditionalFormatting>
  <conditionalFormatting sqref="H57:J62">
    <cfRule type="expression" dxfId="406" priority="81">
      <formula>#REF!&lt;&gt;#REF!</formula>
    </cfRule>
  </conditionalFormatting>
  <conditionalFormatting sqref="M28:O29 M48:O49 M55:O56 M64:O65 M73:O74 M87:O88 M94:O95 M103:O104">
    <cfRule type="expression" dxfId="405" priority="107">
      <formula>#REF!=#REF!</formula>
    </cfRule>
    <cfRule type="expression" dxfId="404" priority="108">
      <formula>#REF!=#REF!</formula>
    </cfRule>
  </conditionalFormatting>
  <conditionalFormatting sqref="H66:J66">
    <cfRule type="expression" dxfId="403" priority="109">
      <formula>$G$66=$V$66</formula>
    </cfRule>
  </conditionalFormatting>
  <conditionalFormatting sqref="H67:J71">
    <cfRule type="expression" dxfId="402" priority="110">
      <formula>$G$66=$V$67</formula>
    </cfRule>
  </conditionalFormatting>
  <conditionalFormatting sqref="K67:K71">
    <cfRule type="expression" dxfId="401" priority="111">
      <formula>$G$66=$V$67</formula>
    </cfRule>
  </conditionalFormatting>
  <conditionalFormatting sqref="K66">
    <cfRule type="expression" dxfId="400" priority="112">
      <formula>$G$66=$V$66</formula>
    </cfRule>
  </conditionalFormatting>
  <conditionalFormatting sqref="K96:K97 K99:K101 K105:K109">
    <cfRule type="expression" dxfId="399" priority="113">
      <formula>$G$74=$V$75</formula>
    </cfRule>
  </conditionalFormatting>
  <conditionalFormatting sqref="H25:K25">
    <cfRule type="expression" dxfId="398" priority="116">
      <formula>$G$25=$V$12</formula>
    </cfRule>
  </conditionalFormatting>
  <conditionalFormatting sqref="H26:K26">
    <cfRule type="expression" dxfId="397" priority="117">
      <formula>$G$25=$V$11</formula>
    </cfRule>
  </conditionalFormatting>
  <conditionalFormatting sqref="H52:K52 K57:K62">
    <cfRule type="expression" dxfId="396" priority="118">
      <formula>$G$52=$V$53</formula>
    </cfRule>
  </conditionalFormatting>
  <conditionalFormatting sqref="H53:K53">
    <cfRule type="expression" dxfId="395" priority="119">
      <formula>$G$52=$V$52</formula>
    </cfRule>
  </conditionalFormatting>
  <conditionalFormatting sqref="H84:K84">
    <cfRule type="expression" dxfId="394" priority="120">
      <formula>$G$84=$V$85</formula>
    </cfRule>
  </conditionalFormatting>
  <conditionalFormatting sqref="H85:K85">
    <cfRule type="expression" dxfId="393" priority="121">
      <formula>$G$84=$V$84</formula>
    </cfRule>
  </conditionalFormatting>
  <conditionalFormatting sqref="G2:H3 G6:H6 G4:G5">
    <cfRule type="containsText" dxfId="392" priority="80" operator="containsText" text="Please">
      <formula>NOT(ISERROR(SEARCH("Please",G2)))</formula>
    </cfRule>
  </conditionalFormatting>
  <conditionalFormatting sqref="M10:Q26 M75:Q85">
    <cfRule type="expression" dxfId="391" priority="79">
      <formula>$K10=""</formula>
    </cfRule>
  </conditionalFormatting>
  <conditionalFormatting sqref="O10:O26 Q10:Q26 Q75:Q85">
    <cfRule type="expression" dxfId="390" priority="78">
      <formula>$C10=TRUE</formula>
    </cfRule>
  </conditionalFormatting>
  <conditionalFormatting sqref="O27">
    <cfRule type="expression" dxfId="389" priority="77">
      <formula>$C27=TRUE</formula>
    </cfRule>
  </conditionalFormatting>
  <conditionalFormatting sqref="M30:O46">
    <cfRule type="expression" dxfId="388" priority="76">
      <formula>$K30=""</formula>
    </cfRule>
  </conditionalFormatting>
  <conditionalFormatting sqref="O30:O46">
    <cfRule type="expression" dxfId="387" priority="75">
      <formula>$C30=TRUE</formula>
    </cfRule>
  </conditionalFormatting>
  <conditionalFormatting sqref="O47">
    <cfRule type="expression" dxfId="386" priority="74">
      <formula>$C47=TRUE</formula>
    </cfRule>
  </conditionalFormatting>
  <conditionalFormatting sqref="M50:O53">
    <cfRule type="expression" dxfId="385" priority="73">
      <formula>$K50=""</formula>
    </cfRule>
  </conditionalFormatting>
  <conditionalFormatting sqref="O50:O53">
    <cfRule type="expression" dxfId="384" priority="72">
      <formula>$C50=TRUE</formula>
    </cfRule>
  </conditionalFormatting>
  <conditionalFormatting sqref="O54 O57:O61 O75:O77 O81:O83">
    <cfRule type="expression" dxfId="383" priority="71">
      <formula>$C52=TRUE</formula>
    </cfRule>
  </conditionalFormatting>
  <conditionalFormatting sqref="M57:O62">
    <cfRule type="expression" dxfId="382" priority="69">
      <formula>$K57=""</formula>
    </cfRule>
  </conditionalFormatting>
  <conditionalFormatting sqref="O62:O63 O78 O84:O85">
    <cfRule type="expression" dxfId="381" priority="68">
      <formula>$C59=TRUE</formula>
    </cfRule>
  </conditionalFormatting>
  <conditionalFormatting sqref="M66:O71">
    <cfRule type="expression" dxfId="380" priority="66">
      <formula>$K66=""</formula>
    </cfRule>
  </conditionalFormatting>
  <conditionalFormatting sqref="O66:O71">
    <cfRule type="expression" dxfId="379" priority="67">
      <formula>$C64=TRUE</formula>
    </cfRule>
  </conditionalFormatting>
  <conditionalFormatting sqref="O72">
    <cfRule type="expression" dxfId="378" priority="65">
      <formula>$C70=TRUE</formula>
    </cfRule>
  </conditionalFormatting>
  <conditionalFormatting sqref="O86">
    <cfRule type="expression" dxfId="377" priority="62">
      <formula>$C84=TRUE</formula>
    </cfRule>
  </conditionalFormatting>
  <conditionalFormatting sqref="M89:O92">
    <cfRule type="expression" dxfId="376" priority="60">
      <formula>$K89=""</formula>
    </cfRule>
  </conditionalFormatting>
  <conditionalFormatting sqref="O89:O92">
    <cfRule type="expression" dxfId="375" priority="61">
      <formula>$C87=TRUE</formula>
    </cfRule>
  </conditionalFormatting>
  <conditionalFormatting sqref="O93">
    <cfRule type="expression" dxfId="374" priority="59">
      <formula>$C91=TRUE</formula>
    </cfRule>
  </conditionalFormatting>
  <conditionalFormatting sqref="M96:O101">
    <cfRule type="expression" dxfId="373" priority="57">
      <formula>$K96=""</formula>
    </cfRule>
  </conditionalFormatting>
  <conditionalFormatting sqref="O96:O101">
    <cfRule type="expression" dxfId="372" priority="58">
      <formula>$C94=TRUE</formula>
    </cfRule>
  </conditionalFormatting>
  <conditionalFormatting sqref="O102">
    <cfRule type="expression" dxfId="371" priority="56">
      <formula>$C100=TRUE</formula>
    </cfRule>
  </conditionalFormatting>
  <conditionalFormatting sqref="M105:O109">
    <cfRule type="expression" dxfId="370" priority="54">
      <formula>$K105=""</formula>
    </cfRule>
  </conditionalFormatting>
  <conditionalFormatting sqref="O105:O109">
    <cfRule type="expression" dxfId="369" priority="55">
      <formula>$C103=TRUE</formula>
    </cfRule>
  </conditionalFormatting>
  <conditionalFormatting sqref="O110">
    <cfRule type="expression" dxfId="368" priority="53">
      <formula>$C108=TRUE</formula>
    </cfRule>
  </conditionalFormatting>
  <conditionalFormatting sqref="K131:K139">
    <cfRule type="containsText" dxfId="367" priority="51" operator="containsText" text="No Issues">
      <formula>NOT(ISERROR(SEARCH("No Issues",K131)))</formula>
    </cfRule>
  </conditionalFormatting>
  <conditionalFormatting sqref="K140:L140">
    <cfRule type="cellIs" dxfId="366" priority="52" operator="equal">
      <formula>"YES"</formula>
    </cfRule>
  </conditionalFormatting>
  <conditionalFormatting sqref="P9">
    <cfRule type="expression" dxfId="365" priority="50">
      <formula>$C9=TRUE</formula>
    </cfRule>
  </conditionalFormatting>
  <conditionalFormatting sqref="P48:P49 P55:P56 P64:P65 P73:P74 P87:P88 P94:P95 P103:P104">
    <cfRule type="expression" dxfId="364" priority="46">
      <formula>#REF!=#REF!</formula>
    </cfRule>
    <cfRule type="expression" dxfId="363" priority="47">
      <formula>#REF!=#REF!</formula>
    </cfRule>
  </conditionalFormatting>
  <conditionalFormatting sqref="P47">
    <cfRule type="expression" dxfId="362" priority="45">
      <formula>$C47=TRUE</formula>
    </cfRule>
  </conditionalFormatting>
  <conditionalFormatting sqref="P54">
    <cfRule type="expression" dxfId="361" priority="44">
      <formula>$C52=TRUE</formula>
    </cfRule>
  </conditionalFormatting>
  <conditionalFormatting sqref="P63">
    <cfRule type="expression" dxfId="360" priority="43">
      <formula>$C60=TRUE</formula>
    </cfRule>
  </conditionalFormatting>
  <conditionalFormatting sqref="P72">
    <cfRule type="expression" dxfId="359" priority="42">
      <formula>$C70=TRUE</formula>
    </cfRule>
  </conditionalFormatting>
  <conditionalFormatting sqref="P86">
    <cfRule type="expression" dxfId="358" priority="41">
      <formula>$C84=TRUE</formula>
    </cfRule>
  </conditionalFormatting>
  <conditionalFormatting sqref="P93">
    <cfRule type="expression" dxfId="357" priority="40">
      <formula>$C91=TRUE</formula>
    </cfRule>
  </conditionalFormatting>
  <conditionalFormatting sqref="P102">
    <cfRule type="expression" dxfId="356" priority="39">
      <formula>$C100=TRUE</formula>
    </cfRule>
  </conditionalFormatting>
  <conditionalFormatting sqref="P110">
    <cfRule type="expression" dxfId="355" priority="38">
      <formula>$C108=TRUE</formula>
    </cfRule>
  </conditionalFormatting>
  <conditionalFormatting sqref="Q28:Q29 Q48:Q49 Q55:Q56 Q64:Q65 Q73:Q74 Q87:Q88 Q94:Q95 Q103:Q104">
    <cfRule type="expression" dxfId="354" priority="36">
      <formula>#REF!=#REF!</formula>
    </cfRule>
    <cfRule type="expression" dxfId="353" priority="37">
      <formula>#REF!=#REF!</formula>
    </cfRule>
  </conditionalFormatting>
  <conditionalFormatting sqref="Q27">
    <cfRule type="expression" dxfId="352" priority="35">
      <formula>$C27=TRUE</formula>
    </cfRule>
  </conditionalFormatting>
  <conditionalFormatting sqref="Q47">
    <cfRule type="expression" dxfId="351" priority="34">
      <formula>$C47=TRUE</formula>
    </cfRule>
  </conditionalFormatting>
  <conditionalFormatting sqref="Q54">
    <cfRule type="expression" dxfId="350" priority="33">
      <formula>$C52=TRUE</formula>
    </cfRule>
  </conditionalFormatting>
  <conditionalFormatting sqref="Q63">
    <cfRule type="expression" dxfId="349" priority="32">
      <formula>$C60=TRUE</formula>
    </cfRule>
  </conditionalFormatting>
  <conditionalFormatting sqref="Q72">
    <cfRule type="expression" dxfId="348" priority="31">
      <formula>$C70=TRUE</formula>
    </cfRule>
  </conditionalFormatting>
  <conditionalFormatting sqref="Q86">
    <cfRule type="expression" dxfId="347" priority="30">
      <formula>$C84=TRUE</formula>
    </cfRule>
  </conditionalFormatting>
  <conditionalFormatting sqref="Q93">
    <cfRule type="expression" dxfId="346" priority="29">
      <formula>$C91=TRUE</formula>
    </cfRule>
  </conditionalFormatting>
  <conditionalFormatting sqref="Q102">
    <cfRule type="expression" dxfId="345" priority="28">
      <formula>$C100=TRUE</formula>
    </cfRule>
  </conditionalFormatting>
  <conditionalFormatting sqref="Q110">
    <cfRule type="expression" dxfId="344" priority="27">
      <formula>$C108=TRUE</formula>
    </cfRule>
  </conditionalFormatting>
  <conditionalFormatting sqref="M7:O7">
    <cfRule type="containsText" dxfId="343" priority="26" operator="containsText" text="Select">
      <formula>NOT(ISERROR(SEARCH("Select",M7)))</formula>
    </cfRule>
  </conditionalFormatting>
  <conditionalFormatting sqref="P27">
    <cfRule type="expression" dxfId="342" priority="25">
      <formula>$C27=TRUE</formula>
    </cfRule>
  </conditionalFormatting>
  <conditionalFormatting sqref="P28">
    <cfRule type="expression" dxfId="341" priority="23">
      <formula>#REF!=#REF!</formula>
    </cfRule>
    <cfRule type="expression" dxfId="340" priority="24">
      <formula>#REF!=#REF!</formula>
    </cfRule>
  </conditionalFormatting>
  <conditionalFormatting sqref="P29">
    <cfRule type="expression" dxfId="339" priority="21">
      <formula>#REF!=#REF!</formula>
    </cfRule>
    <cfRule type="expression" dxfId="338" priority="22">
      <formula>#REF!=#REF!</formula>
    </cfRule>
  </conditionalFormatting>
  <conditionalFormatting sqref="P30:Q46">
    <cfRule type="expression" dxfId="337" priority="20">
      <formula>$K30=""</formula>
    </cfRule>
  </conditionalFormatting>
  <conditionalFormatting sqref="Q30:Q46">
    <cfRule type="expression" dxfId="336" priority="19">
      <formula>$C30=TRUE</formula>
    </cfRule>
  </conditionalFormatting>
  <conditionalFormatting sqref="P50:Q53">
    <cfRule type="expression" dxfId="335" priority="18">
      <formula>$K50=""</formula>
    </cfRule>
  </conditionalFormatting>
  <conditionalFormatting sqref="Q50:Q53">
    <cfRule type="expression" dxfId="334" priority="17">
      <formula>$C50=TRUE</formula>
    </cfRule>
  </conditionalFormatting>
  <conditionalFormatting sqref="P57:Q62">
    <cfRule type="expression" dxfId="333" priority="16">
      <formula>$K57=""</formula>
    </cfRule>
  </conditionalFormatting>
  <conditionalFormatting sqref="Q57:Q62">
    <cfRule type="expression" dxfId="332" priority="15">
      <formula>$C57=TRUE</formula>
    </cfRule>
  </conditionalFormatting>
  <conditionalFormatting sqref="P66:Q71">
    <cfRule type="expression" dxfId="331" priority="14">
      <formula>$K66=""</formula>
    </cfRule>
  </conditionalFormatting>
  <conditionalFormatting sqref="Q66:Q71">
    <cfRule type="expression" dxfId="330" priority="13">
      <formula>$C66=TRUE</formula>
    </cfRule>
  </conditionalFormatting>
  <conditionalFormatting sqref="P89:Q92">
    <cfRule type="expression" dxfId="329" priority="10">
      <formula>$K89=""</formula>
    </cfRule>
  </conditionalFormatting>
  <conditionalFormatting sqref="Q89:Q92">
    <cfRule type="expression" dxfId="328" priority="9">
      <formula>$C89=TRUE</formula>
    </cfRule>
  </conditionalFormatting>
  <conditionalFormatting sqref="P96:Q101">
    <cfRule type="expression" dxfId="327" priority="8">
      <formula>$K96=""</formula>
    </cfRule>
  </conditionalFormatting>
  <conditionalFormatting sqref="Q96:Q101">
    <cfRule type="expression" dxfId="326" priority="7">
      <formula>$C96=TRUE</formula>
    </cfRule>
  </conditionalFormatting>
  <conditionalFormatting sqref="P105:Q109">
    <cfRule type="expression" dxfId="325" priority="6">
      <formula>$K105=""</formula>
    </cfRule>
  </conditionalFormatting>
  <conditionalFormatting sqref="Q105:Q109">
    <cfRule type="expression" dxfId="324" priority="5">
      <formula>$C105=TRUE</formula>
    </cfRule>
  </conditionalFormatting>
  <conditionalFormatting sqref="O79:O80">
    <cfRule type="expression" dxfId="323" priority="773">
      <formula>#REF!=TRUE</formula>
    </cfRule>
  </conditionalFormatting>
  <conditionalFormatting sqref="H76:K76">
    <cfRule type="expression" dxfId="322" priority="4">
      <formula>$G$52=$V$53</formula>
    </cfRule>
    <cfRule type="expression" dxfId="321" priority="3" stopIfTrue="1">
      <formula>$G$76=$V$76</formula>
    </cfRule>
    <cfRule type="expression" dxfId="320" priority="2">
      <formula>$G$75=$V$76</formula>
    </cfRule>
  </conditionalFormatting>
  <conditionalFormatting sqref="H57:K57">
    <cfRule type="expression" dxfId="319" priority="1">
      <formula>$G$57=$S$58</formula>
    </cfRule>
  </conditionalFormatting>
  <dataValidations count="24">
    <dataValidation type="list" allowBlank="1" showInputMessage="1" showErrorMessage="1" promptTitle="Green Star Rating" prompt="Please select the project's targeted rating" sqref="G5:H5" xr:uid="{D2EC9B7C-A5A7-411F-8369-CED2183064CF}">
      <formula1>$AD$9:$AD$11</formula1>
    </dataValidation>
    <dataValidation type="list" allowBlank="1" showInputMessage="1" showErrorMessage="1" sqref="O7" xr:uid="{0DE91294-F697-4766-BE02-F33124E93A1D}">
      <formula1>$AC$10:$AC$11</formula1>
    </dataValidation>
    <dataValidation type="list" allowBlank="1" showInputMessage="1" showErrorMessage="1" sqref="M7:N7" xr:uid="{ECC07540-E9D7-4FB9-91A1-D13207444F32}">
      <formula1>$AB$10:$AB$11</formula1>
    </dataValidation>
    <dataValidation type="list" allowBlank="1" showInputMessage="1" showErrorMessage="1" sqref="J131" xr:uid="{C2BEF9CC-59B0-496D-AA02-39B935F119A9}">
      <formula1>"Please select, Yes, No"</formula1>
    </dataValidation>
    <dataValidation type="decimal" operator="greaterThanOrEqual" allowBlank="1" showInputMessage="1" showErrorMessage="1" sqref="K124 K121:K122" xr:uid="{13FFABDC-35F4-46CF-86FB-88338F7AF097}">
      <formula1>0</formula1>
    </dataValidation>
    <dataValidation type="list" allowBlank="1" showInputMessage="1" showErrorMessage="1" sqref="K140:L140" xr:uid="{4D11E123-93EF-4CB4-B019-2FDE1D5A71D9}">
      <formula1>"YES/NO, YES, NO"</formula1>
    </dataValidation>
    <dataValidation type="list" allowBlank="1" showInputMessage="1" showErrorMessage="1" promptTitle="Rating Tool Version" prompt="Please select the project's rating tool version" sqref="H6" xr:uid="{C3AD5087-C272-45C7-AA57-311EDC6543AC}">
      <formula1>$AE$3:$AE$4</formula1>
    </dataValidation>
    <dataValidation allowBlank="1" showInputMessage="1" showErrorMessage="1" promptTitle="Project Number" prompt="Please enter the Green Star number" sqref="G3" xr:uid="{FC6CE841-7994-4463-942F-0E878AA6996B}"/>
    <dataValidation allowBlank="1" showInputMessage="1" showErrorMessage="1" promptTitle="Project Name" prompt="Please enter the project name" sqref="G4" xr:uid="{0E384FD6-F006-4AEF-9D18-8ED8D75ECB4F}"/>
    <dataValidation type="list" operator="lessThanOrEqual" allowBlank="1" showInputMessage="1" showErrorMessage="1" sqref="K36 K40" xr:uid="{5FFF13CC-1EBF-4ED9-9521-AD04CB120BA3}">
      <formula1>$Y$10:$Y$12</formula1>
    </dataValidation>
    <dataValidation type="decimal" operator="lessThanOrEqual" allowBlank="1" showInputMessage="1" showErrorMessage="1" sqref="K99:K101 K110 K51:K53 K41:K46 K66:K71 K96:K97 K89 K30:K35 K37:K39 K57:K62 K91:K92 K75:K85" xr:uid="{2993AF47-8F0B-4443-989F-5E3B420056BB}">
      <formula1>J30</formula1>
    </dataValidation>
    <dataValidation type="list" allowBlank="1" showInputMessage="1" showErrorMessage="1" promptTitle="Selection Required" prompt="Please indicate the project's desired pathway." sqref="G66:G71" xr:uid="{25E9C3FB-3739-4FE5-8F01-061BE758390A}">
      <formula1>$V$66:$V$67</formula1>
    </dataValidation>
    <dataValidation type="list" allowBlank="1" showInputMessage="1" showErrorMessage="1" sqref="G64" xr:uid="{EB5A760A-1943-4D76-ABF2-32A7B4EBBEAE}">
      <formula1>$V$57:$V$57</formula1>
    </dataValidation>
    <dataValidation type="decimal" allowBlank="1" showInputMessage="1" showErrorMessage="1" sqref="K21 K10 K23:K24 K12:K19" xr:uid="{0EC157EA-CF23-46EE-A55C-14B13C4F59B2}">
      <formula1>0</formula1>
      <formula2>J10</formula2>
    </dataValidation>
    <dataValidation type="list" allowBlank="1" showInputMessage="1" showErrorMessage="1" sqref="K50 K98 K20 K90 K22" xr:uid="{177CC0A0-87FA-48B9-9D44-982F4613A2AB}">
      <formula1>$Y$10:$Y$12</formula1>
    </dataValidation>
    <dataValidation type="decimal" operator="lessThanOrEqual" allowBlank="1" showInputMessage="1" showErrorMessage="1" sqref="K105:K109" xr:uid="{77DA1792-AA16-4472-B947-B0D6E35840DB}">
      <formula1>10</formula1>
    </dataValidation>
    <dataValidation type="list" allowBlank="1" showInputMessage="1" showErrorMessage="1" promptTitle="Selection Required" prompt="Please indicate the project's desired pathway." sqref="G25:G26" xr:uid="{4EEF2692-654F-40CA-9EEE-B7ABC784E750}">
      <formula1>$V$11:$V$12</formula1>
    </dataValidation>
    <dataValidation type="list" allowBlank="1" showInputMessage="1" showErrorMessage="1" promptTitle="Selection Required" prompt="Please indicate the project's desired pathway." sqref="G52:G53" xr:uid="{6085E74A-5C93-4C9E-ACE9-CB5A142D41C5}">
      <formula1>$V$52:$V$53</formula1>
    </dataValidation>
    <dataValidation type="list" allowBlank="1" showInputMessage="1" showErrorMessage="1" sqref="G55" xr:uid="{15B22F44-605D-4960-96D9-37115BA488FD}">
      <formula1>$V$52:$V$52</formula1>
    </dataValidation>
    <dataValidation type="decimal" operator="lessThanOrEqual" allowBlank="1" showInputMessage="1" showErrorMessage="1" sqref="K25:K26" xr:uid="{FB62396A-FB7C-47EE-AD79-3BF31E5B7C28}">
      <formula1>1</formula1>
    </dataValidation>
    <dataValidation type="list" allowBlank="1" showInputMessage="1" showErrorMessage="1" promptTitle="Selection Required" prompt="Please indicate the project's desired pathway." sqref="G84:G85" xr:uid="{E63CB76D-3072-4EA1-9050-78090932B8AB}">
      <formula1>$V$84:$V$85</formula1>
    </dataValidation>
    <dataValidation type="list" allowBlank="1" showInputMessage="1" showErrorMessage="1" sqref="G28 G73" xr:uid="{70F31B0C-8922-4967-B69D-19B6731266F5}">
      <formula1>#REF!</formula1>
    </dataValidation>
    <dataValidation type="list" allowBlank="1" showInputMessage="1" showErrorMessage="1" sqref="G57:G62" xr:uid="{91E27890-E3D2-4157-AB43-A8371AA863ED}">
      <formula1>$S$58:$S$59</formula1>
    </dataValidation>
    <dataValidation type="list" allowBlank="1" showInputMessage="1" showErrorMessage="1" sqref="G75:G76" xr:uid="{5CA93613-54EC-4FEA-A18A-A14F2A8C63DB}">
      <formula1>$V$75:$V$76</formula1>
    </dataValidation>
  </dataValidations>
  <pageMargins left="0.70866141732283472" right="0.70866141732283472" top="0.74803149606299213" bottom="0.74803149606299213" header="0.31496062992125984" footer="0.31496062992125984"/>
  <pageSetup paperSize="9" scale="51"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4</xdr:col>
                    <xdr:colOff>38100</xdr:colOff>
                    <xdr:row>30</xdr:row>
                    <xdr:rowOff>184150</xdr:rowOff>
                  </from>
                  <to>
                    <xdr:col>5</xdr:col>
                    <xdr:colOff>565150</xdr:colOff>
                    <xdr:row>30</xdr:row>
                    <xdr:rowOff>381000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4</xdr:col>
                    <xdr:colOff>38100</xdr:colOff>
                    <xdr:row>29</xdr:row>
                    <xdr:rowOff>184150</xdr:rowOff>
                  </from>
                  <to>
                    <xdr:col>5</xdr:col>
                    <xdr:colOff>565150</xdr:colOff>
                    <xdr:row>29</xdr:row>
                    <xdr:rowOff>393700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4</xdr:col>
                    <xdr:colOff>38100</xdr:colOff>
                    <xdr:row>31</xdr:row>
                    <xdr:rowOff>184150</xdr:rowOff>
                  </from>
                  <to>
                    <xdr:col>5</xdr:col>
                    <xdr:colOff>565150</xdr:colOff>
                    <xdr:row>31</xdr:row>
                    <xdr:rowOff>381000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4</xdr:col>
                    <xdr:colOff>38100</xdr:colOff>
                    <xdr:row>32</xdr:row>
                    <xdr:rowOff>184150</xdr:rowOff>
                  </from>
                  <to>
                    <xdr:col>5</xdr:col>
                    <xdr:colOff>565150</xdr:colOff>
                    <xdr:row>32</xdr:row>
                    <xdr:rowOff>381000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4</xdr:col>
                    <xdr:colOff>38100</xdr:colOff>
                    <xdr:row>33</xdr:row>
                    <xdr:rowOff>184150</xdr:rowOff>
                  </from>
                  <to>
                    <xdr:col>5</xdr:col>
                    <xdr:colOff>565150</xdr:colOff>
                    <xdr:row>33</xdr:row>
                    <xdr:rowOff>381000</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4</xdr:col>
                    <xdr:colOff>38100</xdr:colOff>
                    <xdr:row>34</xdr:row>
                    <xdr:rowOff>184150</xdr:rowOff>
                  </from>
                  <to>
                    <xdr:col>5</xdr:col>
                    <xdr:colOff>565150</xdr:colOff>
                    <xdr:row>34</xdr:row>
                    <xdr:rowOff>381000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4</xdr:col>
                    <xdr:colOff>38100</xdr:colOff>
                    <xdr:row>36</xdr:row>
                    <xdr:rowOff>184150</xdr:rowOff>
                  </from>
                  <to>
                    <xdr:col>5</xdr:col>
                    <xdr:colOff>565150</xdr:colOff>
                    <xdr:row>36</xdr:row>
                    <xdr:rowOff>381000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4</xdr:col>
                    <xdr:colOff>38100</xdr:colOff>
                    <xdr:row>37</xdr:row>
                    <xdr:rowOff>184150</xdr:rowOff>
                  </from>
                  <to>
                    <xdr:col>5</xdr:col>
                    <xdr:colOff>565150</xdr:colOff>
                    <xdr:row>37</xdr:row>
                    <xdr:rowOff>381000</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4</xdr:col>
                    <xdr:colOff>38100</xdr:colOff>
                    <xdr:row>38</xdr:row>
                    <xdr:rowOff>184150</xdr:rowOff>
                  </from>
                  <to>
                    <xdr:col>5</xdr:col>
                    <xdr:colOff>565150</xdr:colOff>
                    <xdr:row>38</xdr:row>
                    <xdr:rowOff>381000</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4</xdr:col>
                    <xdr:colOff>38100</xdr:colOff>
                    <xdr:row>40</xdr:row>
                    <xdr:rowOff>184150</xdr:rowOff>
                  </from>
                  <to>
                    <xdr:col>5</xdr:col>
                    <xdr:colOff>565150</xdr:colOff>
                    <xdr:row>40</xdr:row>
                    <xdr:rowOff>381000</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4</xdr:col>
                    <xdr:colOff>38100</xdr:colOff>
                    <xdr:row>41</xdr:row>
                    <xdr:rowOff>184150</xdr:rowOff>
                  </from>
                  <to>
                    <xdr:col>5</xdr:col>
                    <xdr:colOff>565150</xdr:colOff>
                    <xdr:row>41</xdr:row>
                    <xdr:rowOff>381000</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4</xdr:col>
                    <xdr:colOff>38100</xdr:colOff>
                    <xdr:row>42</xdr:row>
                    <xdr:rowOff>184150</xdr:rowOff>
                  </from>
                  <to>
                    <xdr:col>5</xdr:col>
                    <xdr:colOff>565150</xdr:colOff>
                    <xdr:row>42</xdr:row>
                    <xdr:rowOff>381000</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4</xdr:col>
                    <xdr:colOff>38100</xdr:colOff>
                    <xdr:row>43</xdr:row>
                    <xdr:rowOff>184150</xdr:rowOff>
                  </from>
                  <to>
                    <xdr:col>5</xdr:col>
                    <xdr:colOff>565150</xdr:colOff>
                    <xdr:row>43</xdr:row>
                    <xdr:rowOff>381000</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4</xdr:col>
                    <xdr:colOff>38100</xdr:colOff>
                    <xdr:row>44</xdr:row>
                    <xdr:rowOff>184150</xdr:rowOff>
                  </from>
                  <to>
                    <xdr:col>5</xdr:col>
                    <xdr:colOff>565150</xdr:colOff>
                    <xdr:row>44</xdr:row>
                    <xdr:rowOff>381000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4</xdr:col>
                    <xdr:colOff>38100</xdr:colOff>
                    <xdr:row>45</xdr:row>
                    <xdr:rowOff>184150</xdr:rowOff>
                  </from>
                  <to>
                    <xdr:col>5</xdr:col>
                    <xdr:colOff>565150</xdr:colOff>
                    <xdr:row>45</xdr:row>
                    <xdr:rowOff>381000</xdr:rowOff>
                  </to>
                </anchor>
              </controlPr>
            </control>
          </mc:Choice>
        </mc:AlternateContent>
        <mc:AlternateContent xmlns:mc="http://schemas.openxmlformats.org/markup-compatibility/2006">
          <mc:Choice Requires="x14">
            <control shapeId="110609" r:id="rId19" name="Check Box 17">
              <controlPr defaultSize="0" autoFill="0" autoLine="0" autoPict="0">
                <anchor moveWithCells="1">
                  <from>
                    <xdr:col>4</xdr:col>
                    <xdr:colOff>38100</xdr:colOff>
                    <xdr:row>58</xdr:row>
                    <xdr:rowOff>184150</xdr:rowOff>
                  </from>
                  <to>
                    <xdr:col>5</xdr:col>
                    <xdr:colOff>565150</xdr:colOff>
                    <xdr:row>58</xdr:row>
                    <xdr:rowOff>381000</xdr:rowOff>
                  </to>
                </anchor>
              </controlPr>
            </control>
          </mc:Choice>
        </mc:AlternateContent>
        <mc:AlternateContent xmlns:mc="http://schemas.openxmlformats.org/markup-compatibility/2006">
          <mc:Choice Requires="x14">
            <control shapeId="110610" r:id="rId20" name="Check Box 18">
              <controlPr defaultSize="0" autoFill="0" autoLine="0" autoPict="0">
                <anchor moveWithCells="1">
                  <from>
                    <xdr:col>4</xdr:col>
                    <xdr:colOff>38100</xdr:colOff>
                    <xdr:row>69</xdr:row>
                    <xdr:rowOff>184150</xdr:rowOff>
                  </from>
                  <to>
                    <xdr:col>5</xdr:col>
                    <xdr:colOff>565150</xdr:colOff>
                    <xdr:row>69</xdr:row>
                    <xdr:rowOff>381000</xdr:rowOff>
                  </to>
                </anchor>
              </controlPr>
            </control>
          </mc:Choice>
        </mc:AlternateContent>
        <mc:AlternateContent xmlns:mc="http://schemas.openxmlformats.org/markup-compatibility/2006">
          <mc:Choice Requires="x14">
            <control shapeId="110611" r:id="rId21" name="Check Box 19">
              <controlPr defaultSize="0" autoFill="0" autoLine="0" autoPict="0">
                <anchor moveWithCells="1">
                  <from>
                    <xdr:col>4</xdr:col>
                    <xdr:colOff>38100</xdr:colOff>
                    <xdr:row>70</xdr:row>
                    <xdr:rowOff>184150</xdr:rowOff>
                  </from>
                  <to>
                    <xdr:col>5</xdr:col>
                    <xdr:colOff>565150</xdr:colOff>
                    <xdr:row>70</xdr:row>
                    <xdr:rowOff>381000</xdr:rowOff>
                  </to>
                </anchor>
              </controlPr>
            </control>
          </mc:Choice>
        </mc:AlternateContent>
        <mc:AlternateContent xmlns:mc="http://schemas.openxmlformats.org/markup-compatibility/2006">
          <mc:Choice Requires="x14">
            <control shapeId="110612" r:id="rId22" name="Check Box 20">
              <controlPr defaultSize="0" autoFill="0" autoLine="0" autoPict="0">
                <anchor moveWithCells="1">
                  <from>
                    <xdr:col>4</xdr:col>
                    <xdr:colOff>38100</xdr:colOff>
                    <xdr:row>91</xdr:row>
                    <xdr:rowOff>184150</xdr:rowOff>
                  </from>
                  <to>
                    <xdr:col>5</xdr:col>
                    <xdr:colOff>565150</xdr:colOff>
                    <xdr:row>91</xdr:row>
                    <xdr:rowOff>381000</xdr:rowOff>
                  </to>
                </anchor>
              </controlPr>
            </control>
          </mc:Choice>
        </mc:AlternateContent>
        <mc:AlternateContent xmlns:mc="http://schemas.openxmlformats.org/markup-compatibility/2006">
          <mc:Choice Requires="x14">
            <control shapeId="110613" r:id="rId23" name="Check Box 21">
              <controlPr defaultSize="0" autoFill="0" autoLine="0" autoPict="0">
                <anchor moveWithCells="1">
                  <from>
                    <xdr:col>4</xdr:col>
                    <xdr:colOff>38100</xdr:colOff>
                    <xdr:row>78</xdr:row>
                    <xdr:rowOff>184150</xdr:rowOff>
                  </from>
                  <to>
                    <xdr:col>5</xdr:col>
                    <xdr:colOff>565150</xdr:colOff>
                    <xdr:row>78</xdr:row>
                    <xdr:rowOff>381000</xdr:rowOff>
                  </to>
                </anchor>
              </controlPr>
            </control>
          </mc:Choice>
        </mc:AlternateContent>
        <mc:AlternateContent xmlns:mc="http://schemas.openxmlformats.org/markup-compatibility/2006">
          <mc:Choice Requires="x14">
            <control shapeId="110614" r:id="rId24" name="Check Box 22">
              <controlPr defaultSize="0" autoFill="0" autoLine="0" autoPict="0">
                <anchor moveWithCells="1">
                  <from>
                    <xdr:col>4</xdr:col>
                    <xdr:colOff>38100</xdr:colOff>
                    <xdr:row>79</xdr:row>
                    <xdr:rowOff>184150</xdr:rowOff>
                  </from>
                  <to>
                    <xdr:col>5</xdr:col>
                    <xdr:colOff>565150</xdr:colOff>
                    <xdr:row>79</xdr:row>
                    <xdr:rowOff>381000</xdr:rowOff>
                  </to>
                </anchor>
              </controlPr>
            </control>
          </mc:Choice>
        </mc:AlternateContent>
        <mc:AlternateContent xmlns:mc="http://schemas.openxmlformats.org/markup-compatibility/2006">
          <mc:Choice Requires="x14">
            <control shapeId="110615" r:id="rId25" name="Check Box 23">
              <controlPr defaultSize="0" autoFill="0" autoLine="0" autoPict="0">
                <anchor moveWithCells="1">
                  <from>
                    <xdr:col>4</xdr:col>
                    <xdr:colOff>38100</xdr:colOff>
                    <xdr:row>80</xdr:row>
                    <xdr:rowOff>184150</xdr:rowOff>
                  </from>
                  <to>
                    <xdr:col>5</xdr:col>
                    <xdr:colOff>565150</xdr:colOff>
                    <xdr:row>80</xdr:row>
                    <xdr:rowOff>381000</xdr:rowOff>
                  </to>
                </anchor>
              </controlPr>
            </control>
          </mc:Choice>
        </mc:AlternateContent>
        <mc:AlternateContent xmlns:mc="http://schemas.openxmlformats.org/markup-compatibility/2006">
          <mc:Choice Requires="x14">
            <control shapeId="110621" r:id="rId26" name="Check Box 29">
              <controlPr defaultSize="0" autoFill="0" autoLine="0" autoPict="0">
                <anchor moveWithCells="1">
                  <from>
                    <xdr:col>4</xdr:col>
                    <xdr:colOff>38100</xdr:colOff>
                    <xdr:row>59</xdr:row>
                    <xdr:rowOff>184150</xdr:rowOff>
                  </from>
                  <to>
                    <xdr:col>5</xdr:col>
                    <xdr:colOff>565150</xdr:colOff>
                    <xdr:row>59</xdr:row>
                    <xdr:rowOff>381000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1F3862"/>
    <pageSetUpPr fitToPage="1"/>
  </sheetPr>
  <dimension ref="A1:Z147"/>
  <sheetViews>
    <sheetView showGridLines="0" topLeftCell="E1" zoomScale="80" zoomScaleNormal="80" workbookViewId="0">
      <selection activeCell="K5" sqref="K5"/>
    </sheetView>
  </sheetViews>
  <sheetFormatPr defaultColWidth="10.28515625" defaultRowHeight="14.45"/>
  <cols>
    <col min="1" max="2" width="10.28515625" style="3" hidden="1" customWidth="1"/>
    <col min="3" max="3" width="10.28515625" style="33" hidden="1" customWidth="1"/>
    <col min="4" max="4" width="1.7109375" style="1" hidden="1" customWidth="1"/>
    <col min="5" max="5" width="4.7109375" style="3" customWidth="1"/>
    <col min="6" max="6" width="30.7109375" style="10" customWidth="1"/>
    <col min="7" max="7" width="55.7109375" style="10" customWidth="1"/>
    <col min="8" max="8" width="11.7109375" style="5" customWidth="1"/>
    <col min="9" max="9" width="59.5703125" style="10" customWidth="1"/>
    <col min="10" max="10" width="15.7109375" style="5" customWidth="1"/>
    <col min="11" max="11" width="15.7109375" style="147" customWidth="1"/>
    <col min="12" max="12" width="15.7109375" style="3" customWidth="1"/>
    <col min="13" max="13" width="48.42578125" style="457" hidden="1" customWidth="1"/>
    <col min="14" max="14" width="17.85546875" style="457" hidden="1" customWidth="1"/>
    <col min="15" max="16" width="10.7109375" style="3" hidden="1" customWidth="1"/>
    <col min="17" max="18" width="26.7109375" style="4" customWidth="1"/>
    <col min="19" max="19" width="38.5703125" style="5" bestFit="1" customWidth="1"/>
    <col min="20" max="20" width="24.140625" style="5" customWidth="1"/>
    <col min="21" max="21" width="24.42578125" style="5" customWidth="1"/>
    <col min="22" max="22" width="19.7109375" style="192" customWidth="1"/>
    <col min="23" max="23" width="27" style="3" hidden="1" customWidth="1"/>
    <col min="24" max="24" width="28.85546875" style="3" hidden="1" customWidth="1"/>
    <col min="25" max="25" width="30" style="3" hidden="1" customWidth="1"/>
    <col min="26" max="26" width="33.42578125" style="3" hidden="1" customWidth="1"/>
    <col min="27" max="16384" width="10.28515625" style="3"/>
  </cols>
  <sheetData>
    <row r="1" spans="1:26" s="5" customFormat="1" ht="43.5" customHeight="1">
      <c r="A1" s="143" t="s">
        <v>14</v>
      </c>
      <c r="B1" s="143" t="s">
        <v>14</v>
      </c>
      <c r="C1" s="142" t="s">
        <v>14</v>
      </c>
      <c r="D1" s="142"/>
      <c r="E1" s="538"/>
      <c r="F1" s="1201" t="s">
        <v>0</v>
      </c>
      <c r="G1" s="1202"/>
      <c r="H1" s="1202"/>
      <c r="I1" s="1202"/>
      <c r="J1" s="817"/>
      <c r="K1" s="818"/>
      <c r="L1" s="2"/>
      <c r="M1" s="144" t="s">
        <v>14</v>
      </c>
      <c r="N1" s="144" t="s">
        <v>14</v>
      </c>
      <c r="O1" s="143" t="s">
        <v>14</v>
      </c>
      <c r="P1" s="143" t="s">
        <v>14</v>
      </c>
      <c r="Q1" s="808"/>
      <c r="R1" s="808"/>
      <c r="S1" s="538"/>
      <c r="T1" s="143" t="s">
        <v>14</v>
      </c>
      <c r="U1" s="143" t="s">
        <v>14</v>
      </c>
      <c r="V1" s="192"/>
      <c r="W1" s="143" t="s">
        <v>14</v>
      </c>
      <c r="X1" s="143" t="s">
        <v>14</v>
      </c>
      <c r="Y1" s="143" t="s">
        <v>14</v>
      </c>
      <c r="Z1" s="143" t="s">
        <v>14</v>
      </c>
    </row>
    <row r="2" spans="1:26" ht="37.5" customHeight="1">
      <c r="A2" s="819" t="s">
        <v>231</v>
      </c>
      <c r="B2" s="819" t="s">
        <v>232</v>
      </c>
      <c r="C2" s="820" t="s">
        <v>233</v>
      </c>
      <c r="D2" s="821"/>
      <c r="E2" s="164"/>
      <c r="F2" s="500" t="s">
        <v>227</v>
      </c>
      <c r="G2" s="1199" t="s">
        <v>228</v>
      </c>
      <c r="H2" s="1200"/>
      <c r="I2" s="6"/>
      <c r="J2" s="7" t="s">
        <v>485</v>
      </c>
      <c r="K2" s="7" t="s">
        <v>486</v>
      </c>
      <c r="L2" s="8"/>
      <c r="M2" s="531"/>
      <c r="N2" s="531"/>
      <c r="O2" s="164"/>
      <c r="P2" s="164"/>
      <c r="Q2" s="808"/>
      <c r="R2" s="808"/>
      <c r="S2" s="538"/>
      <c r="T2" s="143"/>
      <c r="U2" s="143"/>
      <c r="W2" s="164"/>
      <c r="X2" s="164"/>
      <c r="Y2" s="164"/>
      <c r="Z2" s="164"/>
    </row>
    <row r="3" spans="1:26" ht="37.5" customHeight="1">
      <c r="A3" s="815"/>
      <c r="B3" s="815"/>
      <c r="C3" s="822"/>
      <c r="D3" s="821"/>
      <c r="E3" s="164"/>
      <c r="F3" s="501" t="s">
        <v>229</v>
      </c>
      <c r="G3" s="1187" t="s">
        <v>230</v>
      </c>
      <c r="H3" s="1188"/>
      <c r="I3" s="6"/>
      <c r="J3" s="503">
        <f>J121</f>
        <v>100</v>
      </c>
      <c r="K3" s="504">
        <f>K124</f>
        <v>0</v>
      </c>
      <c r="L3" s="8"/>
      <c r="M3" s="531"/>
      <c r="N3" s="531"/>
      <c r="O3" s="164"/>
      <c r="P3" s="164"/>
      <c r="Q3" s="808"/>
      <c r="R3" s="808"/>
      <c r="S3" s="538"/>
      <c r="T3" s="538"/>
      <c r="U3" s="538"/>
      <c r="W3" s="164"/>
      <c r="X3" s="164"/>
      <c r="Y3" s="164"/>
      <c r="Z3" s="164"/>
    </row>
    <row r="4" spans="1:26" ht="37.5" customHeight="1">
      <c r="A4" s="164"/>
      <c r="B4" s="164"/>
      <c r="C4" s="822"/>
      <c r="D4" s="821"/>
      <c r="E4" s="164"/>
      <c r="F4" s="501" t="s">
        <v>234</v>
      </c>
      <c r="G4" s="1177" t="s">
        <v>235</v>
      </c>
      <c r="H4" s="1178"/>
      <c r="I4" s="9"/>
      <c r="J4" s="164"/>
      <c r="K4" s="539"/>
      <c r="L4" s="8"/>
      <c r="M4" s="531"/>
      <c r="N4" s="531"/>
      <c r="O4" s="164"/>
      <c r="P4" s="164"/>
      <c r="Q4" s="808"/>
      <c r="R4" s="808"/>
      <c r="S4" s="538"/>
      <c r="T4" s="538"/>
      <c r="U4" s="538"/>
      <c r="W4" s="164"/>
      <c r="X4" s="164"/>
      <c r="Y4" s="164" t="s">
        <v>235</v>
      </c>
      <c r="Z4" s="164"/>
    </row>
    <row r="5" spans="1:26" ht="37.5" customHeight="1">
      <c r="A5" s="164"/>
      <c r="B5" s="164"/>
      <c r="C5" s="822"/>
      <c r="D5" s="821"/>
      <c r="E5" s="164"/>
      <c r="F5" s="502" t="s">
        <v>487</v>
      </c>
      <c r="G5" s="1253" t="s">
        <v>488</v>
      </c>
      <c r="H5" s="1254"/>
      <c r="I5" s="9"/>
      <c r="J5" s="164"/>
      <c r="K5" s="539"/>
      <c r="L5" s="164"/>
      <c r="M5" s="531"/>
      <c r="N5" s="531"/>
      <c r="O5" s="164"/>
      <c r="P5" s="164"/>
      <c r="Q5" s="808"/>
      <c r="R5" s="808"/>
      <c r="S5" s="538"/>
      <c r="T5" s="538"/>
      <c r="U5" s="538"/>
      <c r="W5" s="164" t="s">
        <v>255</v>
      </c>
      <c r="X5" s="164" t="s">
        <v>241</v>
      </c>
      <c r="Y5" s="164" t="s">
        <v>256</v>
      </c>
      <c r="Z5" s="164" t="s">
        <v>488</v>
      </c>
    </row>
    <row r="6" spans="1:26" ht="24.95" customHeight="1">
      <c r="A6" s="164"/>
      <c r="B6" s="164"/>
      <c r="C6" s="822"/>
      <c r="D6" s="821"/>
      <c r="E6" s="164"/>
      <c r="F6" s="814"/>
      <c r="G6" s="823"/>
      <c r="H6" s="817"/>
      <c r="I6" s="823"/>
      <c r="J6" s="817"/>
      <c r="K6" s="818"/>
      <c r="L6" s="8"/>
      <c r="M6" s="531"/>
      <c r="N6" s="531"/>
      <c r="O6" s="164"/>
      <c r="P6" s="164"/>
      <c r="Q6" s="1235" t="s">
        <v>240</v>
      </c>
      <c r="R6" s="1235"/>
      <c r="S6" s="505" t="s">
        <v>241</v>
      </c>
      <c r="T6" s="164"/>
      <c r="U6" s="164"/>
      <c r="W6" s="164" t="s">
        <v>240</v>
      </c>
      <c r="X6" s="164" t="s">
        <v>259</v>
      </c>
      <c r="Y6" s="164" t="s">
        <v>260</v>
      </c>
      <c r="Z6" s="164" t="s">
        <v>489</v>
      </c>
    </row>
    <row r="7" spans="1:26" ht="45" customHeight="1">
      <c r="A7" s="164"/>
      <c r="B7" s="164"/>
      <c r="C7" s="822"/>
      <c r="D7" s="821"/>
      <c r="E7" s="11" t="s">
        <v>242</v>
      </c>
      <c r="F7" s="11" t="s">
        <v>243</v>
      </c>
      <c r="G7" s="11" t="s">
        <v>244</v>
      </c>
      <c r="H7" s="7" t="s">
        <v>245</v>
      </c>
      <c r="I7" s="11" t="s">
        <v>246</v>
      </c>
      <c r="J7" s="7" t="s">
        <v>247</v>
      </c>
      <c r="K7" s="7" t="s">
        <v>248</v>
      </c>
      <c r="L7" s="12"/>
      <c r="M7" s="531"/>
      <c r="N7" s="531"/>
      <c r="O7" s="164"/>
      <c r="P7" s="164"/>
      <c r="Q7" s="13" t="s">
        <v>249</v>
      </c>
      <c r="R7" s="13" t="s">
        <v>250</v>
      </c>
      <c r="S7" s="7" t="s">
        <v>251</v>
      </c>
      <c r="T7" s="7" t="s">
        <v>252</v>
      </c>
      <c r="U7" s="7" t="s">
        <v>253</v>
      </c>
      <c r="W7" s="164" t="s">
        <v>267</v>
      </c>
      <c r="X7" s="164" t="s">
        <v>268</v>
      </c>
      <c r="Y7" s="164" t="s">
        <v>269</v>
      </c>
      <c r="Z7" s="164" t="s">
        <v>490</v>
      </c>
    </row>
    <row r="8" spans="1:26" ht="45" customHeight="1">
      <c r="A8" s="164"/>
      <c r="B8" s="164"/>
      <c r="C8" s="822"/>
      <c r="D8" s="821"/>
      <c r="E8" s="164"/>
      <c r="F8" s="165" t="s">
        <v>254</v>
      </c>
      <c r="G8" s="28"/>
      <c r="H8" s="29"/>
      <c r="I8" s="28"/>
      <c r="J8" s="29">
        <v>15</v>
      </c>
      <c r="K8" s="29"/>
      <c r="L8" s="12"/>
      <c r="M8" s="531"/>
      <c r="N8" s="531"/>
      <c r="O8"/>
      <c r="P8"/>
      <c r="Q8" s="20"/>
      <c r="R8" s="20"/>
      <c r="S8" s="21"/>
      <c r="T8" s="21"/>
      <c r="U8" s="21"/>
      <c r="W8" s="164"/>
      <c r="X8" s="164"/>
      <c r="Y8" s="164"/>
      <c r="Z8" s="164" t="s">
        <v>491</v>
      </c>
    </row>
    <row r="9" spans="1:26" ht="27.95">
      <c r="A9" s="164"/>
      <c r="B9" s="164"/>
      <c r="C9" s="822"/>
      <c r="D9" s="821"/>
      <c r="E9" s="164"/>
      <c r="F9" s="506" t="s">
        <v>257</v>
      </c>
      <c r="G9" s="507" t="s">
        <v>258</v>
      </c>
      <c r="H9" s="508">
        <f>IF($G$5=$Z$9,1.1,1)</f>
        <v>1</v>
      </c>
      <c r="I9" s="507" t="s">
        <v>492</v>
      </c>
      <c r="J9" s="524">
        <v>1</v>
      </c>
      <c r="K9" s="824"/>
      <c r="L9" s="164"/>
      <c r="M9" s="531"/>
      <c r="N9" s="531"/>
      <c r="O9"/>
      <c r="P9"/>
      <c r="Q9" s="806"/>
      <c r="R9" s="806"/>
      <c r="S9" s="482"/>
      <c r="T9" s="458" t="str">
        <f t="shared" ref="T9:T27" si="0">IF(ISBLANK($K9)=FALSE,IF(Q9="","No","Yes"),"")</f>
        <v/>
      </c>
      <c r="U9" s="458" t="str">
        <f t="shared" ref="U9:U27" si="1">IF(ISBLANK($K9)=FALSE,IF(R9="","No","Yes"),"")</f>
        <v/>
      </c>
      <c r="W9" s="164"/>
      <c r="X9" s="164"/>
      <c r="Y9" s="164"/>
      <c r="Z9" s="164" t="s">
        <v>493</v>
      </c>
    </row>
    <row r="10" spans="1:26" ht="45" customHeight="1">
      <c r="A10" s="164"/>
      <c r="B10" s="164"/>
      <c r="C10" s="822"/>
      <c r="D10" s="821"/>
      <c r="E10" s="164"/>
      <c r="F10" s="1232" t="s">
        <v>261</v>
      </c>
      <c r="G10" s="1234" t="s">
        <v>262</v>
      </c>
      <c r="H10" s="825">
        <v>2.1</v>
      </c>
      <c r="I10" s="507" t="s">
        <v>263</v>
      </c>
      <c r="J10" s="598" t="s">
        <v>494</v>
      </c>
      <c r="K10" s="489"/>
      <c r="L10" s="15"/>
      <c r="M10" s="531"/>
      <c r="N10" s="533" t="s">
        <v>266</v>
      </c>
      <c r="O10" s="164"/>
      <c r="P10" s="164"/>
      <c r="Q10" s="806"/>
      <c r="R10" s="806"/>
      <c r="S10" s="482"/>
      <c r="T10" s="458" t="str">
        <f t="shared" si="0"/>
        <v/>
      </c>
      <c r="U10" s="458" t="str">
        <f t="shared" si="1"/>
        <v/>
      </c>
      <c r="W10" s="164"/>
      <c r="X10" s="164"/>
      <c r="Y10" s="164"/>
      <c r="Z10" s="164"/>
    </row>
    <row r="11" spans="1:26" ht="45" customHeight="1">
      <c r="A11" s="164"/>
      <c r="B11" s="164"/>
      <c r="C11" s="822"/>
      <c r="D11" s="821"/>
      <c r="E11" s="164"/>
      <c r="F11" s="1221"/>
      <c r="G11" s="1222"/>
      <c r="H11" s="508">
        <v>2.2000000000000002</v>
      </c>
      <c r="I11" s="507" t="s">
        <v>270</v>
      </c>
      <c r="J11" s="524">
        <v>1</v>
      </c>
      <c r="K11" s="824"/>
      <c r="L11" s="15" t="str">
        <f t="shared" ref="L11:L20" si="2">IF(AND(K11&gt;0,$K$10&lt;&gt;$N$10),"!","")</f>
        <v/>
      </c>
      <c r="M11" s="531"/>
      <c r="N11" s="534" t="s">
        <v>274</v>
      </c>
      <c r="O11" s="164"/>
      <c r="P11" s="164"/>
      <c r="Q11" s="806"/>
      <c r="R11" s="806"/>
      <c r="S11" s="482"/>
      <c r="T11" s="458" t="str">
        <f t="shared" si="0"/>
        <v/>
      </c>
      <c r="U11" s="458" t="str">
        <f t="shared" si="1"/>
        <v/>
      </c>
      <c r="W11" s="164"/>
      <c r="X11" s="164"/>
      <c r="Y11" s="164"/>
      <c r="Z11" s="164"/>
    </row>
    <row r="12" spans="1:26" ht="45" customHeight="1">
      <c r="A12" s="164"/>
      <c r="B12" s="164"/>
      <c r="C12" s="822"/>
      <c r="D12" s="821"/>
      <c r="E12" s="164"/>
      <c r="F12" s="1221"/>
      <c r="G12" s="1222"/>
      <c r="H12" s="508">
        <v>2.2999999999999998</v>
      </c>
      <c r="I12" s="507" t="s">
        <v>275</v>
      </c>
      <c r="J12" s="524">
        <v>1</v>
      </c>
      <c r="K12" s="824"/>
      <c r="L12" s="15" t="str">
        <f t="shared" si="2"/>
        <v/>
      </c>
      <c r="M12" s="531"/>
      <c r="N12" s="803"/>
      <c r="O12"/>
      <c r="P12" s="539"/>
      <c r="Q12" s="806"/>
      <c r="R12" s="806"/>
      <c r="S12" s="482"/>
      <c r="T12" s="458" t="str">
        <f t="shared" si="0"/>
        <v/>
      </c>
      <c r="U12" s="458" t="str">
        <f t="shared" si="1"/>
        <v/>
      </c>
      <c r="W12" s="164"/>
      <c r="X12" s="164"/>
      <c r="Y12" s="164"/>
      <c r="Z12" s="164"/>
    </row>
    <row r="13" spans="1:26" ht="45" customHeight="1">
      <c r="A13" s="164"/>
      <c r="B13" s="164"/>
      <c r="C13" s="822"/>
      <c r="D13" s="821"/>
      <c r="E13" s="164"/>
      <c r="F13" s="1221"/>
      <c r="G13" s="1222"/>
      <c r="H13" s="508">
        <v>2.4</v>
      </c>
      <c r="I13" s="507" t="s">
        <v>278</v>
      </c>
      <c r="J13" s="524">
        <v>1</v>
      </c>
      <c r="K13" s="824"/>
      <c r="L13" s="15" t="str">
        <f t="shared" si="2"/>
        <v/>
      </c>
      <c r="M13" s="531"/>
      <c r="N13" s="803"/>
      <c r="O13"/>
      <c r="P13" s="539"/>
      <c r="Q13" s="806"/>
      <c r="R13" s="806"/>
      <c r="S13" s="482"/>
      <c r="T13" s="458" t="str">
        <f t="shared" si="0"/>
        <v/>
      </c>
      <c r="U13" s="458" t="str">
        <f t="shared" si="1"/>
        <v/>
      </c>
      <c r="W13" s="164"/>
      <c r="X13" s="164"/>
      <c r="Y13" s="164"/>
      <c r="Z13" s="164"/>
    </row>
    <row r="14" spans="1:26" ht="45" customHeight="1">
      <c r="A14" s="164"/>
      <c r="B14" s="164"/>
      <c r="C14" s="822"/>
      <c r="D14" s="821"/>
      <c r="E14" s="164"/>
      <c r="F14" s="1221"/>
      <c r="G14" s="1222"/>
      <c r="H14" s="508">
        <v>2.5</v>
      </c>
      <c r="I14" s="507" t="s">
        <v>281</v>
      </c>
      <c r="J14" s="524">
        <v>1</v>
      </c>
      <c r="K14" s="824"/>
      <c r="L14" s="15" t="str">
        <f t="shared" si="2"/>
        <v/>
      </c>
      <c r="M14" s="531"/>
      <c r="N14" s="803"/>
      <c r="O14"/>
      <c r="P14" s="539"/>
      <c r="Q14" s="806"/>
      <c r="R14" s="806"/>
      <c r="S14" s="482"/>
      <c r="T14" s="458" t="str">
        <f t="shared" si="0"/>
        <v/>
      </c>
      <c r="U14" s="458" t="str">
        <f t="shared" si="1"/>
        <v/>
      </c>
      <c r="W14" s="164"/>
      <c r="X14" s="164"/>
      <c r="Y14" s="164"/>
      <c r="Z14" s="164"/>
    </row>
    <row r="15" spans="1:26" ht="45" customHeight="1">
      <c r="A15" s="164"/>
      <c r="B15" s="164"/>
      <c r="C15" s="822"/>
      <c r="D15" s="821"/>
      <c r="E15" s="164"/>
      <c r="F15" s="1239" t="s">
        <v>283</v>
      </c>
      <c r="G15" s="1255" t="s">
        <v>284</v>
      </c>
      <c r="H15" s="508">
        <v>3.1</v>
      </c>
      <c r="I15" s="507" t="s">
        <v>285</v>
      </c>
      <c r="J15" s="524">
        <v>2</v>
      </c>
      <c r="K15" s="824"/>
      <c r="L15" s="15" t="str">
        <f t="shared" si="2"/>
        <v/>
      </c>
      <c r="M15" s="531"/>
      <c r="N15" s="531"/>
      <c r="O15" s="539"/>
      <c r="P15" s="539"/>
      <c r="Q15" s="806"/>
      <c r="R15" s="806"/>
      <c r="S15" s="482"/>
      <c r="T15" s="458" t="str">
        <f t="shared" si="0"/>
        <v/>
      </c>
      <c r="U15" s="458" t="str">
        <f t="shared" si="1"/>
        <v/>
      </c>
      <c r="W15" s="164"/>
      <c r="X15" s="164"/>
      <c r="Y15" s="164"/>
      <c r="Z15" s="164"/>
    </row>
    <row r="16" spans="1:26" ht="45" customHeight="1">
      <c r="A16" s="164"/>
      <c r="B16" s="164"/>
      <c r="C16" s="822"/>
      <c r="D16" s="821"/>
      <c r="E16" s="164"/>
      <c r="F16" s="1232"/>
      <c r="G16" s="1256"/>
      <c r="H16" s="508">
        <v>3.2</v>
      </c>
      <c r="I16" s="507" t="s">
        <v>286</v>
      </c>
      <c r="J16" s="524">
        <v>1</v>
      </c>
      <c r="K16" s="824"/>
      <c r="L16" s="15"/>
      <c r="M16" s="531"/>
      <c r="N16" s="531"/>
      <c r="O16" s="539"/>
      <c r="P16" s="539"/>
      <c r="Q16" s="806"/>
      <c r="R16" s="806"/>
      <c r="S16" s="482"/>
      <c r="T16" s="458"/>
      <c r="U16" s="458"/>
      <c r="W16" s="164"/>
      <c r="X16" s="164"/>
      <c r="Y16" s="164"/>
      <c r="Z16" s="164"/>
    </row>
    <row r="17" spans="1:21" ht="45" customHeight="1">
      <c r="A17" s="164"/>
      <c r="B17" s="164"/>
      <c r="C17" s="822"/>
      <c r="D17" s="821"/>
      <c r="E17" s="164"/>
      <c r="F17" s="1239" t="s">
        <v>38</v>
      </c>
      <c r="G17" s="1241" t="s">
        <v>495</v>
      </c>
      <c r="H17" s="1257">
        <v>4</v>
      </c>
      <c r="I17" s="1241" t="s">
        <v>38</v>
      </c>
      <c r="J17" s="1237">
        <v>1</v>
      </c>
      <c r="K17" s="824"/>
      <c r="L17" s="15" t="str">
        <f t="shared" si="2"/>
        <v/>
      </c>
      <c r="M17" s="531"/>
      <c r="N17" s="531"/>
      <c r="O17" s="539"/>
      <c r="P17" s="539"/>
      <c r="Q17" s="806"/>
      <c r="R17" s="806"/>
      <c r="S17" s="482"/>
      <c r="T17" s="458" t="str">
        <f t="shared" si="0"/>
        <v/>
      </c>
      <c r="U17" s="458" t="str">
        <f t="shared" si="1"/>
        <v/>
      </c>
    </row>
    <row r="18" spans="1:21" ht="45" customHeight="1">
      <c r="A18" s="164"/>
      <c r="B18" s="164"/>
      <c r="C18" s="822"/>
      <c r="D18" s="821"/>
      <c r="E18" s="164"/>
      <c r="F18" s="1232"/>
      <c r="G18" s="1234"/>
      <c r="H18" s="1258"/>
      <c r="I18" s="1234"/>
      <c r="J18" s="1238"/>
      <c r="K18" s="824"/>
      <c r="L18" s="15" t="str">
        <f t="shared" si="2"/>
        <v/>
      </c>
      <c r="M18" s="531"/>
      <c r="N18" s="531"/>
      <c r="O18" s="539"/>
      <c r="P18" s="539"/>
      <c r="Q18" s="806"/>
      <c r="R18" s="806"/>
      <c r="S18" s="482"/>
      <c r="T18" s="458" t="str">
        <f t="shared" si="0"/>
        <v/>
      </c>
      <c r="U18" s="458" t="str">
        <f t="shared" si="1"/>
        <v/>
      </c>
    </row>
    <row r="19" spans="1:21" ht="45" customHeight="1">
      <c r="A19" s="164"/>
      <c r="B19" s="164"/>
      <c r="C19" s="822"/>
      <c r="D19" s="821"/>
      <c r="E19" s="164"/>
      <c r="F19" s="1221" t="s">
        <v>288</v>
      </c>
      <c r="G19" s="1222" t="s">
        <v>289</v>
      </c>
      <c r="H19" s="508">
        <v>5.0999999999999996</v>
      </c>
      <c r="I19" s="507" t="s">
        <v>290</v>
      </c>
      <c r="J19" s="524">
        <v>1</v>
      </c>
      <c r="K19" s="824"/>
      <c r="L19" s="15" t="str">
        <f t="shared" si="2"/>
        <v/>
      </c>
      <c r="M19" s="531"/>
      <c r="N19" s="531"/>
      <c r="O19" s="539"/>
      <c r="P19" s="539"/>
      <c r="Q19" s="806"/>
      <c r="R19" s="806"/>
      <c r="S19" s="482"/>
      <c r="T19" s="458" t="str">
        <f t="shared" si="0"/>
        <v/>
      </c>
      <c r="U19" s="458" t="str">
        <f t="shared" si="1"/>
        <v/>
      </c>
    </row>
    <row r="20" spans="1:21" ht="45" customHeight="1">
      <c r="A20" s="164"/>
      <c r="B20" s="164"/>
      <c r="C20" s="822"/>
      <c r="D20" s="821"/>
      <c r="E20" s="164"/>
      <c r="F20" s="1221"/>
      <c r="G20" s="1222"/>
      <c r="H20" s="508">
        <v>5.2</v>
      </c>
      <c r="I20" s="507" t="s">
        <v>291</v>
      </c>
      <c r="J20" s="524">
        <v>1</v>
      </c>
      <c r="K20" s="824"/>
      <c r="L20" s="15" t="str">
        <f t="shared" si="2"/>
        <v/>
      </c>
      <c r="M20" s="531"/>
      <c r="N20" s="531"/>
      <c r="O20" s="539"/>
      <c r="P20" s="539"/>
      <c r="Q20" s="806"/>
      <c r="R20" s="806"/>
      <c r="S20" s="482"/>
      <c r="T20" s="458" t="str">
        <f t="shared" si="0"/>
        <v/>
      </c>
      <c r="U20" s="458" t="str">
        <f t="shared" si="1"/>
        <v/>
      </c>
    </row>
    <row r="21" spans="1:21" ht="45" customHeight="1">
      <c r="A21" s="164"/>
      <c r="B21" s="164"/>
      <c r="C21" s="822"/>
      <c r="D21" s="821"/>
      <c r="E21" s="164"/>
      <c r="F21" s="1221" t="s">
        <v>292</v>
      </c>
      <c r="G21" s="1222" t="s">
        <v>293</v>
      </c>
      <c r="H21" s="508">
        <v>6</v>
      </c>
      <c r="I21" s="507" t="s">
        <v>294</v>
      </c>
      <c r="J21" s="600" t="s">
        <v>494</v>
      </c>
      <c r="K21" s="489"/>
      <c r="L21" s="15"/>
      <c r="M21" s="531"/>
      <c r="N21" s="531"/>
      <c r="O21" s="539"/>
      <c r="P21" s="539"/>
      <c r="Q21" s="806"/>
      <c r="R21" s="806"/>
      <c r="S21" s="482"/>
      <c r="T21" s="458" t="str">
        <f t="shared" si="0"/>
        <v/>
      </c>
      <c r="U21" s="458" t="str">
        <f t="shared" si="1"/>
        <v/>
      </c>
    </row>
    <row r="22" spans="1:21" ht="45" customHeight="1">
      <c r="A22" s="164"/>
      <c r="B22" s="164"/>
      <c r="C22" s="822"/>
      <c r="D22" s="821"/>
      <c r="E22" s="164"/>
      <c r="F22" s="1221"/>
      <c r="G22" s="1222"/>
      <c r="H22" s="508">
        <v>6.1</v>
      </c>
      <c r="I22" s="507" t="s">
        <v>295</v>
      </c>
      <c r="J22" s="524">
        <v>1</v>
      </c>
      <c r="K22" s="824"/>
      <c r="L22" s="15" t="str">
        <f>IF(AND(K22&gt;0,$K$21&lt;&gt;$N$10),"!","")</f>
        <v/>
      </c>
      <c r="M22" s="531"/>
      <c r="N22" s="531"/>
      <c r="O22" s="539"/>
      <c r="P22" s="539"/>
      <c r="Q22" s="806"/>
      <c r="R22" s="806"/>
      <c r="S22" s="482"/>
      <c r="T22" s="458" t="str">
        <f t="shared" si="0"/>
        <v/>
      </c>
      <c r="U22" s="458" t="str">
        <f t="shared" si="1"/>
        <v/>
      </c>
    </row>
    <row r="23" spans="1:21" ht="45" customHeight="1">
      <c r="A23" s="164"/>
      <c r="B23" s="164"/>
      <c r="C23" s="822"/>
      <c r="D23" s="821"/>
      <c r="E23" s="164"/>
      <c r="F23" s="1239" t="s">
        <v>49</v>
      </c>
      <c r="G23" s="1241" t="s">
        <v>297</v>
      </c>
      <c r="H23" s="508">
        <v>7.1</v>
      </c>
      <c r="I23" s="507" t="s">
        <v>298</v>
      </c>
      <c r="J23" s="600" t="s">
        <v>494</v>
      </c>
      <c r="K23" s="489"/>
      <c r="L23" s="15"/>
      <c r="M23" s="531"/>
      <c r="N23" s="531"/>
      <c r="O23" s="539"/>
      <c r="P23" s="539"/>
      <c r="Q23" s="806"/>
      <c r="R23" s="806"/>
      <c r="S23" s="482"/>
      <c r="T23" s="458" t="str">
        <f t="shared" si="0"/>
        <v/>
      </c>
      <c r="U23" s="458" t="str">
        <f t="shared" si="1"/>
        <v/>
      </c>
    </row>
    <row r="24" spans="1:21" ht="45" customHeight="1">
      <c r="A24" s="164"/>
      <c r="B24" s="164"/>
      <c r="C24" s="822"/>
      <c r="D24" s="821"/>
      <c r="E24" s="164"/>
      <c r="F24" s="1240"/>
      <c r="G24" s="1233"/>
      <c r="H24" s="508">
        <v>7.2</v>
      </c>
      <c r="I24" s="507" t="str">
        <f>IF(G5=$Z$9,"Environmental Management System","Formalised Environmental Management System")</f>
        <v>Formalised Environmental Management System</v>
      </c>
      <c r="J24" s="524">
        <v>1</v>
      </c>
      <c r="K24" s="461"/>
      <c r="L24" s="15" t="str">
        <f>IF(AND(K24&gt;0,$K$23&lt;&gt;$N$10),"!","")</f>
        <v/>
      </c>
      <c r="M24" s="531"/>
      <c r="N24" s="531"/>
      <c r="O24" s="539"/>
      <c r="P24" s="539"/>
      <c r="Q24" s="806"/>
      <c r="R24" s="806"/>
      <c r="S24" s="482"/>
      <c r="T24" s="458" t="str">
        <f t="shared" si="0"/>
        <v/>
      </c>
      <c r="U24" s="458" t="str">
        <f t="shared" si="1"/>
        <v/>
      </c>
    </row>
    <row r="25" spans="1:21" ht="45" customHeight="1">
      <c r="A25" s="164"/>
      <c r="B25" s="164"/>
      <c r="C25" s="822"/>
      <c r="D25" s="821"/>
      <c r="E25" s="164"/>
      <c r="F25" s="1232"/>
      <c r="G25" s="1234"/>
      <c r="H25" s="508">
        <v>7.3</v>
      </c>
      <c r="I25" s="507" t="s">
        <v>46</v>
      </c>
      <c r="J25" s="524">
        <v>1</v>
      </c>
      <c r="K25" s="461"/>
      <c r="L25" s="15"/>
      <c r="M25" s="531"/>
      <c r="N25" s="531"/>
      <c r="O25" s="539"/>
      <c r="P25" s="539"/>
      <c r="Q25" s="806"/>
      <c r="R25" s="806"/>
      <c r="S25" s="482"/>
      <c r="T25" s="458" t="str">
        <f t="shared" si="0"/>
        <v/>
      </c>
      <c r="U25" s="458" t="str">
        <f t="shared" si="1"/>
        <v/>
      </c>
    </row>
    <row r="26" spans="1:21" ht="45" customHeight="1">
      <c r="A26" s="164"/>
      <c r="B26" s="164"/>
      <c r="C26" s="822"/>
      <c r="D26" s="821"/>
      <c r="E26" s="164"/>
      <c r="F26" s="1239" t="s">
        <v>300</v>
      </c>
      <c r="G26" s="1242" t="s">
        <v>496</v>
      </c>
      <c r="H26" s="508" t="s">
        <v>301</v>
      </c>
      <c r="I26" s="507" t="s">
        <v>497</v>
      </c>
      <c r="J26" s="524">
        <f>IF(G26=M26,1,0)</f>
        <v>0</v>
      </c>
      <c r="K26" s="461"/>
      <c r="L26" s="15" t="str">
        <f>IF(AND(K26&gt;0,G26="Prescriptive Pathway"),"!","")</f>
        <v/>
      </c>
      <c r="M26" s="533" t="s">
        <v>498</v>
      </c>
      <c r="N26" s="531"/>
      <c r="O26" s="539"/>
      <c r="P26" s="539"/>
      <c r="Q26" s="806"/>
      <c r="R26" s="806"/>
      <c r="S26" s="482"/>
      <c r="T26" s="458" t="str">
        <f t="shared" si="0"/>
        <v/>
      </c>
      <c r="U26" s="458" t="str">
        <f t="shared" si="1"/>
        <v/>
      </c>
    </row>
    <row r="27" spans="1:21" ht="45" customHeight="1">
      <c r="A27" s="164"/>
      <c r="B27" s="164"/>
      <c r="C27" s="822"/>
      <c r="D27" s="821"/>
      <c r="E27" s="164"/>
      <c r="F27" s="1232"/>
      <c r="G27" s="1243"/>
      <c r="H27" s="508" t="s">
        <v>303</v>
      </c>
      <c r="I27" s="507" t="s">
        <v>499</v>
      </c>
      <c r="J27" s="524">
        <f>IF(G26=M27,1,0)</f>
        <v>1</v>
      </c>
      <c r="K27" s="461"/>
      <c r="L27" s="15" t="str">
        <f>IF(AND(K27&gt;0,G26="Performance Pathway"),"!","")</f>
        <v/>
      </c>
      <c r="M27" s="534" t="s">
        <v>496</v>
      </c>
      <c r="N27" s="531"/>
      <c r="O27" s="164"/>
      <c r="P27" s="164"/>
      <c r="Q27" s="806"/>
      <c r="R27" s="806"/>
      <c r="S27" s="482"/>
      <c r="T27" s="458" t="str">
        <f t="shared" si="0"/>
        <v/>
      </c>
      <c r="U27" s="458" t="str">
        <f t="shared" si="1"/>
        <v/>
      </c>
    </row>
    <row r="28" spans="1:21" ht="37.5" customHeight="1">
      <c r="A28" s="164"/>
      <c r="B28" s="164"/>
      <c r="C28" s="822"/>
      <c r="D28" s="821"/>
      <c r="E28" s="164"/>
      <c r="F28" s="16" t="s">
        <v>305</v>
      </c>
      <c r="G28" s="68"/>
      <c r="H28" s="17"/>
      <c r="I28" s="16"/>
      <c r="J28" s="17">
        <f>SUM(J9:J27)</f>
        <v>15</v>
      </c>
      <c r="K28" s="67">
        <f>SUM(K9:K27)</f>
        <v>0</v>
      </c>
      <c r="L28" s="15" t="str">
        <f>IF(K28&gt;J28,"!","")</f>
        <v/>
      </c>
      <c r="M28" s="531"/>
      <c r="N28" s="531"/>
      <c r="O28" s="164"/>
      <c r="P28" s="164"/>
      <c r="Q28" s="19"/>
      <c r="R28" s="19"/>
      <c r="S28" s="19"/>
      <c r="T28" s="19"/>
      <c r="U28" s="19"/>
    </row>
    <row r="29" spans="1:21" ht="45" customHeight="1">
      <c r="A29" s="164"/>
      <c r="B29" s="164"/>
      <c r="C29" s="822"/>
      <c r="D29" s="821"/>
      <c r="E29" s="164"/>
      <c r="F29" s="540"/>
      <c r="G29" s="826"/>
      <c r="H29" s="30"/>
      <c r="I29" s="31"/>
      <c r="J29" s="32"/>
      <c r="K29" s="827"/>
      <c r="L29" s="12"/>
      <c r="M29" s="531"/>
      <c r="N29" s="531"/>
      <c r="O29" s="164"/>
      <c r="P29" s="164"/>
      <c r="Q29" s="538"/>
      <c r="R29" s="538"/>
      <c r="S29" s="538"/>
      <c r="T29" s="136"/>
      <c r="U29" s="136"/>
    </row>
    <row r="30" spans="1:21" ht="45" customHeight="1">
      <c r="A30" s="164"/>
      <c r="B30" s="164"/>
      <c r="C30" s="822"/>
      <c r="D30" s="821"/>
      <c r="E30" s="164"/>
      <c r="F30" s="1231" t="s">
        <v>306</v>
      </c>
      <c r="G30" s="1231"/>
      <c r="H30" s="1231"/>
      <c r="I30" s="1231"/>
      <c r="J30" s="21">
        <f>17-SUM(B31:B47)</f>
        <v>17</v>
      </c>
      <c r="K30" s="29"/>
      <c r="L30" s="15"/>
      <c r="M30" s="531"/>
      <c r="N30" s="531"/>
      <c r="O30" s="164"/>
      <c r="P30" s="164"/>
      <c r="Q30" s="21"/>
      <c r="R30" s="21"/>
      <c r="S30" s="21"/>
      <c r="T30" s="21"/>
      <c r="U30" s="21"/>
    </row>
    <row r="31" spans="1:21" ht="45" customHeight="1">
      <c r="A31" s="164">
        <v>1</v>
      </c>
      <c r="B31" s="164">
        <f t="shared" ref="B31:B36" si="3">IF(C31=TRUE,A31,0)</f>
        <v>0</v>
      </c>
      <c r="C31" s="822" t="b">
        <v>0</v>
      </c>
      <c r="D31" s="821"/>
      <c r="E31" s="814"/>
      <c r="F31" s="1221" t="s">
        <v>307</v>
      </c>
      <c r="G31" s="1222" t="s">
        <v>500</v>
      </c>
      <c r="H31" s="508">
        <v>9.1</v>
      </c>
      <c r="I31" s="509" t="s">
        <v>309</v>
      </c>
      <c r="J31" s="524">
        <f t="shared" ref="J31:J36" si="4">IF(C31=FALSE,A31,0)</f>
        <v>1</v>
      </c>
      <c r="K31" s="824"/>
      <c r="L31" s="15"/>
      <c r="M31" s="531"/>
      <c r="N31" s="531"/>
      <c r="O31" s="164"/>
      <c r="P31" s="164"/>
      <c r="Q31" s="806"/>
      <c r="R31" s="806"/>
      <c r="S31" s="455"/>
      <c r="T31" s="445" t="str">
        <f t="shared" ref="T31:T36" si="5">IF(OR(ISBLANK($K31)=FALSE,$C31=TRUE),IF(Q31="","No","Yes"),"")</f>
        <v/>
      </c>
      <c r="U31" s="445" t="b">
        <f t="shared" ref="U31:U36" si="6">IF(ISBLANK($K31)=FALSE,IF(R31="","No","Yes"),IF(C31=TRUE,"NA"))</f>
        <v>0</v>
      </c>
    </row>
    <row r="32" spans="1:21" ht="45" customHeight="1">
      <c r="A32" s="164">
        <v>2</v>
      </c>
      <c r="B32" s="164">
        <f t="shared" si="3"/>
        <v>0</v>
      </c>
      <c r="C32" s="822" t="b">
        <v>0</v>
      </c>
      <c r="D32" s="821"/>
      <c r="E32" s="164"/>
      <c r="F32" s="1221"/>
      <c r="G32" s="1222"/>
      <c r="H32" s="508">
        <v>9.1999999999999993</v>
      </c>
      <c r="I32" s="509" t="s">
        <v>310</v>
      </c>
      <c r="J32" s="524">
        <f t="shared" si="4"/>
        <v>2</v>
      </c>
      <c r="K32" s="824"/>
      <c r="L32" s="15"/>
      <c r="M32" s="531"/>
      <c r="N32" s="531"/>
      <c r="O32" s="164"/>
      <c r="P32" s="164"/>
      <c r="Q32" s="806"/>
      <c r="R32" s="806"/>
      <c r="S32" s="455"/>
      <c r="T32" s="445" t="str">
        <f t="shared" si="5"/>
        <v/>
      </c>
      <c r="U32" s="445" t="b">
        <f t="shared" si="6"/>
        <v>0</v>
      </c>
    </row>
    <row r="33" spans="1:21" ht="45" customHeight="1">
      <c r="A33" s="164">
        <v>1</v>
      </c>
      <c r="B33" s="164">
        <f t="shared" si="3"/>
        <v>0</v>
      </c>
      <c r="C33" s="822" t="b">
        <v>0</v>
      </c>
      <c r="D33" s="821"/>
      <c r="E33" s="164"/>
      <c r="F33" s="1221"/>
      <c r="G33" s="1222"/>
      <c r="H33" s="508">
        <v>9.3000000000000007</v>
      </c>
      <c r="I33" s="509" t="s">
        <v>311</v>
      </c>
      <c r="J33" s="524">
        <f t="shared" si="4"/>
        <v>1</v>
      </c>
      <c r="K33" s="824"/>
      <c r="L33" s="15"/>
      <c r="M33" s="531"/>
      <c r="N33" s="531"/>
      <c r="O33" s="164"/>
      <c r="P33" s="164"/>
      <c r="Q33" s="806"/>
      <c r="R33" s="806"/>
      <c r="S33" s="455"/>
      <c r="T33" s="445" t="str">
        <f t="shared" si="5"/>
        <v/>
      </c>
      <c r="U33" s="445" t="b">
        <f t="shared" si="6"/>
        <v>0</v>
      </c>
    </row>
    <row r="34" spans="1:21" ht="45" customHeight="1">
      <c r="A34" s="164">
        <v>1</v>
      </c>
      <c r="B34" s="164">
        <f t="shared" si="3"/>
        <v>0</v>
      </c>
      <c r="C34" s="822" t="b">
        <v>0</v>
      </c>
      <c r="D34" s="821"/>
      <c r="E34" s="164"/>
      <c r="F34" s="1221" t="s">
        <v>312</v>
      </c>
      <c r="G34" s="1222" t="s">
        <v>313</v>
      </c>
      <c r="H34" s="508">
        <v>10.1</v>
      </c>
      <c r="I34" s="509" t="s">
        <v>314</v>
      </c>
      <c r="J34" s="524">
        <f t="shared" si="4"/>
        <v>1</v>
      </c>
      <c r="K34" s="824"/>
      <c r="L34" s="15"/>
      <c r="M34" s="531"/>
      <c r="N34" s="531"/>
      <c r="O34" s="164"/>
      <c r="P34" s="164"/>
      <c r="Q34" s="806"/>
      <c r="R34" s="806"/>
      <c r="S34" s="455"/>
      <c r="T34" s="445" t="str">
        <f t="shared" si="5"/>
        <v/>
      </c>
      <c r="U34" s="445" t="b">
        <f t="shared" si="6"/>
        <v>0</v>
      </c>
    </row>
    <row r="35" spans="1:21" ht="45" customHeight="1">
      <c r="A35" s="164">
        <v>1</v>
      </c>
      <c r="B35" s="164">
        <f t="shared" si="3"/>
        <v>0</v>
      </c>
      <c r="C35" s="822" t="b">
        <v>0</v>
      </c>
      <c r="D35" s="821"/>
      <c r="E35" s="164"/>
      <c r="F35" s="1221"/>
      <c r="G35" s="1222"/>
      <c r="H35" s="508">
        <v>10.199999999999999</v>
      </c>
      <c r="I35" s="509" t="s">
        <v>315</v>
      </c>
      <c r="J35" s="524">
        <f t="shared" si="4"/>
        <v>1</v>
      </c>
      <c r="K35" s="824"/>
      <c r="L35" s="15"/>
      <c r="M35" s="531"/>
      <c r="N35" s="531"/>
      <c r="O35" s="164"/>
      <c r="P35" s="164"/>
      <c r="Q35" s="806"/>
      <c r="R35" s="806"/>
      <c r="S35" s="455"/>
      <c r="T35" s="445" t="str">
        <f t="shared" si="5"/>
        <v/>
      </c>
      <c r="U35" s="445" t="b">
        <f t="shared" si="6"/>
        <v>0</v>
      </c>
    </row>
    <row r="36" spans="1:21" ht="45" customHeight="1">
      <c r="A36" s="164">
        <v>1</v>
      </c>
      <c r="B36" s="164">
        <f t="shared" si="3"/>
        <v>0</v>
      </c>
      <c r="C36" s="822" t="b">
        <v>0</v>
      </c>
      <c r="D36" s="821"/>
      <c r="E36" s="164"/>
      <c r="F36" s="1221"/>
      <c r="G36" s="1222"/>
      <c r="H36" s="508">
        <v>10.3</v>
      </c>
      <c r="I36" s="509" t="s">
        <v>316</v>
      </c>
      <c r="J36" s="524">
        <f t="shared" si="4"/>
        <v>1</v>
      </c>
      <c r="K36" s="824"/>
      <c r="L36" s="15"/>
      <c r="M36" s="531"/>
      <c r="N36" s="531"/>
      <c r="O36" s="164"/>
      <c r="P36" s="164"/>
      <c r="Q36" s="806"/>
      <c r="R36" s="806"/>
      <c r="S36" s="455"/>
      <c r="T36" s="445" t="str">
        <f t="shared" si="5"/>
        <v/>
      </c>
      <c r="U36" s="445" t="b">
        <f t="shared" si="6"/>
        <v>0</v>
      </c>
    </row>
    <row r="37" spans="1:21" ht="45" customHeight="1">
      <c r="A37" s="164"/>
      <c r="B37" s="164"/>
      <c r="C37" s="822"/>
      <c r="D37" s="821"/>
      <c r="E37" s="164"/>
      <c r="F37" s="1221" t="s">
        <v>317</v>
      </c>
      <c r="G37" s="1222" t="s">
        <v>318</v>
      </c>
      <c r="H37" s="508">
        <v>11.1</v>
      </c>
      <c r="I37" s="509" t="s">
        <v>319</v>
      </c>
      <c r="J37" s="600" t="s">
        <v>494</v>
      </c>
      <c r="K37" s="824"/>
      <c r="L37" s="15"/>
      <c r="M37" s="531"/>
      <c r="N37" s="531"/>
      <c r="O37" s="164"/>
      <c r="P37" s="164"/>
      <c r="Q37" s="806"/>
      <c r="R37" s="806"/>
      <c r="S37" s="455"/>
      <c r="T37" s="445" t="str">
        <f>IF(ISBLANK($K37)=FALSE,IF(Q37="","No","Yes"),"")</f>
        <v/>
      </c>
      <c r="U37" s="445" t="str">
        <f>IF(ISBLANK($K37)=FALSE,IF(R37="","No","Yes"),"")</f>
        <v/>
      </c>
    </row>
    <row r="38" spans="1:21" ht="45" customHeight="1">
      <c r="A38" s="164">
        <v>1</v>
      </c>
      <c r="B38" s="164">
        <f>IF(C38=TRUE,A38,0)</f>
        <v>0</v>
      </c>
      <c r="C38" s="822" t="b">
        <v>0</v>
      </c>
      <c r="D38" s="821"/>
      <c r="E38" s="164"/>
      <c r="F38" s="1221"/>
      <c r="G38" s="1222"/>
      <c r="H38" s="508">
        <v>11.2</v>
      </c>
      <c r="I38" s="509" t="s">
        <v>320</v>
      </c>
      <c r="J38" s="524">
        <f>IF(C38=FALSE,A38,0)</f>
        <v>1</v>
      </c>
      <c r="K38" s="824"/>
      <c r="L38" s="15" t="str">
        <f>IF(AND(K38&gt;0,$K$37&lt;&gt;$N$10),"!","")</f>
        <v/>
      </c>
      <c r="M38" s="531"/>
      <c r="N38" s="531"/>
      <c r="O38" s="164"/>
      <c r="P38" s="164"/>
      <c r="Q38" s="806"/>
      <c r="R38" s="806"/>
      <c r="S38" s="455"/>
      <c r="T38" s="445" t="str">
        <f>IF(OR(ISBLANK($K38)=FALSE,$C38=TRUE),IF(Q38="","No","Yes"),"")</f>
        <v/>
      </c>
      <c r="U38" s="445" t="b">
        <f>IF(ISBLANK($K38)=FALSE,IF(R38="","No","Yes"),IF(C38=TRUE,"NA"))</f>
        <v>0</v>
      </c>
    </row>
    <row r="39" spans="1:21" ht="45" customHeight="1">
      <c r="A39" s="164">
        <v>1</v>
      </c>
      <c r="B39" s="164">
        <f>IF(C39=TRUE,A39,0)</f>
        <v>0</v>
      </c>
      <c r="C39" s="822" t="b">
        <v>0</v>
      </c>
      <c r="D39" s="821"/>
      <c r="E39" s="164"/>
      <c r="F39" s="1221"/>
      <c r="G39" s="1222"/>
      <c r="H39" s="508">
        <v>11.3</v>
      </c>
      <c r="I39" s="509" t="s">
        <v>321</v>
      </c>
      <c r="J39" s="524">
        <f>IF(C39=FALSE,A39,0)</f>
        <v>1</v>
      </c>
      <c r="K39" s="824"/>
      <c r="L39" s="15" t="str">
        <f>IF(AND(K39&gt;0,$K$37&lt;&gt;$N$10),"!","")</f>
        <v/>
      </c>
      <c r="M39" s="531"/>
      <c r="N39" s="531"/>
      <c r="O39" s="164"/>
      <c r="P39" s="164"/>
      <c r="Q39" s="806"/>
      <c r="R39" s="806"/>
      <c r="S39" s="455"/>
      <c r="T39" s="445" t="str">
        <f>IF(OR(ISBLANK($K39)=FALSE,$C39=TRUE),IF(Q39="","No","Yes"),"")</f>
        <v/>
      </c>
      <c r="U39" s="445" t="b">
        <f>IF(ISBLANK($K39)=FALSE,IF(R39="","No","Yes"),IF(C39=TRUE,"NA"))</f>
        <v>0</v>
      </c>
    </row>
    <row r="40" spans="1:21" ht="45" customHeight="1">
      <c r="A40" s="164">
        <v>1</v>
      </c>
      <c r="B40" s="164">
        <f>IF(C40=TRUE,A40,0)</f>
        <v>0</v>
      </c>
      <c r="C40" s="822" t="b">
        <v>0</v>
      </c>
      <c r="D40" s="821"/>
      <c r="E40" s="164"/>
      <c r="F40" s="1221"/>
      <c r="G40" s="1222"/>
      <c r="H40" s="508">
        <v>11.4</v>
      </c>
      <c r="I40" s="509" t="s">
        <v>322</v>
      </c>
      <c r="J40" s="524">
        <f>IF(C40=FALSE,A40,0)</f>
        <v>1</v>
      </c>
      <c r="K40" s="824"/>
      <c r="L40" s="15" t="str">
        <f>IF(AND(K40&gt;0,$K$37&lt;&gt;$N$10),"!","")</f>
        <v/>
      </c>
      <c r="M40" s="531"/>
      <c r="N40" s="531"/>
      <c r="O40" s="164"/>
      <c r="P40" s="164"/>
      <c r="Q40" s="806"/>
      <c r="R40" s="806"/>
      <c r="S40" s="455"/>
      <c r="T40" s="445" t="str">
        <f>IF(OR(ISBLANK($K40)=FALSE,$C40=TRUE),IF(Q40="","No","Yes"),"")</f>
        <v/>
      </c>
      <c r="U40" s="445" t="b">
        <f>IF(ISBLANK($K40)=FALSE,IF(R40="","No","Yes"),IF(C40=TRUE,"NA"))</f>
        <v>0</v>
      </c>
    </row>
    <row r="41" spans="1:21" ht="45" customHeight="1">
      <c r="A41" s="164"/>
      <c r="B41" s="164"/>
      <c r="C41" s="822"/>
      <c r="D41" s="821"/>
      <c r="E41" s="164"/>
      <c r="F41" s="1221" t="s">
        <v>323</v>
      </c>
      <c r="G41" s="1222" t="s">
        <v>324</v>
      </c>
      <c r="H41" s="508">
        <v>12</v>
      </c>
      <c r="I41" s="509" t="s">
        <v>325</v>
      </c>
      <c r="J41" s="600" t="s">
        <v>494</v>
      </c>
      <c r="K41" s="824"/>
      <c r="L41" s="15"/>
      <c r="M41" s="531"/>
      <c r="N41" s="531"/>
      <c r="O41" s="164"/>
      <c r="P41" s="164"/>
      <c r="Q41" s="806"/>
      <c r="R41" s="806"/>
      <c r="S41" s="455"/>
      <c r="T41" s="445" t="str">
        <f>IF(ISBLANK($K41)=FALSE,IF(Q41="","No","Yes"),"")</f>
        <v/>
      </c>
      <c r="U41" s="445" t="str">
        <f>IF(ISBLANK($K41)=FALSE,IF(R41="","No","Yes"),"")</f>
        <v/>
      </c>
    </row>
    <row r="42" spans="1:21" ht="45" customHeight="1">
      <c r="A42" s="164">
        <v>2</v>
      </c>
      <c r="B42" s="164">
        <f t="shared" ref="B42:B47" si="7">IF(C42=TRUE,A42,0)</f>
        <v>0</v>
      </c>
      <c r="C42" s="822" t="b">
        <v>0</v>
      </c>
      <c r="D42" s="821"/>
      <c r="E42" s="164"/>
      <c r="F42" s="1221"/>
      <c r="G42" s="1222"/>
      <c r="H42" s="508">
        <v>12.1</v>
      </c>
      <c r="I42" s="509" t="s">
        <v>326</v>
      </c>
      <c r="J42" s="524">
        <f t="shared" ref="J42:J47" si="8">IF(C42=FALSE,A42,0)</f>
        <v>2</v>
      </c>
      <c r="K42" s="824"/>
      <c r="L42" s="15" t="str">
        <f>IF(AND(K42&gt;0,$K$41&lt;&gt;$N$10),"!","")</f>
        <v/>
      </c>
      <c r="M42" s="531"/>
      <c r="N42" s="531"/>
      <c r="O42" s="164"/>
      <c r="P42" s="164"/>
      <c r="Q42" s="806"/>
      <c r="R42" s="806"/>
      <c r="S42" s="455"/>
      <c r="T42" s="445" t="str">
        <f t="shared" ref="T42:T47" si="9">IF(OR(ISBLANK($K42)=FALSE,$C42=TRUE),IF(Q42="","No","Yes"),"")</f>
        <v/>
      </c>
      <c r="U42" s="445" t="b">
        <f t="shared" ref="U42:U47" si="10">IF(ISBLANK($K42)=FALSE,IF(R42="","No","Yes"),IF(C42=TRUE,"NA"))</f>
        <v>0</v>
      </c>
    </row>
    <row r="43" spans="1:21" ht="45" customHeight="1">
      <c r="A43" s="164">
        <v>1</v>
      </c>
      <c r="B43" s="164">
        <f t="shared" si="7"/>
        <v>0</v>
      </c>
      <c r="C43" s="822" t="b">
        <v>0</v>
      </c>
      <c r="D43" s="821"/>
      <c r="E43" s="164"/>
      <c r="F43" s="1221"/>
      <c r="G43" s="1222"/>
      <c r="H43" s="508">
        <v>12.2</v>
      </c>
      <c r="I43" s="509" t="s">
        <v>327</v>
      </c>
      <c r="J43" s="524">
        <f t="shared" si="8"/>
        <v>1</v>
      </c>
      <c r="K43" s="824"/>
      <c r="L43" s="15" t="str">
        <f>IF(AND(K43&gt;0,$K$41&lt;&gt;$N$10),"!","")</f>
        <v/>
      </c>
      <c r="M43" s="531"/>
      <c r="N43" s="531"/>
      <c r="O43" s="164"/>
      <c r="P43" s="164"/>
      <c r="Q43" s="806"/>
      <c r="R43" s="806"/>
      <c r="S43" s="455"/>
      <c r="T43" s="445" t="str">
        <f t="shared" si="9"/>
        <v/>
      </c>
      <c r="U43" s="445" t="b">
        <f t="shared" si="10"/>
        <v>0</v>
      </c>
    </row>
    <row r="44" spans="1:21" ht="45" customHeight="1">
      <c r="A44" s="164">
        <v>1</v>
      </c>
      <c r="B44" s="164">
        <f t="shared" si="7"/>
        <v>0</v>
      </c>
      <c r="C44" s="822" t="b">
        <v>0</v>
      </c>
      <c r="D44" s="821"/>
      <c r="E44" s="164"/>
      <c r="F44" s="1221" t="s">
        <v>328</v>
      </c>
      <c r="G44" s="1222" t="s">
        <v>329</v>
      </c>
      <c r="H44" s="508">
        <v>13.1</v>
      </c>
      <c r="I44" s="509" t="s">
        <v>330</v>
      </c>
      <c r="J44" s="524">
        <f t="shared" si="8"/>
        <v>1</v>
      </c>
      <c r="K44" s="824"/>
      <c r="L44" s="15"/>
      <c r="M44" s="531"/>
      <c r="N44" s="531"/>
      <c r="O44" s="164"/>
      <c r="P44" s="164"/>
      <c r="Q44" s="806"/>
      <c r="R44" s="806"/>
      <c r="S44" s="455"/>
      <c r="T44" s="445" t="str">
        <f t="shared" si="9"/>
        <v/>
      </c>
      <c r="U44" s="445" t="b">
        <f t="shared" si="10"/>
        <v>0</v>
      </c>
    </row>
    <row r="45" spans="1:21" ht="45" customHeight="1">
      <c r="A45" s="164">
        <v>1</v>
      </c>
      <c r="B45" s="164">
        <f t="shared" si="7"/>
        <v>0</v>
      </c>
      <c r="C45" s="822" t="b">
        <v>0</v>
      </c>
      <c r="D45" s="821"/>
      <c r="E45" s="164"/>
      <c r="F45" s="1221"/>
      <c r="G45" s="1222"/>
      <c r="H45" s="508">
        <v>13.2</v>
      </c>
      <c r="I45" s="509" t="s">
        <v>331</v>
      </c>
      <c r="J45" s="524">
        <f t="shared" si="8"/>
        <v>1</v>
      </c>
      <c r="K45" s="824"/>
      <c r="L45" s="15"/>
      <c r="M45" s="531"/>
      <c r="N45" s="531"/>
      <c r="O45" s="164"/>
      <c r="P45" s="164"/>
      <c r="Q45" s="806"/>
      <c r="R45" s="806"/>
      <c r="S45" s="455"/>
      <c r="T45" s="445" t="str">
        <f t="shared" si="9"/>
        <v/>
      </c>
      <c r="U45" s="445" t="b">
        <f t="shared" si="10"/>
        <v>0</v>
      </c>
    </row>
    <row r="46" spans="1:21" ht="45" customHeight="1">
      <c r="A46" s="164">
        <v>1</v>
      </c>
      <c r="B46" s="164">
        <f t="shared" si="7"/>
        <v>0</v>
      </c>
      <c r="C46" s="822" t="b">
        <v>0</v>
      </c>
      <c r="D46" s="821"/>
      <c r="E46" s="164"/>
      <c r="F46" s="1221" t="s">
        <v>332</v>
      </c>
      <c r="G46" s="1222" t="s">
        <v>501</v>
      </c>
      <c r="H46" s="508">
        <v>14.1</v>
      </c>
      <c r="I46" s="509" t="s">
        <v>332</v>
      </c>
      <c r="J46" s="524">
        <f t="shared" si="8"/>
        <v>1</v>
      </c>
      <c r="K46" s="824"/>
      <c r="L46" s="15"/>
      <c r="M46" s="531"/>
      <c r="N46" s="531"/>
      <c r="O46" s="164"/>
      <c r="P46" s="164"/>
      <c r="Q46" s="806"/>
      <c r="R46" s="806"/>
      <c r="S46" s="455"/>
      <c r="T46" s="445" t="str">
        <f t="shared" si="9"/>
        <v/>
      </c>
      <c r="U46" s="445" t="b">
        <f t="shared" si="10"/>
        <v>0</v>
      </c>
    </row>
    <row r="47" spans="1:21" ht="45" customHeight="1">
      <c r="A47" s="164">
        <v>1</v>
      </c>
      <c r="B47" s="164">
        <f t="shared" si="7"/>
        <v>0</v>
      </c>
      <c r="C47" s="822" t="b">
        <v>0</v>
      </c>
      <c r="D47" s="821"/>
      <c r="E47" s="164"/>
      <c r="F47" s="1239"/>
      <c r="G47" s="1241"/>
      <c r="H47" s="508">
        <v>14.2</v>
      </c>
      <c r="I47" s="509" t="s">
        <v>334</v>
      </c>
      <c r="J47" s="524">
        <f t="shared" si="8"/>
        <v>1</v>
      </c>
      <c r="K47" s="824"/>
      <c r="L47" s="15"/>
      <c r="M47" s="531"/>
      <c r="N47" s="531"/>
      <c r="O47" s="164"/>
      <c r="P47" s="164"/>
      <c r="Q47" s="806"/>
      <c r="R47" s="806"/>
      <c r="S47" s="455"/>
      <c r="T47" s="445" t="str">
        <f t="shared" si="9"/>
        <v/>
      </c>
      <c r="U47" s="445" t="b">
        <f t="shared" si="10"/>
        <v>0</v>
      </c>
    </row>
    <row r="48" spans="1:21" ht="45" customHeight="1">
      <c r="A48" s="164"/>
      <c r="B48" s="164"/>
      <c r="C48" s="822"/>
      <c r="D48" s="821"/>
      <c r="E48" s="164"/>
      <c r="F48" s="16" t="s">
        <v>305</v>
      </c>
      <c r="G48" s="16"/>
      <c r="H48" s="17"/>
      <c r="I48" s="16"/>
      <c r="J48" s="17">
        <f>SUM(J31:J47)</f>
        <v>17</v>
      </c>
      <c r="K48" s="17">
        <f>SUM(K31:K47)</f>
        <v>0</v>
      </c>
      <c r="L48" s="15" t="str">
        <f>IF(K48&gt;J48,"!","")</f>
        <v/>
      </c>
      <c r="M48" s="531"/>
      <c r="N48" s="531"/>
      <c r="O48" s="164"/>
      <c r="P48" s="164"/>
      <c r="Q48" s="19"/>
      <c r="R48" s="19"/>
      <c r="S48" s="19"/>
      <c r="T48" s="19"/>
      <c r="U48" s="19"/>
    </row>
    <row r="49" spans="2:21" ht="45" customHeight="1">
      <c r="B49" s="164"/>
      <c r="C49" s="822"/>
      <c r="D49" s="821"/>
      <c r="E49" s="164"/>
      <c r="F49" s="828"/>
      <c r="G49" s="828"/>
      <c r="H49" s="817"/>
      <c r="I49" s="828"/>
      <c r="J49" s="817"/>
      <c r="K49" s="818"/>
      <c r="L49" s="34"/>
      <c r="M49" s="531"/>
      <c r="N49" s="531"/>
      <c r="O49" s="164"/>
      <c r="P49" s="164"/>
      <c r="Q49" s="538"/>
      <c r="R49" s="538"/>
      <c r="S49" s="538"/>
      <c r="T49" s="136"/>
      <c r="U49" s="136"/>
    </row>
    <row r="50" spans="2:21" ht="45" customHeight="1">
      <c r="B50" s="164"/>
      <c r="C50" s="822"/>
      <c r="D50" s="821"/>
      <c r="E50" s="164"/>
      <c r="F50" s="1231" t="s">
        <v>335</v>
      </c>
      <c r="G50" s="1231"/>
      <c r="H50" s="1231"/>
      <c r="I50" s="1231"/>
      <c r="J50" s="29">
        <f>22-SUM(B51:B52)</f>
        <v>22</v>
      </c>
      <c r="K50" s="29"/>
      <c r="L50" s="146"/>
      <c r="M50" s="531"/>
      <c r="N50" s="531"/>
      <c r="O50" s="164"/>
      <c r="P50" s="164"/>
      <c r="Q50" s="21"/>
      <c r="R50" s="21"/>
      <c r="S50" s="21"/>
      <c r="T50" s="21"/>
      <c r="U50" s="21"/>
    </row>
    <row r="51" spans="2:21" ht="45" customHeight="1">
      <c r="B51" s="164"/>
      <c r="C51" s="822"/>
      <c r="D51" s="821"/>
      <c r="E51" s="164"/>
      <c r="F51" s="1221" t="s">
        <v>336</v>
      </c>
      <c r="G51" s="1222" t="s">
        <v>337</v>
      </c>
      <c r="H51" s="508">
        <v>15.1</v>
      </c>
      <c r="I51" s="507" t="s">
        <v>338</v>
      </c>
      <c r="J51" s="600" t="s">
        <v>338</v>
      </c>
      <c r="K51" s="489"/>
      <c r="L51" s="15"/>
      <c r="M51" s="531"/>
      <c r="N51" s="531"/>
      <c r="O51" s="539"/>
      <c r="P51" s="539"/>
      <c r="Q51" s="806"/>
      <c r="R51" s="806"/>
      <c r="S51" s="482"/>
      <c r="T51" s="458" t="str">
        <f t="shared" ref="T51:U54" si="11">IF(ISBLANK($K51)=FALSE,IF(Q51="","No","Yes"),"")</f>
        <v/>
      </c>
      <c r="U51" s="458" t="str">
        <f t="shared" si="11"/>
        <v/>
      </c>
    </row>
    <row r="52" spans="2:21" ht="45" customHeight="1">
      <c r="B52" s="164"/>
      <c r="C52" s="822"/>
      <c r="D52" s="821"/>
      <c r="E52" s="164"/>
      <c r="F52" s="1221"/>
      <c r="G52" s="1222"/>
      <c r="H52" s="508">
        <v>15.2</v>
      </c>
      <c r="I52" s="507" t="s">
        <v>339</v>
      </c>
      <c r="J52" s="524">
        <v>20</v>
      </c>
      <c r="K52" s="824"/>
      <c r="L52" s="15" t="str">
        <f>IF(AND(K52&gt;0,$K$21&lt;&gt;$N$10),"!","")</f>
        <v/>
      </c>
      <c r="M52" s="531"/>
      <c r="N52" s="531"/>
      <c r="O52" s="539"/>
      <c r="P52" s="539"/>
      <c r="Q52" s="806"/>
      <c r="R52" s="806"/>
      <c r="S52" s="482"/>
      <c r="T52" s="458" t="str">
        <f t="shared" si="11"/>
        <v/>
      </c>
      <c r="U52" s="458" t="str">
        <f t="shared" si="11"/>
        <v/>
      </c>
    </row>
    <row r="53" spans="2:21" ht="45" customHeight="1">
      <c r="B53" s="164"/>
      <c r="C53" s="822"/>
      <c r="D53" s="821"/>
      <c r="E53" s="164"/>
      <c r="F53" s="1244" t="s">
        <v>340</v>
      </c>
      <c r="G53" s="1246" t="s">
        <v>502</v>
      </c>
      <c r="H53" s="511" t="s">
        <v>341</v>
      </c>
      <c r="I53" s="510" t="s">
        <v>503</v>
      </c>
      <c r="J53" s="511">
        <f>IF(G53=M53,1,0)</f>
        <v>0</v>
      </c>
      <c r="K53" s="461"/>
      <c r="L53" s="12"/>
      <c r="M53" s="533" t="s">
        <v>504</v>
      </c>
      <c r="N53" s="531"/>
      <c r="O53" s="164"/>
      <c r="P53" s="164"/>
      <c r="Q53" s="806"/>
      <c r="R53" s="806"/>
      <c r="S53" s="455"/>
      <c r="T53" s="445" t="str">
        <f t="shared" si="11"/>
        <v/>
      </c>
      <c r="U53" s="445" t="str">
        <f t="shared" si="11"/>
        <v/>
      </c>
    </row>
    <row r="54" spans="2:21" ht="45" customHeight="1">
      <c r="B54" s="164"/>
      <c r="C54" s="822"/>
      <c r="D54" s="821"/>
      <c r="E54" s="164"/>
      <c r="F54" s="1245"/>
      <c r="G54" s="1247"/>
      <c r="H54" s="516" t="s">
        <v>343</v>
      </c>
      <c r="I54" s="512" t="s">
        <v>505</v>
      </c>
      <c r="J54" s="516">
        <f>IF(G53=M54,2,0)</f>
        <v>2</v>
      </c>
      <c r="K54" s="461"/>
      <c r="L54" s="12"/>
      <c r="M54" s="534" t="s">
        <v>502</v>
      </c>
      <c r="N54" s="531"/>
      <c r="O54" s="164"/>
      <c r="P54" s="164"/>
      <c r="Q54" s="806"/>
      <c r="R54" s="806"/>
      <c r="S54" s="455"/>
      <c r="T54" s="445" t="str">
        <f t="shared" si="11"/>
        <v/>
      </c>
      <c r="U54" s="445" t="str">
        <f t="shared" si="11"/>
        <v/>
      </c>
    </row>
    <row r="55" spans="2:21" ht="45" customHeight="1">
      <c r="B55" s="164"/>
      <c r="C55" s="822"/>
      <c r="D55" s="821"/>
      <c r="E55" s="164"/>
      <c r="F55" s="16" t="s">
        <v>305</v>
      </c>
      <c r="G55" s="16"/>
      <c r="H55" s="17"/>
      <c r="I55" s="16"/>
      <c r="J55" s="17">
        <f>SUM(J51:J54)</f>
        <v>22</v>
      </c>
      <c r="K55" s="17">
        <f>SUM(K51:K54)</f>
        <v>0</v>
      </c>
      <c r="L55" s="15" t="str">
        <f>IF(K55&gt;J55,"!","")</f>
        <v/>
      </c>
      <c r="M55" s="531"/>
      <c r="N55" s="531"/>
      <c r="O55" s="164"/>
      <c r="P55" s="164"/>
      <c r="Q55" s="19"/>
      <c r="R55" s="19"/>
      <c r="S55" s="19"/>
      <c r="T55" s="19"/>
      <c r="U55" s="19"/>
    </row>
    <row r="56" spans="2:21" ht="45" customHeight="1">
      <c r="B56" s="164"/>
      <c r="C56" s="822"/>
      <c r="D56" s="821"/>
      <c r="E56" s="164"/>
      <c r="F56" s="814"/>
      <c r="G56" s="814"/>
      <c r="H56" s="538"/>
      <c r="I56" s="814"/>
      <c r="J56" s="538"/>
      <c r="K56" s="815"/>
      <c r="L56" s="36"/>
      <c r="M56" s="531"/>
      <c r="N56" s="531"/>
      <c r="O56" s="164"/>
      <c r="P56" s="164"/>
      <c r="Q56" s="538"/>
      <c r="R56" s="538"/>
      <c r="S56" s="538"/>
      <c r="T56" s="136"/>
      <c r="U56" s="136"/>
    </row>
    <row r="57" spans="2:21" ht="45" customHeight="1">
      <c r="B57" s="164"/>
      <c r="C57" s="822"/>
      <c r="D57" s="821"/>
      <c r="E57" s="164"/>
      <c r="F57" s="165" t="s">
        <v>345</v>
      </c>
      <c r="G57" s="28"/>
      <c r="H57" s="37"/>
      <c r="I57" s="28"/>
      <c r="J57" s="29">
        <f>10-SUM(B57:B61)</f>
        <v>10</v>
      </c>
      <c r="K57" s="29"/>
      <c r="L57" s="12"/>
      <c r="M57" s="531"/>
      <c r="N57" s="531"/>
      <c r="O57" s="164"/>
      <c r="P57" s="164"/>
      <c r="Q57" s="21"/>
      <c r="R57" s="21"/>
      <c r="S57" s="21"/>
      <c r="T57" s="21"/>
      <c r="U57" s="21"/>
    </row>
    <row r="58" spans="2:21" ht="45" customHeight="1">
      <c r="B58" s="164">
        <f>IF(AND($G$58=$M$59,C58=TRUE),1,0)</f>
        <v>0</v>
      </c>
      <c r="C58" s="822" t="b">
        <v>0</v>
      </c>
      <c r="D58" s="821"/>
      <c r="E58" s="164"/>
      <c r="F58" s="602"/>
      <c r="G58" s="603"/>
      <c r="H58" s="514"/>
      <c r="I58" s="513"/>
      <c r="J58" s="514"/>
      <c r="K58" s="461"/>
      <c r="L58" s="12"/>
      <c r="M58" s="533" t="s">
        <v>498</v>
      </c>
      <c r="N58" s="531"/>
      <c r="O58" s="164"/>
      <c r="P58" s="164"/>
      <c r="Q58" s="806"/>
      <c r="R58" s="806"/>
      <c r="S58" s="455"/>
      <c r="T58" s="445" t="str">
        <f>IF(ISBLANK($K58)=FALSE,IF(Q58="","No","Yes"),"")</f>
        <v/>
      </c>
      <c r="U58" s="445" t="str">
        <f>IF(ISBLANK($K58)=FALSE,IF(R58="","No","Yes"),"")</f>
        <v/>
      </c>
    </row>
    <row r="59" spans="2:21" ht="45" customHeight="1">
      <c r="B59" s="164">
        <f>IF(AND($G$58=$M$59,C59=TRUE),1,0)</f>
        <v>0</v>
      </c>
      <c r="C59" s="822" t="b">
        <v>0</v>
      </c>
      <c r="D59" s="821"/>
      <c r="E59" s="164"/>
      <c r="F59" s="1223" t="s">
        <v>346</v>
      </c>
      <c r="G59" s="1225" t="s">
        <v>347</v>
      </c>
      <c r="H59" s="511">
        <v>17.100000000000001</v>
      </c>
      <c r="I59" s="510" t="s">
        <v>348</v>
      </c>
      <c r="J59" s="511">
        <v>4</v>
      </c>
      <c r="K59" s="461"/>
      <c r="L59" s="12"/>
      <c r="M59" s="534" t="s">
        <v>496</v>
      </c>
      <c r="N59" s="531"/>
      <c r="O59" s="164"/>
      <c r="P59" s="164"/>
      <c r="Q59" s="806"/>
      <c r="R59" s="806"/>
      <c r="S59" s="455"/>
      <c r="T59" s="445" t="str">
        <f>IF(ISBLANK($K59)=FALSE,IF(Q59="","No","Yes"),"")</f>
        <v/>
      </c>
      <c r="U59" s="445" t="str">
        <f>IF(ISBLANK($K59)=FALSE,IF(R59="","No","Yes"),"")</f>
        <v/>
      </c>
    </row>
    <row r="60" spans="2:21" ht="45" customHeight="1">
      <c r="B60" s="164"/>
      <c r="C60" s="822"/>
      <c r="D60" s="821"/>
      <c r="E60" s="164"/>
      <c r="F60" s="1223"/>
      <c r="G60" s="1225"/>
      <c r="H60" s="511">
        <v>17.2</v>
      </c>
      <c r="I60" s="515" t="s">
        <v>349</v>
      </c>
      <c r="J60" s="511">
        <v>1</v>
      </c>
      <c r="K60" s="461"/>
      <c r="L60" s="12"/>
      <c r="M60" s="531"/>
      <c r="N60" s="531"/>
      <c r="O60" s="164"/>
      <c r="P60" s="164"/>
      <c r="Q60" s="806"/>
      <c r="R60" s="806"/>
      <c r="S60" s="455"/>
      <c r="T60" s="445" t="str">
        <f>IF(OR(ISBLANK($K60)=FALSE,$C58=TRUE),IF(Q60="","No","Yes"),"")</f>
        <v/>
      </c>
      <c r="U60" s="445" t="b">
        <f>IF(ISBLANK($K60)=FALSE,IF(R60="","No","Yes"),IF(C58=TRUE,"NA"))</f>
        <v>0</v>
      </c>
    </row>
    <row r="61" spans="2:21" ht="45" customHeight="1">
      <c r="B61" s="164"/>
      <c r="C61" s="822"/>
      <c r="D61" s="821"/>
      <c r="E61" s="164"/>
      <c r="F61" s="1223"/>
      <c r="G61" s="1225"/>
      <c r="H61" s="511">
        <v>17.3</v>
      </c>
      <c r="I61" s="515" t="s">
        <v>350</v>
      </c>
      <c r="J61" s="511">
        <v>2</v>
      </c>
      <c r="K61" s="461"/>
      <c r="L61" s="12"/>
      <c r="M61" s="531"/>
      <c r="N61" s="531"/>
      <c r="O61" s="164"/>
      <c r="P61" s="164"/>
      <c r="Q61" s="806"/>
      <c r="R61" s="806"/>
      <c r="S61" s="455"/>
      <c r="T61" s="445" t="str">
        <f>IF(OR(ISBLANK($K61)=FALSE,$C59=TRUE),IF(Q61="","No","Yes"),"")</f>
        <v/>
      </c>
      <c r="U61" s="445" t="b">
        <f>IF(ISBLANK($K61)=FALSE,IF(R61="","No","Yes"),IF(C59=TRUE,"NA"))</f>
        <v>0</v>
      </c>
    </row>
    <row r="62" spans="2:21" ht="45" customHeight="1">
      <c r="B62" s="164"/>
      <c r="C62" s="822"/>
      <c r="D62" s="821"/>
      <c r="E62" s="164"/>
      <c r="F62" s="1223"/>
      <c r="G62" s="1225"/>
      <c r="H62" s="511">
        <v>17.399999999999999</v>
      </c>
      <c r="I62" s="510" t="s">
        <v>351</v>
      </c>
      <c r="J62" s="511">
        <v>2</v>
      </c>
      <c r="K62" s="461"/>
      <c r="L62" s="12"/>
      <c r="M62" s="531"/>
      <c r="N62" s="531"/>
      <c r="O62" s="164"/>
      <c r="P62" s="164"/>
      <c r="Q62" s="806"/>
      <c r="R62" s="806"/>
      <c r="S62" s="455"/>
      <c r="T62" s="445" t="str">
        <f>IF(ISBLANK($K62)=FALSE,IF(Q62="","No","Yes"),"")</f>
        <v/>
      </c>
      <c r="U62" s="445" t="str">
        <f>IF(ISBLANK($K62)=FALSE,IF(R62="","No","Yes"),"")</f>
        <v/>
      </c>
    </row>
    <row r="63" spans="2:21" ht="45" customHeight="1">
      <c r="B63" s="164"/>
      <c r="C63" s="822"/>
      <c r="D63" s="821"/>
      <c r="E63" s="164"/>
      <c r="F63" s="1224"/>
      <c r="G63" s="1226"/>
      <c r="H63" s="516">
        <v>17.5</v>
      </c>
      <c r="I63" s="512" t="s">
        <v>352</v>
      </c>
      <c r="J63" s="516">
        <v>1</v>
      </c>
      <c r="K63" s="461"/>
      <c r="L63" s="12"/>
      <c r="M63" s="531"/>
      <c r="N63" s="531"/>
      <c r="O63" s="164"/>
      <c r="P63" s="164"/>
      <c r="Q63" s="806"/>
      <c r="R63" s="806"/>
      <c r="S63" s="455"/>
      <c r="T63" s="445" t="str">
        <f>IF(ISBLANK($K63)=FALSE,IF(Q63="","No","Yes"),"")</f>
        <v/>
      </c>
      <c r="U63" s="445" t="str">
        <f>IF(ISBLANK($K63)=FALSE,IF(R63="","No","Yes"),"")</f>
        <v/>
      </c>
    </row>
    <row r="64" spans="2:21" ht="45" customHeight="1">
      <c r="B64" s="164"/>
      <c r="C64" s="822"/>
      <c r="D64" s="821"/>
      <c r="E64" s="164"/>
      <c r="F64" s="16" t="s">
        <v>305</v>
      </c>
      <c r="G64" s="16"/>
      <c r="H64" s="17"/>
      <c r="I64" s="16"/>
      <c r="J64" s="17">
        <f>SUM(J58:J63)</f>
        <v>10</v>
      </c>
      <c r="K64" s="17">
        <f>SUM(K58:K63)</f>
        <v>0</v>
      </c>
      <c r="L64" s="15" t="str">
        <f>IF(K64&gt;J64,"!","")</f>
        <v/>
      </c>
      <c r="M64" s="531"/>
      <c r="N64" s="531"/>
      <c r="O64" s="164"/>
      <c r="P64" s="164"/>
      <c r="Q64" s="19"/>
      <c r="R64" s="19"/>
      <c r="S64" s="19"/>
      <c r="T64" s="19"/>
      <c r="U64" s="19"/>
    </row>
    <row r="65" spans="2:21" ht="45" customHeight="1">
      <c r="B65" s="164"/>
      <c r="C65" s="822"/>
      <c r="D65" s="821"/>
      <c r="E65" s="164"/>
      <c r="F65" s="814"/>
      <c r="G65" s="814"/>
      <c r="H65" s="538"/>
      <c r="I65" s="814"/>
      <c r="J65" s="538"/>
      <c r="K65" s="815"/>
      <c r="L65" s="36"/>
      <c r="M65" s="531"/>
      <c r="N65" s="531"/>
      <c r="O65" s="164"/>
      <c r="P65" s="164"/>
      <c r="Q65" s="538"/>
      <c r="R65" s="538"/>
      <c r="S65" s="538"/>
      <c r="T65" s="136"/>
      <c r="U65" s="136"/>
    </row>
    <row r="66" spans="2:21" ht="45" customHeight="1">
      <c r="B66" s="164"/>
      <c r="C66" s="822"/>
      <c r="D66" s="821"/>
      <c r="E66" s="164"/>
      <c r="F66" s="165" t="s">
        <v>353</v>
      </c>
      <c r="G66" s="28"/>
      <c r="H66" s="37"/>
      <c r="I66" s="28"/>
      <c r="J66" s="29">
        <f>12-SUM(B65:B70)</f>
        <v>12</v>
      </c>
      <c r="K66" s="29"/>
      <c r="L66" s="12"/>
      <c r="M66" s="531"/>
      <c r="N66" s="531"/>
      <c r="O66" s="164"/>
      <c r="P66" s="164"/>
      <c r="Q66" s="21"/>
      <c r="R66" s="21"/>
      <c r="S66" s="21"/>
      <c r="T66" s="21"/>
      <c r="U66" s="21"/>
    </row>
    <row r="67" spans="2:21" ht="45" customHeight="1">
      <c r="B67" s="164"/>
      <c r="C67" s="822"/>
      <c r="D67" s="821"/>
      <c r="E67" s="164"/>
      <c r="F67" s="1232" t="s">
        <v>354</v>
      </c>
      <c r="G67" s="1225" t="s">
        <v>496</v>
      </c>
      <c r="H67" s="514" t="str">
        <f>IF($G$5=$Z$9,"18A","18A.1")</f>
        <v>18A.1</v>
      </c>
      <c r="I67" s="513" t="s">
        <v>356</v>
      </c>
      <c r="J67" s="514">
        <f>IF(G67=M67,12,0)</f>
        <v>0</v>
      </c>
      <c r="K67" s="461"/>
      <c r="L67" s="12"/>
      <c r="M67" s="533" t="s">
        <v>498</v>
      </c>
      <c r="N67" s="531"/>
      <c r="O67" s="164"/>
      <c r="P67" s="164"/>
      <c r="Q67" s="806"/>
      <c r="R67" s="806"/>
      <c r="S67" s="455"/>
      <c r="T67" s="445" t="str">
        <f t="shared" ref="T67:U70" si="12">IF(ISBLANK($K67)=FALSE,IF(Q67="","No","Yes"),"")</f>
        <v/>
      </c>
      <c r="U67" s="445" t="str">
        <f t="shared" si="12"/>
        <v/>
      </c>
    </row>
    <row r="68" spans="2:21" ht="45" customHeight="1">
      <c r="B68" s="164"/>
      <c r="C68" s="822"/>
      <c r="D68" s="821"/>
      <c r="E68" s="164"/>
      <c r="F68" s="1221"/>
      <c r="G68" s="1225"/>
      <c r="H68" s="511" t="s">
        <v>357</v>
      </c>
      <c r="I68" s="510" t="s">
        <v>358</v>
      </c>
      <c r="J68" s="511">
        <f>IF($G$67=$M$68,1,0)</f>
        <v>1</v>
      </c>
      <c r="K68" s="461"/>
      <c r="L68" s="12"/>
      <c r="M68" s="534" t="s">
        <v>496</v>
      </c>
      <c r="N68" s="531"/>
      <c r="O68" s="164"/>
      <c r="P68" s="164"/>
      <c r="Q68" s="806"/>
      <c r="R68" s="806"/>
      <c r="S68" s="455"/>
      <c r="T68" s="445" t="str">
        <f t="shared" si="12"/>
        <v/>
      </c>
      <c r="U68" s="445" t="str">
        <f t="shared" si="12"/>
        <v/>
      </c>
    </row>
    <row r="69" spans="2:21" ht="45" customHeight="1">
      <c r="B69" s="164">
        <f>IF(AND($G$67=$M$68,C69=TRUE),1,0)</f>
        <v>0</v>
      </c>
      <c r="C69" s="822" t="b">
        <v>0</v>
      </c>
      <c r="D69" s="821"/>
      <c r="E69" s="164"/>
      <c r="F69" s="1221"/>
      <c r="G69" s="1225"/>
      <c r="H69" s="511" t="s">
        <v>359</v>
      </c>
      <c r="I69" s="510" t="s">
        <v>360</v>
      </c>
      <c r="J69" s="511">
        <f>IF($G$67=$M$68,1,0)</f>
        <v>1</v>
      </c>
      <c r="K69" s="461"/>
      <c r="L69" s="12"/>
      <c r="M69" s="531"/>
      <c r="N69" s="531"/>
      <c r="O69" s="164"/>
      <c r="P69" s="164"/>
      <c r="Q69" s="806"/>
      <c r="R69" s="806"/>
      <c r="S69" s="455"/>
      <c r="T69" s="445" t="str">
        <f t="shared" si="12"/>
        <v/>
      </c>
      <c r="U69" s="445" t="str">
        <f t="shared" si="12"/>
        <v/>
      </c>
    </row>
    <row r="70" spans="2:21" ht="45" customHeight="1">
      <c r="B70" s="164">
        <f>IF(AND($G$67=$M$68,C70=TRUE),1,0)</f>
        <v>0</v>
      </c>
      <c r="C70" s="822" t="b">
        <v>0</v>
      </c>
      <c r="D70" s="821"/>
      <c r="E70" s="164"/>
      <c r="F70" s="1221"/>
      <c r="G70" s="1225"/>
      <c r="H70" s="511" t="s">
        <v>361</v>
      </c>
      <c r="I70" s="510" t="s">
        <v>362</v>
      </c>
      <c r="J70" s="511">
        <f>IF($G$67=$M$68,2,0)</f>
        <v>2</v>
      </c>
      <c r="K70" s="461"/>
      <c r="L70" s="12"/>
      <c r="M70" s="531"/>
      <c r="N70" s="531"/>
      <c r="O70" s="164"/>
      <c r="P70" s="164"/>
      <c r="Q70" s="806"/>
      <c r="R70" s="806"/>
      <c r="S70" s="455"/>
      <c r="T70" s="445" t="str">
        <f t="shared" si="12"/>
        <v/>
      </c>
      <c r="U70" s="445" t="str">
        <f t="shared" si="12"/>
        <v/>
      </c>
    </row>
    <row r="71" spans="2:21" ht="45" customHeight="1">
      <c r="B71" s="164"/>
      <c r="C71" s="822"/>
      <c r="D71" s="821"/>
      <c r="E71" s="164"/>
      <c r="F71" s="1221"/>
      <c r="G71" s="1225"/>
      <c r="H71" s="511" t="s">
        <v>363</v>
      </c>
      <c r="I71" s="515" t="s">
        <v>364</v>
      </c>
      <c r="J71" s="511">
        <f>IF(OR($G$67=$M$67,C69=TRUE),0,1)</f>
        <v>1</v>
      </c>
      <c r="K71" s="461"/>
      <c r="L71" s="12"/>
      <c r="M71" s="531"/>
      <c r="N71" s="531"/>
      <c r="O71" s="164"/>
      <c r="P71" s="164"/>
      <c r="Q71" s="806"/>
      <c r="R71" s="806"/>
      <c r="S71" s="455"/>
      <c r="T71" s="445" t="str">
        <f>IF(OR(ISBLANK($K71)=FALSE,$C69=TRUE),IF(Q71="","No","Yes"),"")</f>
        <v/>
      </c>
      <c r="U71" s="445" t="b">
        <f>IF(ISBLANK($K71)=FALSE,IF(R71="","No","Yes"),IF(C69=TRUE,"NA"))</f>
        <v>0</v>
      </c>
    </row>
    <row r="72" spans="2:21" ht="45" customHeight="1">
      <c r="B72" s="164"/>
      <c r="C72" s="822"/>
      <c r="D72" s="821"/>
      <c r="E72" s="164"/>
      <c r="F72" s="1239"/>
      <c r="G72" s="1225"/>
      <c r="H72" s="516" t="s">
        <v>365</v>
      </c>
      <c r="I72" s="515" t="str">
        <f>IF($G$5=$Z$9,"Fire Protection System Test Water","Fire System Test Water")</f>
        <v>Fire System Test Water</v>
      </c>
      <c r="J72" s="516">
        <f>IF(OR($G$67=$M$67,C70=TRUE),0,1)</f>
        <v>1</v>
      </c>
      <c r="K72" s="461"/>
      <c r="L72" s="12"/>
      <c r="M72" s="531"/>
      <c r="N72" s="531"/>
      <c r="O72" s="164"/>
      <c r="P72" s="164"/>
      <c r="Q72" s="806"/>
      <c r="R72" s="806"/>
      <c r="S72" s="455"/>
      <c r="T72" s="445" t="str">
        <f>IF(OR(ISBLANK($K72)=FALSE,$C70=TRUE),IF(Q72="","No","Yes"),"")</f>
        <v/>
      </c>
      <c r="U72" s="445" t="b">
        <f>IF(ISBLANK($K72)=FALSE,IF(R72="","No","Yes"),IF(C70=TRUE,"NA"))</f>
        <v>0</v>
      </c>
    </row>
    <row r="73" spans="2:21" ht="45" customHeight="1">
      <c r="B73" s="164"/>
      <c r="C73" s="822"/>
      <c r="D73" s="821"/>
      <c r="E73" s="164"/>
      <c r="F73" s="16" t="s">
        <v>305</v>
      </c>
      <c r="G73" s="16"/>
      <c r="H73" s="17"/>
      <c r="I73" s="16"/>
      <c r="J73" s="17">
        <f>SUM(J67:J72)</f>
        <v>6</v>
      </c>
      <c r="K73" s="17">
        <f>SUM(K67:K72)</f>
        <v>0</v>
      </c>
      <c r="L73" s="15" t="str">
        <f>IF(K73&gt;J73,"!","")</f>
        <v/>
      </c>
      <c r="M73" s="531"/>
      <c r="N73" s="531"/>
      <c r="O73" s="164"/>
      <c r="P73" s="164"/>
      <c r="Q73" s="19"/>
      <c r="R73" s="19"/>
      <c r="S73" s="19"/>
      <c r="T73" s="19"/>
      <c r="U73" s="19"/>
    </row>
    <row r="74" spans="2:21" ht="45" customHeight="1">
      <c r="B74" s="164"/>
      <c r="C74" s="822"/>
      <c r="D74" s="821"/>
      <c r="E74" s="164"/>
      <c r="F74" s="814"/>
      <c r="G74" s="814"/>
      <c r="H74" s="538"/>
      <c r="I74" s="814"/>
      <c r="J74" s="538"/>
      <c r="K74" s="815"/>
      <c r="L74" s="36"/>
      <c r="M74" s="531"/>
      <c r="N74" s="531"/>
      <c r="O74" s="164"/>
      <c r="P74" s="164"/>
      <c r="Q74" s="538"/>
      <c r="R74" s="538"/>
      <c r="S74" s="538"/>
      <c r="T74" s="136"/>
      <c r="U74" s="136"/>
    </row>
    <row r="75" spans="2:21" ht="45" customHeight="1">
      <c r="B75" s="164"/>
      <c r="C75" s="822"/>
      <c r="D75" s="821"/>
      <c r="E75" s="164"/>
      <c r="F75" s="165" t="s">
        <v>367</v>
      </c>
      <c r="G75" s="28"/>
      <c r="H75" s="29"/>
      <c r="I75" s="28"/>
      <c r="J75" s="29">
        <f>14-SUM(B74:B89)</f>
        <v>14</v>
      </c>
      <c r="K75" s="29"/>
      <c r="L75" s="12"/>
      <c r="M75" s="531"/>
      <c r="N75" s="531"/>
      <c r="O75" s="164"/>
      <c r="P75" s="164"/>
      <c r="Q75" s="21"/>
      <c r="R75" s="21"/>
      <c r="S75" s="21"/>
      <c r="T75" s="21"/>
      <c r="U75" s="21"/>
    </row>
    <row r="76" spans="2:21" ht="45" customHeight="1">
      <c r="B76" s="164"/>
      <c r="C76" s="822"/>
      <c r="D76" s="821"/>
      <c r="E76" s="164"/>
      <c r="F76" s="1239" t="s">
        <v>368</v>
      </c>
      <c r="G76" s="1250" t="s">
        <v>506</v>
      </c>
      <c r="H76" s="517" t="s">
        <v>370</v>
      </c>
      <c r="I76" s="518" t="s">
        <v>371</v>
      </c>
      <c r="J76" s="517">
        <f>IF($G$76=$M$76,6,0)</f>
        <v>6</v>
      </c>
      <c r="K76" s="461"/>
      <c r="L76" s="12"/>
      <c r="M76" s="533" t="s">
        <v>506</v>
      </c>
      <c r="N76" s="531"/>
      <c r="O76" s="164"/>
      <c r="P76" s="164"/>
      <c r="Q76" s="806"/>
      <c r="R76" s="806"/>
      <c r="S76" s="455"/>
      <c r="T76" s="445" t="str">
        <f t="shared" ref="T76:U84" si="13">IF(ISBLANK($K76)=FALSE,IF(Q76="","No","Yes"),"")</f>
        <v/>
      </c>
      <c r="U76" s="445" t="str">
        <f t="shared" si="13"/>
        <v/>
      </c>
    </row>
    <row r="77" spans="2:21" ht="45" customHeight="1">
      <c r="B77" s="164"/>
      <c r="C77" s="822"/>
      <c r="D77" s="821"/>
      <c r="E77" s="164"/>
      <c r="F77" s="1240"/>
      <c r="G77" s="1251"/>
      <c r="H77" s="517" t="s">
        <v>373</v>
      </c>
      <c r="I77" s="518" t="s">
        <v>374</v>
      </c>
      <c r="J77" s="517">
        <v>4</v>
      </c>
      <c r="K77" s="461"/>
      <c r="L77" s="12"/>
      <c r="M77" s="534" t="s">
        <v>507</v>
      </c>
      <c r="N77" s="531"/>
      <c r="O77" s="164"/>
      <c r="P77" s="164"/>
      <c r="Q77" s="806"/>
      <c r="R77" s="806"/>
      <c r="S77" s="455"/>
      <c r="T77" s="445" t="str">
        <f t="shared" si="13"/>
        <v/>
      </c>
      <c r="U77" s="445" t="str">
        <f t="shared" si="13"/>
        <v/>
      </c>
    </row>
    <row r="78" spans="2:21" ht="45" customHeight="1">
      <c r="B78" s="164"/>
      <c r="C78" s="822"/>
      <c r="D78" s="821"/>
      <c r="E78" s="164"/>
      <c r="F78" s="1240"/>
      <c r="G78" s="1251"/>
      <c r="H78" s="517" t="s">
        <v>375</v>
      </c>
      <c r="I78" s="518" t="s">
        <v>376</v>
      </c>
      <c r="J78" s="517">
        <f>IF($G$72=$Q$73,3,0)</f>
        <v>3</v>
      </c>
      <c r="K78" s="461"/>
      <c r="L78" s="1236" t="str">
        <f>IF(SUM(K78:K83)&gt;5,"Error: the total number of points available for the 'Material Use' Pathway is 5. Please enter a points score less than or equal to 5.","")</f>
        <v/>
      </c>
      <c r="M78" s="531"/>
      <c r="N78" s="531"/>
      <c r="O78" s="164"/>
      <c r="P78" s="164"/>
      <c r="Q78" s="806"/>
      <c r="R78" s="806"/>
      <c r="S78" s="455"/>
      <c r="T78" s="445" t="str">
        <f t="shared" si="13"/>
        <v/>
      </c>
      <c r="U78" s="445" t="str">
        <f t="shared" si="13"/>
        <v/>
      </c>
    </row>
    <row r="79" spans="2:21" ht="45" customHeight="1">
      <c r="B79" s="164"/>
      <c r="C79" s="822"/>
      <c r="D79" s="821"/>
      <c r="E79" s="164"/>
      <c r="F79" s="1240"/>
      <c r="G79" s="1251"/>
      <c r="H79" s="517" t="s">
        <v>377</v>
      </c>
      <c r="I79" s="518" t="s">
        <v>378</v>
      </c>
      <c r="J79" s="517">
        <f>IF($G$72=$Q$73,1,0)</f>
        <v>1</v>
      </c>
      <c r="K79" s="461"/>
      <c r="L79" s="1236"/>
      <c r="M79" s="531"/>
      <c r="N79" s="531"/>
      <c r="O79" s="164"/>
      <c r="P79" s="164"/>
      <c r="Q79" s="806"/>
      <c r="R79" s="806"/>
      <c r="S79" s="455"/>
      <c r="T79" s="445" t="str">
        <f>IF(ISBLANK($K79)=FALSE,IF(Q79="","No","Yes"),"")</f>
        <v/>
      </c>
      <c r="U79" s="445" t="str">
        <f>IF(ISBLANK($K79)=FALSE,IF(R79="","No","Yes"),"")</f>
        <v/>
      </c>
    </row>
    <row r="80" spans="2:21" ht="45" customHeight="1">
      <c r="B80" s="164"/>
      <c r="C80" s="822"/>
      <c r="D80" s="821"/>
      <c r="E80" s="164"/>
      <c r="F80" s="1240"/>
      <c r="G80" s="1251"/>
      <c r="H80" s="517" t="s">
        <v>379</v>
      </c>
      <c r="I80" s="518" t="s">
        <v>380</v>
      </c>
      <c r="J80" s="517">
        <f>IF($G$72=$Q$73,4,0)</f>
        <v>4</v>
      </c>
      <c r="K80" s="461"/>
      <c r="L80" s="1236"/>
      <c r="M80" s="531"/>
      <c r="N80" s="531"/>
      <c r="O80" s="164"/>
      <c r="P80" s="164"/>
      <c r="Q80" s="806"/>
      <c r="R80" s="806"/>
      <c r="S80" s="455"/>
      <c r="T80" s="445" t="str">
        <f>IF(ISBLANK($K80)=FALSE,IF(Q80="","No","Yes"),"")</f>
        <v/>
      </c>
      <c r="U80" s="445" t="str">
        <f>IF(ISBLANK($K80)=FALSE,IF(R80="","No","Yes"),"")</f>
        <v/>
      </c>
    </row>
    <row r="81" spans="1:21" ht="45" customHeight="1">
      <c r="A81" s="164">
        <v>4</v>
      </c>
      <c r="B81" s="164">
        <f>IF(C81=TRUE,A81,0)</f>
        <v>0</v>
      </c>
      <c r="C81" s="822"/>
      <c r="D81" s="821"/>
      <c r="E81" s="164"/>
      <c r="F81" s="1240"/>
      <c r="G81" s="1251"/>
      <c r="H81" s="517" t="s">
        <v>381</v>
      </c>
      <c r="I81" s="518" t="s">
        <v>382</v>
      </c>
      <c r="J81" s="517">
        <f>IF($G$72=$Q$73,3,0)</f>
        <v>3</v>
      </c>
      <c r="K81" s="461"/>
      <c r="L81" s="1236"/>
      <c r="M81" s="533" t="s">
        <v>508</v>
      </c>
      <c r="N81" s="531"/>
      <c r="O81" s="164"/>
      <c r="P81" s="164"/>
      <c r="Q81" s="806"/>
      <c r="R81" s="806"/>
      <c r="S81" s="455"/>
      <c r="T81" s="445" t="str">
        <f t="shared" si="13"/>
        <v/>
      </c>
      <c r="U81" s="445" t="str">
        <f t="shared" si="13"/>
        <v/>
      </c>
    </row>
    <row r="82" spans="1:21" ht="45" customHeight="1">
      <c r="A82" s="164"/>
      <c r="B82" s="164"/>
      <c r="C82" s="822"/>
      <c r="D82" s="821"/>
      <c r="E82" s="164"/>
      <c r="F82" s="1240"/>
      <c r="G82" s="1251"/>
      <c r="H82" s="1248"/>
      <c r="I82" s="518"/>
      <c r="J82" s="517"/>
      <c r="K82" s="461"/>
      <c r="L82" s="1236"/>
      <c r="M82" s="534" t="s">
        <v>509</v>
      </c>
      <c r="N82" s="531"/>
      <c r="O82" s="164"/>
      <c r="P82" s="164"/>
      <c r="Q82" s="806"/>
      <c r="R82" s="806"/>
      <c r="S82" s="455"/>
      <c r="T82" s="445" t="str">
        <f>IF(ISBLANK($K82)=FALSE,IF(Q82="","No","Yes"),"")</f>
        <v/>
      </c>
      <c r="U82" s="445" t="str">
        <f>IF(ISBLANK($K82)=FALSE,IF(R82="","No","Yes"),"")</f>
        <v/>
      </c>
    </row>
    <row r="83" spans="1:21" ht="45" customHeight="1">
      <c r="A83" s="164"/>
      <c r="B83" s="164"/>
      <c r="C83" s="822"/>
      <c r="D83" s="821"/>
      <c r="E83" s="164"/>
      <c r="F83" s="1240"/>
      <c r="G83" s="1251"/>
      <c r="H83" s="1249"/>
      <c r="I83" s="518"/>
      <c r="J83" s="517"/>
      <c r="K83" s="461"/>
      <c r="L83" s="1236"/>
      <c r="M83" s="164"/>
      <c r="N83" s="531"/>
      <c r="O83" s="164"/>
      <c r="P83" s="164"/>
      <c r="Q83" s="806"/>
      <c r="R83" s="806"/>
      <c r="S83" s="455"/>
      <c r="T83" s="445" t="str">
        <f t="shared" si="13"/>
        <v/>
      </c>
      <c r="U83" s="445" t="str">
        <f t="shared" si="13"/>
        <v/>
      </c>
    </row>
    <row r="84" spans="1:21" ht="45" customHeight="1">
      <c r="A84" s="164">
        <v>1</v>
      </c>
      <c r="B84" s="164">
        <f>IF(C84=TRUE,A84,0)</f>
        <v>0</v>
      </c>
      <c r="C84" s="822" t="b">
        <v>0</v>
      </c>
      <c r="D84" s="821"/>
      <c r="E84" s="164"/>
      <c r="F84" s="1240"/>
      <c r="G84" s="1251"/>
      <c r="H84" s="1248" t="str">
        <f>IF(OR(G5=$Z$8,G5=$Z$9),"19B.4 Structural Timber","")</f>
        <v/>
      </c>
      <c r="I84" s="518" t="str">
        <f>IF(OR(G5=$Z$8,G5=$Z$9),"19B.4.0 Responsible Sourcing","-")</f>
        <v>-</v>
      </c>
      <c r="J84" s="517">
        <f>IF(OR(G5=$Z$8,G5=$Z$9),"-",0)</f>
        <v>0</v>
      </c>
      <c r="K84" s="829"/>
      <c r="L84" s="456"/>
      <c r="M84" s="531"/>
      <c r="N84" s="531"/>
      <c r="O84" s="164"/>
      <c r="P84" s="164"/>
      <c r="Q84" s="806"/>
      <c r="R84" s="806"/>
      <c r="S84" s="455"/>
      <c r="T84" s="445" t="str">
        <f t="shared" si="13"/>
        <v/>
      </c>
      <c r="U84" s="445" t="str">
        <f t="shared" si="13"/>
        <v/>
      </c>
    </row>
    <row r="85" spans="1:21" ht="45" customHeight="1">
      <c r="A85" s="164">
        <v>1</v>
      </c>
      <c r="B85" s="164">
        <f>IF(C85=TRUE,A85,0)</f>
        <v>0</v>
      </c>
      <c r="C85" s="822" t="b">
        <v>0</v>
      </c>
      <c r="D85" s="821"/>
      <c r="E85" s="164"/>
      <c r="F85" s="1232"/>
      <c r="G85" s="1252"/>
      <c r="H85" s="1249"/>
      <c r="I85" s="518" t="str">
        <f>IF(OR(G5=$Z$8,G5=$Z$9),"19B.4.1 Reduced Embodied Impacts","-")</f>
        <v>-</v>
      </c>
      <c r="J85" s="517">
        <f>IF(AND(OR(G5=$Z$8,G5=$Z$9),$G$76=$M$77),3,0)</f>
        <v>0</v>
      </c>
      <c r="K85" s="829"/>
      <c r="L85" s="456"/>
      <c r="M85" s="531"/>
      <c r="N85" s="531"/>
      <c r="O85" s="164"/>
      <c r="P85" s="164"/>
      <c r="Q85" s="806"/>
      <c r="R85" s="806"/>
      <c r="S85" s="455"/>
      <c r="T85" s="445" t="str">
        <f>IF(ISBLANK($K85)=FALSE,IF(Q85="","No","Yes"),"")</f>
        <v/>
      </c>
      <c r="U85" s="445" t="str">
        <f>IF(ISBLANK($K85)=FALSE,IF(R85="","No","Yes"),"")</f>
        <v/>
      </c>
    </row>
    <row r="86" spans="1:21" ht="45" customHeight="1">
      <c r="A86" s="164">
        <v>1</v>
      </c>
      <c r="B86" s="164">
        <f>IF(C86=TRUE,A86,0)</f>
        <v>0</v>
      </c>
      <c r="C86" s="822" t="b">
        <v>0</v>
      </c>
      <c r="D86" s="821"/>
      <c r="E86" s="164"/>
      <c r="F86" s="1239" t="s">
        <v>383</v>
      </c>
      <c r="G86" s="1241" t="s">
        <v>510</v>
      </c>
      <c r="H86" s="519">
        <v>20.100000000000001</v>
      </c>
      <c r="I86" s="507" t="s">
        <v>385</v>
      </c>
      <c r="J86" s="517">
        <f>IF(C84=TRUE,0,1)</f>
        <v>1</v>
      </c>
      <c r="K86" s="824"/>
      <c r="L86" s="12"/>
      <c r="M86" s="531"/>
      <c r="N86" s="531"/>
      <c r="O86" s="164"/>
      <c r="P86" s="164"/>
      <c r="Q86" s="806"/>
      <c r="R86" s="806"/>
      <c r="S86" s="455"/>
      <c r="T86" s="445" t="str">
        <f>IF(OR(ISBLANK($K86)=FALSE,$C84=TRUE),IF(Q86="","No","Yes"),"")</f>
        <v/>
      </c>
      <c r="U86" s="445" t="b">
        <f>IF(ISBLANK($K86)=FALSE,IF(R86="","No","Yes"),IF(C84=TRUE,"NA"))</f>
        <v>0</v>
      </c>
    </row>
    <row r="87" spans="1:21" ht="45" customHeight="1">
      <c r="A87" s="164"/>
      <c r="B87" s="164"/>
      <c r="C87" s="822"/>
      <c r="D87" s="821"/>
      <c r="E87" s="164"/>
      <c r="F87" s="1240"/>
      <c r="G87" s="1233"/>
      <c r="H87" s="519">
        <v>20.2</v>
      </c>
      <c r="I87" s="507" t="s">
        <v>511</v>
      </c>
      <c r="J87" s="517">
        <f>IF(C85=TRUE,0,1)</f>
        <v>1</v>
      </c>
      <c r="K87" s="824"/>
      <c r="L87" s="15"/>
      <c r="M87" s="531"/>
      <c r="N87" s="531"/>
      <c r="O87" s="164"/>
      <c r="P87" s="164"/>
      <c r="Q87" s="806"/>
      <c r="R87" s="806"/>
      <c r="S87" s="455"/>
      <c r="T87" s="445" t="str">
        <f>IF(OR(ISBLANK($K87)=FALSE,$C85=TRUE),IF(Q87="","No","Yes"),"")</f>
        <v/>
      </c>
      <c r="U87" s="445" t="b">
        <f>IF(ISBLANK($K87)=FALSE,IF(R87="","No","Yes"),IF(C85=TRUE,"NA"))</f>
        <v>0</v>
      </c>
    </row>
    <row r="88" spans="1:21" ht="45" customHeight="1">
      <c r="A88" s="164"/>
      <c r="B88" s="164"/>
      <c r="C88" s="822"/>
      <c r="D88" s="821"/>
      <c r="E88" s="164"/>
      <c r="F88" s="1232"/>
      <c r="G88" s="1234"/>
      <c r="H88" s="519">
        <v>20.3</v>
      </c>
      <c r="I88" s="507" t="s">
        <v>387</v>
      </c>
      <c r="J88" s="517">
        <f>IF(C86=TRUE,0,1)</f>
        <v>1</v>
      </c>
      <c r="K88" s="824"/>
      <c r="L88" s="15"/>
      <c r="M88" s="531"/>
      <c r="N88" s="531"/>
      <c r="O88" s="164"/>
      <c r="P88" s="164"/>
      <c r="Q88" s="806"/>
      <c r="R88" s="806"/>
      <c r="S88" s="455"/>
      <c r="T88" s="445" t="str">
        <f>IF(OR(ISBLANK($K88)=FALSE,$C86=TRUE),IF(Q88="","No","Yes"),"")</f>
        <v/>
      </c>
      <c r="U88" s="445" t="b">
        <f>IF(ISBLANK($K88)=FALSE,IF(R88="","No","Yes"),IF(C86=TRUE,"NA"))</f>
        <v>0</v>
      </c>
    </row>
    <row r="89" spans="1:21" ht="45" customHeight="1">
      <c r="A89" s="164"/>
      <c r="B89" s="164"/>
      <c r="C89" s="822"/>
      <c r="D89" s="821"/>
      <c r="E89" s="164"/>
      <c r="F89" s="506" t="s">
        <v>388</v>
      </c>
      <c r="G89" s="507" t="s">
        <v>512</v>
      </c>
      <c r="H89" s="519">
        <v>21.1</v>
      </c>
      <c r="I89" s="507" t="s">
        <v>390</v>
      </c>
      <c r="J89" s="517">
        <v>3</v>
      </c>
      <c r="K89" s="824"/>
      <c r="L89" s="12"/>
      <c r="M89" s="531"/>
      <c r="N89" s="531"/>
      <c r="O89" s="164"/>
      <c r="P89" s="164"/>
      <c r="Q89" s="806"/>
      <c r="R89" s="806"/>
      <c r="S89" s="455"/>
      <c r="T89" s="445" t="str">
        <f t="shared" ref="T89:U91" si="14">IF(ISBLANK($K89)=FALSE,IF(Q89="","No","Yes"),"")</f>
        <v/>
      </c>
      <c r="U89" s="445" t="str">
        <f t="shared" si="14"/>
        <v/>
      </c>
    </row>
    <row r="90" spans="1:21" ht="45" customHeight="1">
      <c r="A90" s="164"/>
      <c r="B90" s="164"/>
      <c r="C90" s="822"/>
      <c r="D90" s="821"/>
      <c r="E90" s="164"/>
      <c r="F90" s="1239" t="s">
        <v>391</v>
      </c>
      <c r="G90" s="1242" t="s">
        <v>394</v>
      </c>
      <c r="H90" s="519" t="s">
        <v>393</v>
      </c>
      <c r="I90" s="507" t="s">
        <v>394</v>
      </c>
      <c r="J90" s="517">
        <f>IF(G90=M90,1,0)</f>
        <v>1</v>
      </c>
      <c r="K90" s="824"/>
      <c r="L90" s="12"/>
      <c r="M90" s="533" t="s">
        <v>394</v>
      </c>
      <c r="N90" s="531"/>
      <c r="O90" s="164"/>
      <c r="P90" s="164"/>
      <c r="Q90" s="806"/>
      <c r="R90" s="806"/>
      <c r="S90" s="455"/>
      <c r="T90" s="445" t="str">
        <f t="shared" si="14"/>
        <v/>
      </c>
      <c r="U90" s="445" t="str">
        <f t="shared" si="14"/>
        <v/>
      </c>
    </row>
    <row r="91" spans="1:21" ht="45" customHeight="1">
      <c r="A91" s="164"/>
      <c r="B91" s="164"/>
      <c r="C91" s="822"/>
      <c r="D91" s="821"/>
      <c r="E91" s="164"/>
      <c r="F91" s="1232"/>
      <c r="G91" s="1243"/>
      <c r="H91" s="519" t="s">
        <v>395</v>
      </c>
      <c r="I91" s="507" t="s">
        <v>392</v>
      </c>
      <c r="J91" s="517">
        <f>IF(G90=M91,1,0)</f>
        <v>0</v>
      </c>
      <c r="K91" s="824"/>
      <c r="L91" s="15"/>
      <c r="M91" s="534" t="s">
        <v>392</v>
      </c>
      <c r="N91" s="531"/>
      <c r="O91" s="164"/>
      <c r="P91" s="164"/>
      <c r="Q91" s="806"/>
      <c r="R91" s="806"/>
      <c r="S91" s="455"/>
      <c r="T91" s="445" t="str">
        <f t="shared" si="14"/>
        <v/>
      </c>
      <c r="U91" s="445" t="str">
        <f t="shared" si="14"/>
        <v/>
      </c>
    </row>
    <row r="92" spans="1:21" ht="45" customHeight="1">
      <c r="A92" s="164"/>
      <c r="B92" s="164"/>
      <c r="C92" s="822"/>
      <c r="D92" s="821"/>
      <c r="E92" s="164"/>
      <c r="F92" s="16" t="s">
        <v>305</v>
      </c>
      <c r="G92" s="16"/>
      <c r="H92" s="17"/>
      <c r="I92" s="16"/>
      <c r="J92" s="17">
        <f>IF(G76=M77,12,14)</f>
        <v>14</v>
      </c>
      <c r="K92" s="17">
        <f>SUM(K76:K91)</f>
        <v>0</v>
      </c>
      <c r="L92" s="15" t="str">
        <f>IF(K92&gt;J92,"!","")</f>
        <v/>
      </c>
      <c r="M92" s="531"/>
      <c r="N92" s="531"/>
      <c r="O92" s="164"/>
      <c r="P92" s="164"/>
      <c r="Q92" s="19"/>
      <c r="R92" s="19"/>
      <c r="S92" s="19"/>
      <c r="T92" s="19"/>
      <c r="U92" s="19"/>
    </row>
    <row r="93" spans="1:21" ht="45" customHeight="1">
      <c r="A93" s="164"/>
      <c r="B93" s="164"/>
      <c r="C93" s="822"/>
      <c r="D93" s="821"/>
      <c r="E93" s="164"/>
      <c r="F93" s="814"/>
      <c r="G93" s="814"/>
      <c r="H93" s="538"/>
      <c r="I93" s="814"/>
      <c r="J93" s="538"/>
      <c r="K93" s="815"/>
      <c r="L93" s="36"/>
      <c r="M93" s="531"/>
      <c r="N93" s="531"/>
      <c r="O93" s="164"/>
      <c r="P93" s="164"/>
      <c r="Q93" s="538"/>
      <c r="R93" s="538"/>
      <c r="S93" s="538"/>
      <c r="T93" s="136"/>
      <c r="U93" s="136"/>
    </row>
    <row r="94" spans="1:21" ht="45" customHeight="1">
      <c r="A94" s="164"/>
      <c r="B94" s="164"/>
      <c r="C94" s="822"/>
      <c r="D94" s="821"/>
      <c r="E94" s="164"/>
      <c r="F94" s="1231" t="s">
        <v>396</v>
      </c>
      <c r="G94" s="1231"/>
      <c r="H94" s="1231"/>
      <c r="I94" s="1231"/>
      <c r="J94" s="29">
        <f>6-SUM(B93:B98)</f>
        <v>6</v>
      </c>
      <c r="K94" s="29"/>
      <c r="L94" s="12"/>
      <c r="M94" s="531"/>
      <c r="N94" s="531"/>
      <c r="O94" s="164"/>
      <c r="P94" s="164"/>
      <c r="Q94" s="21"/>
      <c r="R94" s="21"/>
      <c r="S94" s="21"/>
      <c r="T94" s="21"/>
      <c r="U94" s="21"/>
    </row>
    <row r="95" spans="1:21" ht="45" customHeight="1">
      <c r="A95" s="164"/>
      <c r="B95" s="164"/>
      <c r="C95" s="822"/>
      <c r="D95" s="821"/>
      <c r="E95" s="164"/>
      <c r="F95" s="1232" t="s">
        <v>397</v>
      </c>
      <c r="G95" s="1233" t="s">
        <v>398</v>
      </c>
      <c r="H95" s="825">
        <v>23</v>
      </c>
      <c r="I95" s="830" t="s">
        <v>513</v>
      </c>
      <c r="J95" s="831" t="s">
        <v>264</v>
      </c>
      <c r="K95" s="461"/>
      <c r="L95" s="12"/>
      <c r="M95" s="531"/>
      <c r="N95" s="531"/>
      <c r="O95" s="164"/>
      <c r="P95" s="164"/>
      <c r="Q95" s="806"/>
      <c r="R95" s="806"/>
      <c r="S95" s="455"/>
      <c r="T95" s="445" t="str">
        <f t="shared" ref="T95:U98" si="15">IF(ISBLANK($K95)=FALSE,IF(Q95="","No","Yes"),"")</f>
        <v/>
      </c>
      <c r="U95" s="445" t="str">
        <f t="shared" si="15"/>
        <v/>
      </c>
    </row>
    <row r="96" spans="1:21" ht="45" customHeight="1">
      <c r="A96" s="164"/>
      <c r="B96" s="164"/>
      <c r="C96" s="822"/>
      <c r="D96" s="821"/>
      <c r="E96" s="164"/>
      <c r="F96" s="1221"/>
      <c r="G96" s="1234"/>
      <c r="H96" s="508">
        <v>23.1</v>
      </c>
      <c r="I96" s="509" t="s">
        <v>397</v>
      </c>
      <c r="J96" s="524">
        <v>3</v>
      </c>
      <c r="K96" s="461"/>
      <c r="L96" s="15" t="str">
        <f>IF(AND(K96&gt;0,$K95&lt;&gt;$N$10),"!","")</f>
        <v/>
      </c>
      <c r="M96" s="531"/>
      <c r="N96" s="531"/>
      <c r="O96" s="164"/>
      <c r="P96" s="164"/>
      <c r="Q96" s="806"/>
      <c r="R96" s="806"/>
      <c r="S96" s="455"/>
      <c r="T96" s="445" t="str">
        <f t="shared" si="15"/>
        <v/>
      </c>
      <c r="U96" s="445" t="str">
        <f t="shared" si="15"/>
        <v/>
      </c>
    </row>
    <row r="97" spans="1:21" ht="45" customHeight="1">
      <c r="A97" s="164">
        <v>1</v>
      </c>
      <c r="B97" s="164">
        <f>IF(C97=TRUE,A97,0)</f>
        <v>0</v>
      </c>
      <c r="C97" s="822" t="b">
        <v>0</v>
      </c>
      <c r="D97" s="821"/>
      <c r="E97" s="164"/>
      <c r="F97" s="1221" t="s">
        <v>399</v>
      </c>
      <c r="G97" s="1241" t="s">
        <v>514</v>
      </c>
      <c r="H97" s="508">
        <v>24</v>
      </c>
      <c r="I97" s="509" t="s">
        <v>338</v>
      </c>
      <c r="J97" s="524" t="s">
        <v>264</v>
      </c>
      <c r="K97" s="461"/>
      <c r="L97" s="12"/>
      <c r="M97" s="531"/>
      <c r="N97" s="531"/>
      <c r="O97" s="164"/>
      <c r="P97" s="164"/>
      <c r="Q97" s="806"/>
      <c r="R97" s="806"/>
      <c r="S97" s="455"/>
      <c r="T97" s="445" t="str">
        <f t="shared" si="15"/>
        <v/>
      </c>
      <c r="U97" s="445" t="str">
        <f t="shared" si="15"/>
        <v/>
      </c>
    </row>
    <row r="98" spans="1:21" ht="45" customHeight="1">
      <c r="A98" s="164"/>
      <c r="B98" s="164"/>
      <c r="C98" s="822"/>
      <c r="D98" s="821"/>
      <c r="E98" s="164"/>
      <c r="F98" s="1221"/>
      <c r="G98" s="1233"/>
      <c r="H98" s="508">
        <v>24.1</v>
      </c>
      <c r="I98" s="509" t="s">
        <v>402</v>
      </c>
      <c r="J98" s="524">
        <v>1</v>
      </c>
      <c r="K98" s="461"/>
      <c r="L98" s="15" t="str">
        <f>IF(AND(K98&gt;0,$K$97&lt;&gt;$N$10),"!","")</f>
        <v/>
      </c>
      <c r="M98" s="531"/>
      <c r="N98" s="531"/>
      <c r="O98" s="164"/>
      <c r="P98" s="164"/>
      <c r="Q98" s="806"/>
      <c r="R98" s="806"/>
      <c r="S98" s="455"/>
      <c r="T98" s="445" t="str">
        <f t="shared" si="15"/>
        <v/>
      </c>
      <c r="U98" s="445" t="str">
        <f t="shared" si="15"/>
        <v/>
      </c>
    </row>
    <row r="99" spans="1:21" ht="45" customHeight="1">
      <c r="A99" s="164"/>
      <c r="B99" s="164"/>
      <c r="C99" s="822"/>
      <c r="D99" s="821"/>
      <c r="E99" s="164"/>
      <c r="F99" s="1221"/>
      <c r="G99" s="1234"/>
      <c r="H99" s="508">
        <v>24.2</v>
      </c>
      <c r="I99" s="509" t="s">
        <v>403</v>
      </c>
      <c r="J99" s="524">
        <f>IF(C97=FALSE,1,0)</f>
        <v>1</v>
      </c>
      <c r="K99" s="461"/>
      <c r="L99" s="15" t="str">
        <f>IF(AND(K99&gt;0,$K$97&lt;&gt;$N$10),"!","")</f>
        <v/>
      </c>
      <c r="M99" s="531"/>
      <c r="N99" s="531"/>
      <c r="O99" s="164"/>
      <c r="P99" s="164"/>
      <c r="Q99" s="806"/>
      <c r="R99" s="806"/>
      <c r="S99" s="455"/>
      <c r="T99" s="445" t="str">
        <f>IF(OR(ISBLANK($K99)=FALSE,$C97=TRUE),IF(Q99="","No","Yes"),"")</f>
        <v/>
      </c>
      <c r="U99" s="445" t="b">
        <f>IF(ISBLANK($K99)=FALSE,IF(R99="","No","Yes"),IF(C97=TRUE,"NA"))</f>
        <v>0</v>
      </c>
    </row>
    <row r="100" spans="1:21" ht="45" customHeight="1">
      <c r="A100" s="164"/>
      <c r="B100" s="164"/>
      <c r="C100" s="822"/>
      <c r="D100" s="821"/>
      <c r="E100" s="164"/>
      <c r="F100" s="520" t="s">
        <v>515</v>
      </c>
      <c r="G100" s="800" t="s">
        <v>516</v>
      </c>
      <c r="H100" s="832">
        <f>IF($G$5=$Z$9,25.1,25)</f>
        <v>25</v>
      </c>
      <c r="I100" s="521" t="s">
        <v>517</v>
      </c>
      <c r="J100" s="525">
        <v>1</v>
      </c>
      <c r="K100" s="461"/>
      <c r="L100" s="15"/>
      <c r="M100" s="531"/>
      <c r="N100" s="531"/>
      <c r="O100" s="164"/>
      <c r="P100" s="164"/>
      <c r="Q100" s="806"/>
      <c r="R100" s="806"/>
      <c r="S100" s="455"/>
      <c r="T100" s="445" t="str">
        <f>IF(ISBLANK($K100)=FALSE,IF(Q100="","No","Yes"),"")</f>
        <v/>
      </c>
      <c r="U100" s="445" t="str">
        <f>IF(ISBLANK($K100)=FALSE,IF(R100="","No","Yes"),"")</f>
        <v/>
      </c>
    </row>
    <row r="101" spans="1:21" ht="45" customHeight="1">
      <c r="A101" s="164"/>
      <c r="B101" s="164"/>
      <c r="C101" s="822"/>
      <c r="D101" s="821"/>
      <c r="E101" s="164"/>
      <c r="F101" s="16" t="s">
        <v>305</v>
      </c>
      <c r="G101" s="16"/>
      <c r="H101" s="17"/>
      <c r="I101" s="16"/>
      <c r="J101" s="17">
        <f>SUM(J95:J100)</f>
        <v>6</v>
      </c>
      <c r="K101" s="17">
        <f>SUM(K95:K100)</f>
        <v>0</v>
      </c>
      <c r="L101" s="15" t="str">
        <f>IF(K101&gt;J101,"!","")</f>
        <v/>
      </c>
      <c r="M101" s="531"/>
      <c r="N101" s="531"/>
      <c r="O101" s="164"/>
      <c r="P101" s="164"/>
      <c r="Q101" s="19"/>
      <c r="R101" s="19"/>
      <c r="S101" s="19"/>
      <c r="T101" s="19"/>
      <c r="U101" s="19"/>
    </row>
    <row r="102" spans="1:21" ht="45" customHeight="1">
      <c r="A102" s="164"/>
      <c r="B102" s="164"/>
      <c r="C102" s="822"/>
      <c r="D102" s="821"/>
      <c r="E102" s="164"/>
      <c r="F102" s="814"/>
      <c r="G102" s="814"/>
      <c r="H102" s="538"/>
      <c r="I102" s="814"/>
      <c r="J102" s="538"/>
      <c r="K102" s="815"/>
      <c r="L102" s="36"/>
      <c r="M102" s="531"/>
      <c r="N102" s="531"/>
      <c r="O102" s="164"/>
      <c r="P102" s="164"/>
      <c r="Q102" s="538"/>
      <c r="R102" s="538"/>
      <c r="S102" s="538"/>
      <c r="T102" s="136"/>
      <c r="U102" s="136"/>
    </row>
    <row r="103" spans="1:21" ht="45" customHeight="1">
      <c r="A103" s="164"/>
      <c r="B103" s="164"/>
      <c r="C103" s="822"/>
      <c r="D103" s="821"/>
      <c r="E103" s="164"/>
      <c r="F103" s="1231" t="s">
        <v>404</v>
      </c>
      <c r="G103" s="1231"/>
      <c r="H103" s="1231"/>
      <c r="I103" s="1231"/>
      <c r="J103" s="29">
        <f>5-SUM(B102:B107)</f>
        <v>5</v>
      </c>
      <c r="K103" s="29"/>
      <c r="L103" s="12"/>
      <c r="M103" s="531"/>
      <c r="N103" s="531"/>
      <c r="O103" s="164"/>
      <c r="P103" s="164"/>
      <c r="Q103" s="21"/>
      <c r="R103" s="21"/>
      <c r="S103" s="21"/>
      <c r="T103" s="21"/>
      <c r="U103" s="21"/>
    </row>
    <row r="104" spans="1:21" ht="45" customHeight="1">
      <c r="A104" s="164"/>
      <c r="B104" s="164"/>
      <c r="C104" s="822"/>
      <c r="D104" s="821"/>
      <c r="E104" s="164"/>
      <c r="F104" s="1232" t="s">
        <v>405</v>
      </c>
      <c r="G104" s="1233" t="s">
        <v>518</v>
      </c>
      <c r="H104" s="825">
        <v>26.1</v>
      </c>
      <c r="I104" s="509" t="str">
        <f>IF(OR($G$5=$Z$6,$G$5=$Z$7),"Reduced Peak Discharge","Stormwater Peak Discharge")</f>
        <v>Stormwater Peak Discharge</v>
      </c>
      <c r="J104" s="831">
        <v>1</v>
      </c>
      <c r="K104" s="461"/>
      <c r="L104" s="12"/>
      <c r="M104" s="531"/>
      <c r="N104" s="531"/>
      <c r="O104" s="164"/>
      <c r="P104" s="164"/>
      <c r="Q104" s="806"/>
      <c r="R104" s="806"/>
      <c r="S104" s="455"/>
      <c r="T104" s="445" t="str">
        <f t="shared" ref="T104:U109" si="16">IF(ISBLANK($K104)=FALSE,IF(Q104="","No","Yes"),"")</f>
        <v/>
      </c>
      <c r="U104" s="445" t="str">
        <f t="shared" si="16"/>
        <v/>
      </c>
    </row>
    <row r="105" spans="1:21" ht="45" customHeight="1">
      <c r="A105" s="164"/>
      <c r="B105" s="164"/>
      <c r="C105" s="822"/>
      <c r="D105" s="821"/>
      <c r="E105" s="164"/>
      <c r="F105" s="1221"/>
      <c r="G105" s="1234"/>
      <c r="H105" s="508">
        <v>26.2</v>
      </c>
      <c r="I105" s="509" t="str">
        <f>IF(OR($G$5=$Z$6,$G$5=$Z$7),"Reduced Pollution Targets","Stormwater Pollution Targets")</f>
        <v>Stormwater Pollution Targets</v>
      </c>
      <c r="J105" s="524">
        <v>1</v>
      </c>
      <c r="K105" s="461"/>
      <c r="L105" s="12"/>
      <c r="M105" s="531"/>
      <c r="N105" s="531"/>
      <c r="O105" s="164"/>
      <c r="P105" s="164"/>
      <c r="Q105" s="806"/>
      <c r="R105" s="806"/>
      <c r="S105" s="455"/>
      <c r="T105" s="445" t="str">
        <f t="shared" si="16"/>
        <v/>
      </c>
      <c r="U105" s="445" t="str">
        <f t="shared" si="16"/>
        <v/>
      </c>
    </row>
    <row r="106" spans="1:21" ht="45" customHeight="1">
      <c r="A106" s="164"/>
      <c r="B106" s="164"/>
      <c r="C106" s="822"/>
      <c r="D106" s="821"/>
      <c r="E106" s="164"/>
      <c r="F106" s="1221" t="s">
        <v>409</v>
      </c>
      <c r="G106" s="1241" t="s">
        <v>410</v>
      </c>
      <c r="H106" s="508">
        <v>27</v>
      </c>
      <c r="I106" s="509" t="s">
        <v>411</v>
      </c>
      <c r="J106" s="524" t="s">
        <v>264</v>
      </c>
      <c r="K106" s="461"/>
      <c r="L106" s="12"/>
      <c r="M106" s="531"/>
      <c r="N106" s="531"/>
      <c r="O106" s="164"/>
      <c r="P106" s="164"/>
      <c r="Q106" s="806"/>
      <c r="R106" s="806"/>
      <c r="S106" s="455"/>
      <c r="T106" s="445" t="str">
        <f t="shared" si="16"/>
        <v/>
      </c>
      <c r="U106" s="445" t="str">
        <f t="shared" si="16"/>
        <v/>
      </c>
    </row>
    <row r="107" spans="1:21" ht="45" customHeight="1">
      <c r="A107" s="164"/>
      <c r="B107" s="164"/>
      <c r="C107" s="822"/>
      <c r="D107" s="821"/>
      <c r="E107" s="164"/>
      <c r="F107" s="1221"/>
      <c r="G107" s="1234"/>
      <c r="H107" s="524">
        <v>27.1</v>
      </c>
      <c r="I107" s="509" t="s">
        <v>412</v>
      </c>
      <c r="J107" s="524">
        <v>1</v>
      </c>
      <c r="K107" s="461"/>
      <c r="L107" s="15" t="str">
        <f>IF(AND(K107&gt;0,$K106&lt;&gt;$N$10),"!","")</f>
        <v/>
      </c>
      <c r="M107" s="531"/>
      <c r="N107" s="531"/>
      <c r="O107" s="164"/>
      <c r="P107" s="164"/>
      <c r="Q107" s="806"/>
      <c r="R107" s="806"/>
      <c r="S107" s="455"/>
      <c r="T107" s="445" t="str">
        <f t="shared" si="16"/>
        <v/>
      </c>
      <c r="U107" s="445" t="str">
        <f t="shared" si="16"/>
        <v/>
      </c>
    </row>
    <row r="108" spans="1:21" ht="45" customHeight="1">
      <c r="A108" s="164"/>
      <c r="B108" s="164"/>
      <c r="C108" s="822"/>
      <c r="D108" s="821"/>
      <c r="E108" s="164"/>
      <c r="F108" s="506" t="s">
        <v>413</v>
      </c>
      <c r="G108" s="507" t="s">
        <v>519</v>
      </c>
      <c r="H108" s="833">
        <v>28</v>
      </c>
      <c r="I108" s="521" t="s">
        <v>415</v>
      </c>
      <c r="J108" s="524">
        <v>1</v>
      </c>
      <c r="K108" s="461"/>
      <c r="L108" s="12"/>
      <c r="M108" s="531"/>
      <c r="N108" s="531"/>
      <c r="O108" s="164"/>
      <c r="P108" s="164"/>
      <c r="Q108" s="806"/>
      <c r="R108" s="806"/>
      <c r="S108" s="455"/>
      <c r="T108" s="445" t="str">
        <f t="shared" si="16"/>
        <v/>
      </c>
      <c r="U108" s="445" t="str">
        <f t="shared" si="16"/>
        <v/>
      </c>
    </row>
    <row r="109" spans="1:21" ht="45" customHeight="1">
      <c r="A109" s="164"/>
      <c r="B109" s="164"/>
      <c r="C109" s="822"/>
      <c r="D109" s="821"/>
      <c r="E109" s="164"/>
      <c r="F109" s="522" t="s">
        <v>416</v>
      </c>
      <c r="G109" s="800" t="s">
        <v>520</v>
      </c>
      <c r="H109" s="832">
        <f>IF($G$5=$Z$9,29.1,29)</f>
        <v>29</v>
      </c>
      <c r="I109" s="521" t="s">
        <v>418</v>
      </c>
      <c r="J109" s="525">
        <v>1</v>
      </c>
      <c r="K109" s="461"/>
      <c r="L109" s="12"/>
      <c r="M109" s="531"/>
      <c r="N109" s="531"/>
      <c r="O109" s="164"/>
      <c r="P109" s="164"/>
      <c r="Q109" s="806"/>
      <c r="R109" s="806"/>
      <c r="S109" s="455"/>
      <c r="T109" s="445" t="str">
        <f t="shared" si="16"/>
        <v/>
      </c>
      <c r="U109" s="445" t="str">
        <f t="shared" si="16"/>
        <v/>
      </c>
    </row>
    <row r="110" spans="1:21" ht="45" customHeight="1">
      <c r="A110" s="164"/>
      <c r="B110" s="164"/>
      <c r="C110" s="822"/>
      <c r="D110" s="821"/>
      <c r="E110" s="164"/>
      <c r="F110" s="16" t="s">
        <v>305</v>
      </c>
      <c r="G110" s="16"/>
      <c r="H110" s="17"/>
      <c r="I110" s="16"/>
      <c r="J110" s="17">
        <f>SUM(J104:J109)</f>
        <v>5</v>
      </c>
      <c r="K110" s="17">
        <f>SUM(K104:K109)</f>
        <v>0</v>
      </c>
      <c r="L110" s="15" t="str">
        <f>IF(K110&gt;J110,"!","")</f>
        <v/>
      </c>
      <c r="M110" s="531"/>
      <c r="N110" s="531"/>
      <c r="O110" s="164"/>
      <c r="P110" s="164"/>
      <c r="Q110" s="19"/>
      <c r="R110" s="19"/>
      <c r="S110" s="19"/>
      <c r="T110" s="19"/>
      <c r="U110" s="19"/>
    </row>
    <row r="111" spans="1:21" ht="45" customHeight="1">
      <c r="A111" s="164"/>
      <c r="B111" s="164"/>
      <c r="C111" s="822"/>
      <c r="D111" s="821"/>
      <c r="E111" s="164"/>
      <c r="F111" s="828"/>
      <c r="G111" s="828"/>
      <c r="H111" s="817"/>
      <c r="I111" s="828"/>
      <c r="J111" s="817"/>
      <c r="K111" s="818"/>
      <c r="L111" s="12"/>
      <c r="M111" s="531"/>
      <c r="N111" s="531"/>
      <c r="O111" s="164"/>
      <c r="P111" s="164"/>
      <c r="Q111" s="538"/>
      <c r="R111" s="538"/>
      <c r="S111" s="538"/>
      <c r="T111" s="136"/>
      <c r="U111" s="136"/>
    </row>
    <row r="112" spans="1:21" ht="45" customHeight="1">
      <c r="A112" s="164"/>
      <c r="B112" s="164"/>
      <c r="C112" s="822"/>
      <c r="D112" s="821"/>
      <c r="E112" s="164"/>
      <c r="F112" s="1231" t="s">
        <v>419</v>
      </c>
      <c r="G112" s="1231"/>
      <c r="H112" s="1231"/>
      <c r="I112" s="1231"/>
      <c r="J112" s="29">
        <v>10</v>
      </c>
      <c r="K112" s="38"/>
      <c r="L112" s="12"/>
      <c r="M112" s="531"/>
      <c r="N112" s="531"/>
      <c r="O112" s="164"/>
      <c r="P112" s="164"/>
      <c r="Q112" s="21"/>
      <c r="R112" s="21"/>
      <c r="S112" s="39"/>
      <c r="T112" s="39"/>
      <c r="U112" s="39"/>
    </row>
    <row r="113" spans="2:21" ht="45" customHeight="1">
      <c r="B113" s="164"/>
      <c r="C113" s="822"/>
      <c r="D113" s="821"/>
      <c r="E113" s="164"/>
      <c r="F113" s="523" t="s">
        <v>420</v>
      </c>
      <c r="G113" s="834" t="s">
        <v>521</v>
      </c>
      <c r="H113" s="831" t="s">
        <v>522</v>
      </c>
      <c r="I113" s="801" t="s">
        <v>420</v>
      </c>
      <c r="J113" s="1228">
        <v>10</v>
      </c>
      <c r="K113" s="461"/>
      <c r="L113" s="12"/>
      <c r="M113" s="531"/>
      <c r="N113" s="531"/>
      <c r="O113" s="164"/>
      <c r="P113" s="164"/>
      <c r="Q113" s="806"/>
      <c r="R113" s="806"/>
      <c r="S113" s="455"/>
      <c r="T113" s="445" t="str">
        <f t="shared" ref="T113:U117" si="17">IF(ISBLANK($K113)=FALSE,IF(Q113="","No","Yes"),"")</f>
        <v/>
      </c>
      <c r="U113" s="445" t="str">
        <f t="shared" si="17"/>
        <v/>
      </c>
    </row>
    <row r="114" spans="2:21" ht="45" customHeight="1">
      <c r="B114" s="164"/>
      <c r="C114" s="822"/>
      <c r="D114" s="821"/>
      <c r="E114" s="164"/>
      <c r="F114" s="506" t="s">
        <v>422</v>
      </c>
      <c r="G114" s="835" t="s">
        <v>523</v>
      </c>
      <c r="H114" s="524" t="s">
        <v>524</v>
      </c>
      <c r="I114" s="507" t="s">
        <v>422</v>
      </c>
      <c r="J114" s="1228"/>
      <c r="K114" s="461"/>
      <c r="L114" s="12"/>
      <c r="M114" s="531"/>
      <c r="N114" s="531"/>
      <c r="O114" s="164"/>
      <c r="P114" s="164"/>
      <c r="Q114" s="806"/>
      <c r="R114" s="806"/>
      <c r="S114" s="455"/>
      <c r="T114" s="445" t="str">
        <f t="shared" si="17"/>
        <v/>
      </c>
      <c r="U114" s="445" t="str">
        <f t="shared" si="17"/>
        <v/>
      </c>
    </row>
    <row r="115" spans="2:21" ht="45" customHeight="1">
      <c r="B115" s="164"/>
      <c r="C115" s="822"/>
      <c r="D115" s="821"/>
      <c r="E115" s="164"/>
      <c r="F115" s="506" t="s">
        <v>424</v>
      </c>
      <c r="G115" s="835" t="s">
        <v>525</v>
      </c>
      <c r="H115" s="524" t="s">
        <v>526</v>
      </c>
      <c r="I115" s="507" t="s">
        <v>424</v>
      </c>
      <c r="J115" s="1228"/>
      <c r="K115" s="461"/>
      <c r="L115" s="12"/>
      <c r="M115" s="531"/>
      <c r="N115" s="531"/>
      <c r="O115" s="164"/>
      <c r="P115" s="164"/>
      <c r="Q115" s="806"/>
      <c r="R115" s="806"/>
      <c r="S115" s="455"/>
      <c r="T115" s="445" t="str">
        <f t="shared" si="17"/>
        <v/>
      </c>
      <c r="U115" s="445" t="str">
        <f t="shared" si="17"/>
        <v/>
      </c>
    </row>
    <row r="116" spans="2:21" ht="45" customHeight="1">
      <c r="B116" s="164"/>
      <c r="C116" s="822"/>
      <c r="D116" s="821"/>
      <c r="E116" s="164"/>
      <c r="F116" s="506" t="s">
        <v>426</v>
      </c>
      <c r="G116" s="835" t="s">
        <v>527</v>
      </c>
      <c r="H116" s="524" t="s">
        <v>528</v>
      </c>
      <c r="I116" s="507" t="s">
        <v>426</v>
      </c>
      <c r="J116" s="1228"/>
      <c r="K116" s="461"/>
      <c r="L116" s="12"/>
      <c r="M116" s="531"/>
      <c r="N116" s="531"/>
      <c r="O116" s="164"/>
      <c r="P116" s="164"/>
      <c r="Q116" s="806"/>
      <c r="R116" s="806"/>
      <c r="S116" s="455"/>
      <c r="T116" s="445" t="str">
        <f t="shared" si="17"/>
        <v/>
      </c>
      <c r="U116" s="445" t="str">
        <f t="shared" si="17"/>
        <v/>
      </c>
    </row>
    <row r="117" spans="2:21" ht="45" customHeight="1">
      <c r="B117" s="164"/>
      <c r="C117" s="822"/>
      <c r="D117" s="821"/>
      <c r="E117" s="164"/>
      <c r="F117" s="520" t="s">
        <v>428</v>
      </c>
      <c r="G117" s="836" t="s">
        <v>529</v>
      </c>
      <c r="H117" s="525" t="s">
        <v>530</v>
      </c>
      <c r="I117" s="800" t="s">
        <v>428</v>
      </c>
      <c r="J117" s="1228"/>
      <c r="K117" s="461"/>
      <c r="L117" s="12"/>
      <c r="M117" s="531"/>
      <c r="N117" s="531"/>
      <c r="O117" s="164"/>
      <c r="P117" s="164"/>
      <c r="Q117" s="806"/>
      <c r="R117" s="806"/>
      <c r="S117" s="455"/>
      <c r="T117" s="445" t="str">
        <f t="shared" si="17"/>
        <v/>
      </c>
      <c r="U117" s="445" t="str">
        <f t="shared" si="17"/>
        <v/>
      </c>
    </row>
    <row r="118" spans="2:21" ht="45" customHeight="1">
      <c r="B118" s="42" t="s">
        <v>430</v>
      </c>
      <c r="C118" s="822"/>
      <c r="D118" s="821"/>
      <c r="E118" s="164"/>
      <c r="F118" s="16" t="s">
        <v>305</v>
      </c>
      <c r="G118" s="16"/>
      <c r="H118" s="17"/>
      <c r="I118" s="16"/>
      <c r="J118" s="17">
        <f>SUM(J113)</f>
        <v>10</v>
      </c>
      <c r="K118" s="17">
        <f>IF(SUM(K113:K117)&gt;10,10,SUM(K113:K117))</f>
        <v>0</v>
      </c>
      <c r="L118" s="15" t="str">
        <f>IF(K118&gt;J118,"!","")</f>
        <v/>
      </c>
      <c r="M118" s="531"/>
      <c r="N118" s="531"/>
      <c r="O118" s="164"/>
      <c r="P118" s="164"/>
      <c r="Q118" s="18"/>
      <c r="R118" s="18"/>
      <c r="S118" s="19"/>
      <c r="T118" s="19"/>
      <c r="U118" s="19"/>
    </row>
    <row r="119" spans="2:21" ht="45" customHeight="1">
      <c r="B119" s="164">
        <f>SUM(B9:B107)</f>
        <v>0</v>
      </c>
      <c r="C119" s="822"/>
      <c r="D119" s="821"/>
      <c r="E119" s="164"/>
      <c r="F119" s="828"/>
      <c r="G119" s="828"/>
      <c r="H119" s="817"/>
      <c r="I119" s="828"/>
      <c r="J119" s="817"/>
      <c r="K119" s="818"/>
      <c r="L119" s="531"/>
      <c r="M119" s="531"/>
      <c r="N119" s="531"/>
      <c r="O119" s="164"/>
      <c r="P119" s="164"/>
      <c r="Q119" s="808"/>
      <c r="R119" s="808"/>
      <c r="S119" s="538"/>
      <c r="T119" s="538"/>
      <c r="U119" s="538"/>
    </row>
    <row r="120" spans="2:21" ht="45" customHeight="1">
      <c r="B120" s="164"/>
      <c r="C120" s="822"/>
      <c r="D120" s="821"/>
      <c r="E120" s="164"/>
      <c r="F120" s="40"/>
      <c r="G120" s="40"/>
      <c r="H120" s="41"/>
      <c r="I120" s="42" t="s">
        <v>431</v>
      </c>
      <c r="J120" s="7" t="s">
        <v>432</v>
      </c>
      <c r="K120" s="7" t="s">
        <v>433</v>
      </c>
      <c r="L120" s="43"/>
      <c r="M120" s="531"/>
      <c r="N120" s="531"/>
      <c r="O120" s="164"/>
      <c r="P120" s="164"/>
      <c r="Q120" s="164"/>
      <c r="R120" s="164"/>
      <c r="S120" s="538"/>
      <c r="T120" s="538"/>
      <c r="U120" s="538"/>
    </row>
    <row r="121" spans="2:21" ht="45" customHeight="1">
      <c r="B121" s="164"/>
      <c r="C121" s="822"/>
      <c r="D121" s="821"/>
      <c r="E121" s="164"/>
      <c r="F121" s="823"/>
      <c r="G121" s="823"/>
      <c r="H121" s="817"/>
      <c r="I121" s="11" t="s">
        <v>434</v>
      </c>
      <c r="J121" s="526">
        <f>100-B119</f>
        <v>100</v>
      </c>
      <c r="K121" s="527">
        <f>K28+K48+K55+K64+K73+K92+K101+K110</f>
        <v>0</v>
      </c>
      <c r="L121" s="43"/>
      <c r="M121" s="531"/>
      <c r="N121" s="531"/>
      <c r="O121" s="164"/>
      <c r="P121" s="164"/>
      <c r="Q121" s="164"/>
      <c r="R121" s="164"/>
      <c r="S121" s="538"/>
      <c r="T121" s="538"/>
      <c r="U121" s="538"/>
    </row>
    <row r="122" spans="2:21" ht="45" customHeight="1">
      <c r="B122" s="164"/>
      <c r="C122" s="822"/>
      <c r="D122" s="821"/>
      <c r="E122" s="164"/>
      <c r="F122" s="823"/>
      <c r="G122" s="823"/>
      <c r="H122" s="837"/>
      <c r="I122" s="11" t="s">
        <v>435</v>
      </c>
      <c r="J122" s="44"/>
      <c r="K122" s="528">
        <f>K121/J121*100</f>
        <v>0</v>
      </c>
      <c r="L122" s="45"/>
      <c r="M122" s="531"/>
      <c r="N122" s="531"/>
      <c r="O122" s="164"/>
      <c r="P122" s="164"/>
      <c r="Q122" s="808"/>
      <c r="R122" s="808"/>
      <c r="S122" s="538"/>
      <c r="T122" s="538"/>
      <c r="U122" s="538"/>
    </row>
    <row r="123" spans="2:21" ht="42" customHeight="1">
      <c r="B123" s="164"/>
      <c r="C123" s="822"/>
      <c r="D123" s="821"/>
      <c r="E123" s="164"/>
      <c r="F123" s="823"/>
      <c r="G123" s="823"/>
      <c r="H123" s="817"/>
      <c r="I123" s="11" t="s">
        <v>436</v>
      </c>
      <c r="J123" s="526">
        <v>10</v>
      </c>
      <c r="K123" s="527">
        <f>K118</f>
        <v>0</v>
      </c>
      <c r="L123" s="46"/>
      <c r="M123" s="531"/>
      <c r="N123" s="531"/>
      <c r="O123" s="164"/>
      <c r="P123" s="164"/>
      <c r="Q123" s="808"/>
      <c r="R123" s="808"/>
      <c r="S123" s="538"/>
      <c r="T123" s="538"/>
      <c r="U123" s="538"/>
    </row>
    <row r="124" spans="2:21" ht="45" customHeight="1">
      <c r="B124" s="164"/>
      <c r="C124" s="822"/>
      <c r="D124" s="821"/>
      <c r="E124" s="164"/>
      <c r="F124" s="814"/>
      <c r="G124" s="814"/>
      <c r="H124" s="538"/>
      <c r="I124" s="11" t="s">
        <v>237</v>
      </c>
      <c r="J124" s="47"/>
      <c r="K124" s="528">
        <f>K122+K123</f>
        <v>0</v>
      </c>
      <c r="L124" s="164"/>
      <c r="M124" s="531"/>
      <c r="N124" s="531"/>
      <c r="O124" s="164"/>
      <c r="P124" s="164"/>
      <c r="Q124" s="808"/>
      <c r="R124" s="808"/>
      <c r="S124" s="538"/>
      <c r="T124" s="538"/>
      <c r="U124" s="538"/>
    </row>
    <row r="125" spans="2:21" ht="45" customHeight="1">
      <c r="B125" s="164"/>
      <c r="C125" s="822"/>
      <c r="D125" s="821"/>
      <c r="E125" s="164"/>
      <c r="F125" s="164"/>
      <c r="G125" s="164"/>
      <c r="H125" s="164"/>
      <c r="I125" s="164"/>
      <c r="J125" s="164"/>
      <c r="K125" s="539"/>
      <c r="L125" s="164"/>
      <c r="M125" s="531"/>
      <c r="N125" s="531"/>
      <c r="O125" s="164"/>
      <c r="P125" s="164"/>
      <c r="Q125" s="164"/>
      <c r="R125" s="164"/>
      <c r="S125" s="164"/>
      <c r="T125" s="164"/>
      <c r="U125" s="164"/>
    </row>
    <row r="126" spans="2:21" ht="45" customHeight="1">
      <c r="B126" s="164"/>
      <c r="C126" s="822"/>
      <c r="D126" s="821"/>
      <c r="E126" s="164"/>
      <c r="F126" s="814"/>
      <c r="G126" s="814"/>
      <c r="H126" s="538"/>
      <c r="I126" s="230" t="s">
        <v>437</v>
      </c>
      <c r="J126" s="243"/>
      <c r="K126" s="462"/>
      <c r="L126" s="164"/>
      <c r="M126" s="531"/>
      <c r="N126" s="531"/>
      <c r="O126" s="164"/>
      <c r="P126" s="164"/>
      <c r="Q126" s="13" t="s">
        <v>438</v>
      </c>
      <c r="R126" s="13" t="s">
        <v>439</v>
      </c>
      <c r="S126" s="538"/>
      <c r="T126" s="538"/>
      <c r="U126" s="538"/>
    </row>
    <row r="127" spans="2:21" ht="45" customHeight="1">
      <c r="B127" s="164"/>
      <c r="C127" s="822"/>
      <c r="D127" s="838"/>
      <c r="E127" s="164"/>
      <c r="F127" s="814"/>
      <c r="G127" s="814"/>
      <c r="H127" s="538"/>
      <c r="I127" s="809" t="s">
        <v>440</v>
      </c>
      <c r="J127" s="800"/>
      <c r="K127" s="810"/>
      <c r="L127" s="164"/>
      <c r="M127" s="531"/>
      <c r="N127" s="531"/>
      <c r="O127" s="164"/>
      <c r="P127" s="164"/>
      <c r="Q127" s="811">
        <f>SUMIF(T9:T117,"Yes",Q9:Q117)</f>
        <v>0</v>
      </c>
      <c r="R127" s="811">
        <f>SUMIF(U9:U117,"Yes",R9:R117)</f>
        <v>0</v>
      </c>
      <c r="S127" s="538"/>
      <c r="T127" s="538"/>
      <c r="U127" s="538"/>
    </row>
    <row r="128" spans="2:21" ht="45" customHeight="1">
      <c r="B128" s="164"/>
      <c r="C128" s="822"/>
      <c r="D128" s="838"/>
      <c r="E128" s="164"/>
      <c r="F128" s="164"/>
      <c r="G128" s="164"/>
      <c r="H128" s="164"/>
      <c r="I128" s="809" t="s">
        <v>441</v>
      </c>
      <c r="J128" s="800"/>
      <c r="K128" s="810"/>
      <c r="L128" s="164"/>
      <c r="M128" s="531"/>
      <c r="N128" s="531"/>
      <c r="O128" s="164"/>
      <c r="P128" s="164"/>
      <c r="Q128" s="808"/>
      <c r="R128" s="808"/>
      <c r="S128" s="538"/>
      <c r="T128" s="538"/>
      <c r="U128" s="538"/>
    </row>
    <row r="129" spans="4:19" ht="45" customHeight="1">
      <c r="D129" s="838"/>
      <c r="E129" s="164"/>
      <c r="F129" s="814"/>
      <c r="G129" s="814"/>
      <c r="H129" s="538"/>
      <c r="I129" s="520" t="s">
        <v>442</v>
      </c>
      <c r="J129" s="800"/>
      <c r="K129" s="812">
        <f>K127+K128</f>
        <v>0</v>
      </c>
      <c r="L129" s="164"/>
      <c r="M129" s="531"/>
      <c r="N129" s="531"/>
      <c r="O129" s="164"/>
      <c r="P129" s="164"/>
      <c r="Q129" s="808"/>
      <c r="R129" s="808"/>
      <c r="S129" s="538"/>
    </row>
    <row r="130" spans="4:19" ht="45" customHeight="1">
      <c r="D130" s="838"/>
      <c r="E130" s="164"/>
      <c r="F130" s="814"/>
      <c r="G130" s="814"/>
      <c r="H130" s="538"/>
      <c r="I130" s="809" t="s">
        <v>443</v>
      </c>
      <c r="J130" s="800"/>
      <c r="K130" s="810"/>
      <c r="L130" s="164"/>
      <c r="M130" s="531"/>
      <c r="N130" s="531"/>
      <c r="O130" s="164"/>
      <c r="P130" s="164"/>
      <c r="Q130" s="808"/>
      <c r="R130" s="808"/>
      <c r="S130" s="538"/>
    </row>
    <row r="131" spans="4:19" ht="45" customHeight="1">
      <c r="D131" s="821"/>
      <c r="E131" s="164"/>
      <c r="F131" s="814"/>
      <c r="G131" s="814"/>
      <c r="H131" s="538"/>
      <c r="I131" s="520" t="s">
        <v>107</v>
      </c>
      <c r="J131" s="800"/>
      <c r="K131" s="812">
        <f>Q127</f>
        <v>0</v>
      </c>
      <c r="L131" s="164"/>
      <c r="M131" s="531"/>
      <c r="N131" s="531"/>
      <c r="O131" s="164"/>
      <c r="P131" s="164"/>
      <c r="Q131" s="808"/>
      <c r="R131" s="808"/>
      <c r="S131" s="538"/>
    </row>
    <row r="132" spans="4:19" ht="45" customHeight="1">
      <c r="D132" s="821"/>
      <c r="E132" s="164"/>
      <c r="F132" s="814"/>
      <c r="G132" s="814"/>
      <c r="H132" s="538"/>
      <c r="I132" s="520" t="s">
        <v>444</v>
      </c>
      <c r="J132" s="800"/>
      <c r="K132" s="812">
        <f>R127</f>
        <v>0</v>
      </c>
      <c r="L132" s="164"/>
      <c r="M132" s="531"/>
      <c r="N132" s="531"/>
      <c r="O132" s="164"/>
      <c r="P132" s="164"/>
      <c r="Q132" s="808"/>
      <c r="R132" s="808"/>
      <c r="S132" s="538"/>
    </row>
    <row r="133" spans="4:19" ht="20.100000000000001" customHeight="1">
      <c r="D133" s="821"/>
      <c r="E133" s="164"/>
      <c r="F133" s="814"/>
      <c r="G133" s="814"/>
      <c r="H133" s="538"/>
      <c r="I133" s="520" t="s">
        <v>445</v>
      </c>
      <c r="J133" s="800"/>
      <c r="K133" s="812">
        <f>SUM(K130:K132)</f>
        <v>0</v>
      </c>
      <c r="L133" s="164"/>
      <c r="M133" s="531"/>
      <c r="N133" s="531"/>
      <c r="O133" s="164"/>
      <c r="P133" s="164"/>
      <c r="Q133" s="808"/>
      <c r="R133" s="808"/>
      <c r="S133" s="538"/>
    </row>
    <row r="134" spans="4:19" ht="35.1" customHeight="1">
      <c r="D134" s="821"/>
      <c r="E134" s="164"/>
      <c r="F134" s="814"/>
      <c r="G134" s="814"/>
      <c r="H134" s="538"/>
      <c r="I134" s="506" t="s">
        <v>112</v>
      </c>
      <c r="J134" s="507"/>
      <c r="K134" s="813">
        <f>IFERROR(K133/K129,0)</f>
        <v>0</v>
      </c>
      <c r="L134" s="164"/>
      <c r="M134" s="531"/>
      <c r="N134" s="531"/>
      <c r="O134" s="164"/>
      <c r="P134" s="164"/>
      <c r="Q134" s="808"/>
      <c r="R134" s="808"/>
      <c r="S134" s="538"/>
    </row>
    <row r="135" spans="4:19" ht="35.1" customHeight="1">
      <c r="D135" s="821"/>
      <c r="E135" s="164"/>
      <c r="F135" s="814"/>
      <c r="G135" s="814"/>
      <c r="H135" s="538"/>
      <c r="I135" s="814"/>
      <c r="J135" s="538"/>
      <c r="K135" s="815"/>
      <c r="L135" s="164"/>
      <c r="M135" s="531"/>
      <c r="N135" s="531"/>
      <c r="O135" s="164"/>
      <c r="P135" s="164"/>
      <c r="Q135" s="808"/>
      <c r="R135" s="808"/>
      <c r="S135" s="538"/>
    </row>
    <row r="136" spans="4:19" ht="35.1" customHeight="1">
      <c r="D136" s="821"/>
      <c r="E136" s="143"/>
      <c r="F136" s="814"/>
      <c r="G136" s="814"/>
      <c r="H136" s="814"/>
      <c r="I136" s="446" t="s">
        <v>101</v>
      </c>
      <c r="J136" s="447"/>
      <c r="K136" s="446" t="s">
        <v>446</v>
      </c>
      <c r="L136" s="447"/>
      <c r="M136" s="531"/>
      <c r="N136" s="531"/>
      <c r="O136" s="164"/>
      <c r="P136" s="164"/>
      <c r="Q136" s="192"/>
      <c r="R136" s="808"/>
      <c r="S136" s="538"/>
    </row>
    <row r="137" spans="4:19" ht="35.1" customHeight="1">
      <c r="D137" s="821"/>
      <c r="E137" s="143"/>
      <c r="F137" s="814"/>
      <c r="G137" s="839"/>
      <c r="H137" s="814"/>
      <c r="I137" s="529" t="s">
        <v>447</v>
      </c>
      <c r="J137" s="530" t="s">
        <v>448</v>
      </c>
      <c r="K137" s="1227" t="str">
        <f>IF(J137="Yes","No Issues", IF(J137="No","Contact project team","Check scorecard points"))</f>
        <v>Contact project team</v>
      </c>
      <c r="L137" s="1227"/>
      <c r="M137" s="531"/>
      <c r="N137" s="531"/>
      <c r="O137" s="192"/>
      <c r="P137" s="192"/>
      <c r="Q137" s="192"/>
      <c r="R137" s="192"/>
      <c r="S137" s="538"/>
    </row>
    <row r="138" spans="4:19" ht="50.1" customHeight="1">
      <c r="D138" s="821"/>
      <c r="E138" s="143"/>
      <c r="F138" s="814"/>
      <c r="G138" s="814"/>
      <c r="H138" s="814"/>
      <c r="I138" s="529" t="s">
        <v>449</v>
      </c>
      <c r="J138" s="530">
        <f>COUNTA(K9:K27,K31:K47,K51:K54,K58:K63,K67:K72,K76:K91,K95:K100,K104:K109,K113:K117)+COUNTIF(C9:C115,"TRUE")</f>
        <v>0</v>
      </c>
      <c r="K138" s="1227" t="str">
        <f>IF(J138=0,"No credits entered","No Issues")</f>
        <v>No credits entered</v>
      </c>
      <c r="L138" s="1227"/>
      <c r="M138" s="531"/>
      <c r="N138" s="531"/>
      <c r="O138" s="192"/>
      <c r="P138" s="192"/>
      <c r="Q138" s="808"/>
      <c r="R138" s="808"/>
      <c r="S138" s="538"/>
    </row>
    <row r="139" spans="4:19" ht="50.1" customHeight="1">
      <c r="D139" s="821"/>
      <c r="E139" s="143"/>
      <c r="F139" s="814"/>
      <c r="G139" s="814"/>
      <c r="H139" s="814"/>
      <c r="I139" s="529" t="s">
        <v>450</v>
      </c>
      <c r="J139" s="530">
        <f>COUNTIF(C9:C115,"TRUE")</f>
        <v>0</v>
      </c>
      <c r="K139" s="1229" t="str">
        <f>IF(J139=0,"No Issues - No NA credits claimed",CONCATENATE("No Issues - ",J139," Implementation Costs NOT needed"))</f>
        <v>No Issues - No NA credits claimed</v>
      </c>
      <c r="L139" s="1229"/>
      <c r="M139" s="531"/>
      <c r="N139" s="531"/>
      <c r="O139" s="192"/>
      <c r="P139" s="192"/>
      <c r="Q139" s="808"/>
      <c r="R139" s="808"/>
      <c r="S139" s="538"/>
    </row>
    <row r="140" spans="4:19" ht="35.1" customHeight="1">
      <c r="D140" s="821"/>
      <c r="E140" s="143"/>
      <c r="F140" s="814"/>
      <c r="G140" s="814"/>
      <c r="H140" s="814"/>
      <c r="I140" s="529" t="s">
        <v>451</v>
      </c>
      <c r="J140" s="530">
        <f>COUNTIF(T9:T117,"Yes")</f>
        <v>0</v>
      </c>
      <c r="K140" s="1229" t="str">
        <f>IF(J140&lt;J138,CONCATENATE(J138-J140," documentation cost missing"),IF(J140=0,"No credits entered",IF(COUNTIF(Q9:Q117,0)&gt;0,CONCATENATE(COUNTIF(Q9:Q117,0)," $0 cost(s) provided. Enter a value or explain the $0 value in the Comments column."),"No Issues")))</f>
        <v>No credits entered</v>
      </c>
      <c r="L140" s="1229"/>
      <c r="M140" s="531"/>
      <c r="N140" s="531"/>
      <c r="O140" s="192"/>
      <c r="P140" s="192"/>
      <c r="Q140" s="540"/>
      <c r="R140" s="593"/>
      <c r="S140" s="538"/>
    </row>
    <row r="141" spans="4:19" ht="35.1" customHeight="1">
      <c r="D141" s="821"/>
      <c r="E141" s="143"/>
      <c r="F141" s="814"/>
      <c r="G141" s="814"/>
      <c r="H141" s="814"/>
      <c r="I141" s="529" t="s">
        <v>452</v>
      </c>
      <c r="J141" s="530">
        <f>COUNTIF(U9:U117,"Yes")</f>
        <v>0</v>
      </c>
      <c r="K141" s="1229" t="str">
        <f>IF(J141&lt;(J138-J139),CONCATENATE(J138-J141-J139," implementation cost missing"),IF(J141=0,"No credits entered",IF(COUNTIF(R9:R117,0)&gt;ROUND(0.25*J138,0),CONCATENATE(COUNTIF(R9:R117,0)," $0 cost(s) provided. Enter a value or explain the $0 value in the Comments column."),"No Issues")))</f>
        <v>No credits entered</v>
      </c>
      <c r="L141" s="1229"/>
      <c r="M141" s="531"/>
      <c r="N141" s="531"/>
      <c r="O141" s="192"/>
      <c r="P141" s="192"/>
      <c r="Q141" s="539"/>
      <c r="R141" s="593"/>
      <c r="S141" s="538"/>
    </row>
    <row r="142" spans="4:19" ht="35.1" customHeight="1">
      <c r="D142" s="821"/>
      <c r="E142" s="143"/>
      <c r="F142" s="814"/>
      <c r="G142" s="499"/>
      <c r="H142" s="814"/>
      <c r="I142" s="529" t="s">
        <v>453</v>
      </c>
      <c r="J142" s="530" t="str">
        <f>IF(K127&gt;0,"Yes","No")</f>
        <v>No</v>
      </c>
      <c r="K142" s="1229" t="str">
        <f>IF(J142="No","Total Design Cost missing","No Issues")</f>
        <v>Total Design Cost missing</v>
      </c>
      <c r="L142" s="1229"/>
      <c r="M142" s="531"/>
      <c r="N142" s="531"/>
      <c r="O142" s="192"/>
      <c r="P142" s="192"/>
      <c r="Q142" s="192"/>
      <c r="R142" s="808"/>
      <c r="S142" s="538"/>
    </row>
    <row r="143" spans="4:19" ht="90" customHeight="1">
      <c r="D143" s="821"/>
      <c r="E143" s="143"/>
      <c r="F143" s="814"/>
      <c r="G143" s="499"/>
      <c r="H143" s="814"/>
      <c r="I143" s="529" t="s">
        <v>454</v>
      </c>
      <c r="J143" s="530" t="str">
        <f>IF(K128&gt;0,"Yes","No")</f>
        <v>No</v>
      </c>
      <c r="K143" s="1229" t="str">
        <f>IF(J143="No","Total Construction Cost missing","No Issues")</f>
        <v>Total Construction Cost missing</v>
      </c>
      <c r="L143" s="1229"/>
      <c r="M143" s="531"/>
      <c r="N143" s="531"/>
      <c r="O143" s="192"/>
      <c r="P143" s="192"/>
      <c r="Q143" s="192"/>
      <c r="R143" s="808"/>
      <c r="S143" s="538"/>
    </row>
    <row r="144" spans="4:19" ht="35.1" hidden="1" customHeight="1">
      <c r="D144" s="821"/>
      <c r="E144" s="143"/>
      <c r="F144" s="814"/>
      <c r="G144" s="499"/>
      <c r="H144" s="814"/>
      <c r="I144" s="529" t="s">
        <v>455</v>
      </c>
      <c r="J144" s="530" t="str">
        <f>IF(K130&gt;0,"Yes","No")</f>
        <v>No</v>
      </c>
      <c r="K144" s="1229" t="str">
        <f>IF(J144="No","Green Star Certification Fees missing","No Issues")</f>
        <v>Green Star Certification Fees missing</v>
      </c>
      <c r="L144" s="1229"/>
      <c r="M144" s="531"/>
      <c r="N144" s="531"/>
      <c r="O144" s="164"/>
      <c r="P144" s="164"/>
      <c r="Q144" s="808"/>
      <c r="R144" s="808"/>
      <c r="S144" s="538"/>
    </row>
    <row r="145" spans="5:18" ht="45" hidden="1" customHeight="1">
      <c r="E145" s="143"/>
      <c r="F145" s="814"/>
      <c r="G145" s="814"/>
      <c r="H145" s="814"/>
      <c r="I145" s="529" t="s">
        <v>112</v>
      </c>
      <c r="J145" s="816">
        <f>K134</f>
        <v>0</v>
      </c>
      <c r="K145" s="1229" t="str">
        <f>IF(J145=0,"Additional Costs have not been entered yet",IF(J145&gt;=0.1,"Implementing Green Star cost is unusually high. Check that only additional costs incurred as a result of pursuing a rating were included in the Green Star Certification Fees.","No Issues"))</f>
        <v>Additional Costs have not been entered yet</v>
      </c>
      <c r="L145" s="1229"/>
      <c r="M145" s="531"/>
      <c r="N145" s="531"/>
      <c r="O145" s="164"/>
      <c r="P145" s="164"/>
      <c r="Q145" s="542"/>
      <c r="R145" s="593"/>
    </row>
    <row r="146" spans="5:18" ht="15.6">
      <c r="E146" s="143" t="s">
        <v>14</v>
      </c>
      <c r="F146" s="814"/>
      <c r="G146" s="814"/>
      <c r="H146" s="814"/>
      <c r="I146" s="597" t="s">
        <v>188</v>
      </c>
      <c r="J146" s="597"/>
      <c r="K146" s="1230" t="s">
        <v>456</v>
      </c>
      <c r="L146" s="1230"/>
      <c r="M146" s="531"/>
      <c r="N146" s="531"/>
      <c r="O146" s="164"/>
      <c r="P146" s="164"/>
      <c r="Q146" s="542"/>
      <c r="R146" s="541"/>
    </row>
    <row r="147" spans="5:18" ht="18">
      <c r="E147" s="143" t="s">
        <v>14</v>
      </c>
      <c r="F147" s="814"/>
      <c r="G147" s="31"/>
      <c r="H147"/>
      <c r="I147" s="115" t="s">
        <v>457</v>
      </c>
      <c r="J147" s="1175" t="str">
        <f>IF(OR(COUNTIF(K137:L145,"No Issues*")=9,K146="YES"),"1 POINT AWARDED", "1 POINT NOT AWARDED")</f>
        <v>1 POINT AWARDED</v>
      </c>
      <c r="K147" s="1175"/>
      <c r="L147" s="1175"/>
      <c r="M147" s="531"/>
      <c r="N147" s="531"/>
      <c r="O147" s="164"/>
      <c r="P147" s="164"/>
      <c r="Q147" s="808"/>
      <c r="R147" s="808"/>
    </row>
  </sheetData>
  <dataConsolidate/>
  <customSheetViews>
    <customSheetView guid="{CEACA748-A46A-4C8B-98CF-30E51B671B84}" scale="80" showGridLines="0" fitToPage="1" printArea="1" hiddenColumns="1" topLeftCell="E1">
      <pane ySplit="7" topLeftCell="A175" activePane="bottomLeft" state="frozen"/>
      <selection pane="bottomLeft" activeCell="J184" sqref="J184:L184"/>
      <pageMargins left="0" right="0" top="0" bottom="0" header="0" footer="0"/>
      <pageSetup paperSize="9" scale="55" orientation="portrait" horizontalDpi="1200" verticalDpi="1200" r:id="rId1"/>
    </customSheetView>
  </customSheetViews>
  <mergeCells count="77">
    <mergeCell ref="F15:F16"/>
    <mergeCell ref="G15:G16"/>
    <mergeCell ref="G17:G18"/>
    <mergeCell ref="F17:F18"/>
    <mergeCell ref="I17:I18"/>
    <mergeCell ref="H17:H18"/>
    <mergeCell ref="F1:I1"/>
    <mergeCell ref="G2:H2"/>
    <mergeCell ref="G4:H4"/>
    <mergeCell ref="F10:F14"/>
    <mergeCell ref="G10:G14"/>
    <mergeCell ref="G5:H5"/>
    <mergeCell ref="G3:H3"/>
    <mergeCell ref="G34:G36"/>
    <mergeCell ref="F19:F20"/>
    <mergeCell ref="G19:G20"/>
    <mergeCell ref="F21:F22"/>
    <mergeCell ref="G21:G22"/>
    <mergeCell ref="F26:F27"/>
    <mergeCell ref="G26:G27"/>
    <mergeCell ref="F30:I30"/>
    <mergeCell ref="F31:F33"/>
    <mergeCell ref="G31:G33"/>
    <mergeCell ref="F23:F25"/>
    <mergeCell ref="G23:G25"/>
    <mergeCell ref="F106:F107"/>
    <mergeCell ref="G106:G107"/>
    <mergeCell ref="G67:G72"/>
    <mergeCell ref="F95:F96"/>
    <mergeCell ref="G95:G96"/>
    <mergeCell ref="F97:F99"/>
    <mergeCell ref="G97:G99"/>
    <mergeCell ref="F90:F91"/>
    <mergeCell ref="F94:I94"/>
    <mergeCell ref="H82:H83"/>
    <mergeCell ref="H84:H85"/>
    <mergeCell ref="F67:F72"/>
    <mergeCell ref="G76:G85"/>
    <mergeCell ref="F76:F85"/>
    <mergeCell ref="J17:J18"/>
    <mergeCell ref="F86:F88"/>
    <mergeCell ref="G86:G88"/>
    <mergeCell ref="G90:G91"/>
    <mergeCell ref="F46:F47"/>
    <mergeCell ref="G46:G47"/>
    <mergeCell ref="F50:I50"/>
    <mergeCell ref="F53:F54"/>
    <mergeCell ref="G53:G54"/>
    <mergeCell ref="G37:G40"/>
    <mergeCell ref="F41:F43"/>
    <mergeCell ref="G41:G43"/>
    <mergeCell ref="F44:F45"/>
    <mergeCell ref="G44:G45"/>
    <mergeCell ref="F37:F40"/>
    <mergeCell ref="F34:F36"/>
    <mergeCell ref="Q6:R6"/>
    <mergeCell ref="K140:L140"/>
    <mergeCell ref="K141:L141"/>
    <mergeCell ref="K142:L142"/>
    <mergeCell ref="L78:L83"/>
    <mergeCell ref="K139:L139"/>
    <mergeCell ref="F51:F52"/>
    <mergeCell ref="G51:G52"/>
    <mergeCell ref="F59:F63"/>
    <mergeCell ref="G59:G63"/>
    <mergeCell ref="J147:L147"/>
    <mergeCell ref="K137:L137"/>
    <mergeCell ref="K138:L138"/>
    <mergeCell ref="J113:J117"/>
    <mergeCell ref="K143:L143"/>
    <mergeCell ref="K144:L144"/>
    <mergeCell ref="K145:L145"/>
    <mergeCell ref="K146:L146"/>
    <mergeCell ref="F112:I112"/>
    <mergeCell ref="F103:I103"/>
    <mergeCell ref="F104:F105"/>
    <mergeCell ref="G104:G105"/>
  </mergeCells>
  <conditionalFormatting sqref="H31:K50">
    <cfRule type="expression" dxfId="318" priority="14">
      <formula>$C31=TRUE</formula>
    </cfRule>
  </conditionalFormatting>
  <conditionalFormatting sqref="Q6:S6">
    <cfRule type="containsText" dxfId="317" priority="749" operator="containsText" text="Select">
      <formula>NOT(ISERROR(SEARCH("Select",Q6)))</formula>
    </cfRule>
  </conditionalFormatting>
  <conditionalFormatting sqref="F26:K50 F53:K59 H60:K63 F64:K77 F82:K118 F78:I81 K78:K81">
    <cfRule type="expression" dxfId="316" priority="11">
      <formula>$I26="-"</formula>
    </cfRule>
  </conditionalFormatting>
  <conditionalFormatting sqref="G2:H5">
    <cfRule type="containsText" dxfId="315" priority="315" operator="containsText" text="Please">
      <formula>NOT(ISERROR(SEARCH("Please",G2)))</formula>
    </cfRule>
  </conditionalFormatting>
  <conditionalFormatting sqref="Q58:U63 Q67:U72 Q95:U100 Q104:U109 Q113:U117 Q76:U91 Q31:U47 Q9:U27 Q53:U54">
    <cfRule type="expression" dxfId="314" priority="15">
      <formula>$K9=""</formula>
    </cfRule>
  </conditionalFormatting>
  <conditionalFormatting sqref="K137:K145">
    <cfRule type="containsText" dxfId="313" priority="288" operator="containsText" text="No Issues">
      <formula>NOT(ISERROR(SEARCH("No Issues",K137)))</formula>
    </cfRule>
  </conditionalFormatting>
  <conditionalFormatting sqref="S8:T50">
    <cfRule type="expression" dxfId="312" priority="12">
      <formula>$C8=TRUE</formula>
    </cfRule>
  </conditionalFormatting>
  <conditionalFormatting sqref="U9:U50 U53:U117">
    <cfRule type="cellIs" dxfId="311" priority="266" operator="equal">
      <formula>"NA"</formula>
    </cfRule>
  </conditionalFormatting>
  <conditionalFormatting sqref="H91:K91">
    <cfRule type="expression" dxfId="310" priority="44">
      <formula>$G$90=$M$90</formula>
    </cfRule>
  </conditionalFormatting>
  <conditionalFormatting sqref="H90:K90">
    <cfRule type="expression" dxfId="309" priority="46">
      <formula>$G$90=$M$91</formula>
    </cfRule>
  </conditionalFormatting>
  <conditionalFormatting sqref="H76:K77">
    <cfRule type="expression" dxfId="308" priority="43">
      <formula>$G$76=$M$77</formula>
    </cfRule>
  </conditionalFormatting>
  <conditionalFormatting sqref="H82:K85 H78:I81 K78:K81">
    <cfRule type="expression" dxfId="307" priority="32">
      <formula>$G$76=$M$76</formula>
    </cfRule>
  </conditionalFormatting>
  <conditionalFormatting sqref="H67:K67">
    <cfRule type="expression" dxfId="306" priority="30">
      <formula>$G$67=$M$68</formula>
    </cfRule>
  </conditionalFormatting>
  <conditionalFormatting sqref="H68:K72">
    <cfRule type="expression" dxfId="305" priority="29">
      <formula>$G$67=$M$67</formula>
    </cfRule>
  </conditionalFormatting>
  <conditionalFormatting sqref="H58:K58">
    <cfRule type="expression" dxfId="304" priority="28">
      <formula>$G$58=$M$59</formula>
    </cfRule>
  </conditionalFormatting>
  <conditionalFormatting sqref="H59:K63">
    <cfRule type="expression" dxfId="303" priority="27">
      <formula>$G$58=$M$58</formula>
    </cfRule>
  </conditionalFormatting>
  <conditionalFormatting sqref="H53:K53">
    <cfRule type="expression" dxfId="302" priority="26">
      <formula>$G$53=$M$54</formula>
    </cfRule>
  </conditionalFormatting>
  <conditionalFormatting sqref="H54:K54">
    <cfRule type="expression" dxfId="301" priority="25">
      <formula>$G$53=$M$53</formula>
    </cfRule>
  </conditionalFormatting>
  <conditionalFormatting sqref="H27:K27">
    <cfRule type="expression" dxfId="300" priority="16">
      <formula>$G$26=$M$26</formula>
    </cfRule>
  </conditionalFormatting>
  <conditionalFormatting sqref="H26:K26">
    <cfRule type="expression" dxfId="299" priority="19">
      <formula>$G$26=$M$27</formula>
    </cfRule>
  </conditionalFormatting>
  <conditionalFormatting sqref="K146:L146">
    <cfRule type="cellIs" dxfId="298" priority="750" operator="equal">
      <formula>"YES"</formula>
    </cfRule>
  </conditionalFormatting>
  <conditionalFormatting sqref="I79:I80 H82:K82 H84:K84 I83:K83 H86:K99 I85:K85 H53:K77 H78:H80 H78:I78 H81:I81 K78:K81">
    <cfRule type="expression" dxfId="297" priority="751">
      <formula>$C51=TRUE</formula>
    </cfRule>
  </conditionalFormatting>
  <conditionalFormatting sqref="S53:T118">
    <cfRule type="expression" dxfId="296" priority="763">
      <formula>$C51=TRUE</formula>
    </cfRule>
  </conditionalFormatting>
  <conditionalFormatting sqref="Q51:U52">
    <cfRule type="expression" dxfId="295" priority="8">
      <formula>$K51=""</formula>
    </cfRule>
  </conditionalFormatting>
  <conditionalFormatting sqref="S51:T52">
    <cfRule type="expression" dxfId="294" priority="7">
      <formula>$C51=TRUE</formula>
    </cfRule>
  </conditionalFormatting>
  <conditionalFormatting sqref="U51:U52">
    <cfRule type="cellIs" dxfId="293" priority="9" operator="equal">
      <formula>"NA"</formula>
    </cfRule>
  </conditionalFormatting>
  <conditionalFormatting sqref="J78:J81">
    <cfRule type="expression" dxfId="292" priority="1">
      <formula>$I78="-"</formula>
    </cfRule>
  </conditionalFormatting>
  <conditionalFormatting sqref="J78:J81">
    <cfRule type="expression" dxfId="291" priority="2">
      <formula>$G$76=$M$76</formula>
    </cfRule>
  </conditionalFormatting>
  <conditionalFormatting sqref="J78:J81">
    <cfRule type="expression" dxfId="290" priority="3">
      <formula>$C76=TRUE</formula>
    </cfRule>
  </conditionalFormatting>
  <dataValidations count="24">
    <dataValidation type="decimal" operator="lessThanOrEqual" allowBlank="1" showInputMessage="1" showErrorMessage="1" sqref="K107:K109 K118 K53:K54 K42:K47 K58:K63 K67:K72 K104:K105 K96 K31:K36 K38:K40 K98:K100 K76:K83 K85:K91" xr:uid="{00000000-0002-0000-0300-000000000000}">
      <formula1>J31</formula1>
    </dataValidation>
    <dataValidation type="list" allowBlank="1" showInputMessage="1" showErrorMessage="1" promptTitle="Selection Required" prompt="Please indicate the project's desired pathway." sqref="G67:G72" xr:uid="{00000000-0002-0000-0300-000001000000}">
      <formula1>$M$67:$M$68</formula1>
    </dataValidation>
    <dataValidation type="list" allowBlank="1" showInputMessage="1" showErrorMessage="1" sqref="G65" xr:uid="{00000000-0002-0000-0300-000002000000}">
      <formula1>$M$58:$M$59</formula1>
    </dataValidation>
    <dataValidation type="decimal" allowBlank="1" showInputMessage="1" showErrorMessage="1" sqref="K22 K9 K11:K20 K24:K25 K52" xr:uid="{00000000-0002-0000-0300-000003000000}">
      <formula1>0</formula1>
      <formula2>J9</formula2>
    </dataValidation>
    <dataValidation type="list" allowBlank="1" showInputMessage="1" showErrorMessage="1" promptTitle="Selection Required" prompt="Please indicate the project's desired pathway." sqref="G76" xr:uid="{00000000-0002-0000-0300-000004000000}">
      <formula1>$M$76:$M$77</formula1>
    </dataValidation>
    <dataValidation type="decimal" operator="lessThanOrEqual" allowBlank="1" showInputMessage="1" showErrorMessage="1" sqref="K113:K117" xr:uid="{00000000-0002-0000-0300-000005000000}">
      <formula1>10</formula1>
    </dataValidation>
    <dataValidation type="list" allowBlank="1" showInputMessage="1" showErrorMessage="1" promptTitle="Selection Required" prompt="Please indicate the project's desired pathway." sqref="G53:G54" xr:uid="{00000000-0002-0000-0300-000006000000}">
      <formula1>$M$53:$M$54</formula1>
    </dataValidation>
    <dataValidation type="list" allowBlank="1" showInputMessage="1" showErrorMessage="1" sqref="G56" xr:uid="{00000000-0002-0000-0300-000007000000}">
      <formula1>$M$53:$M$53</formula1>
    </dataValidation>
    <dataValidation type="decimal" operator="lessThanOrEqual" allowBlank="1" showInputMessage="1" showErrorMessage="1" sqref="K26:K27" xr:uid="{00000000-0002-0000-0300-000008000000}">
      <formula1>1</formula1>
    </dataValidation>
    <dataValidation type="list" allowBlank="1" showInputMessage="1" showErrorMessage="1" promptTitle="Selection Required" prompt="Please indicate the project's desired pathway." sqref="G90:G91" xr:uid="{00000000-0002-0000-0300-000009000000}">
      <formula1>$M$90:$M$91</formula1>
    </dataValidation>
    <dataValidation type="list" allowBlank="1" showInputMessage="1" showErrorMessage="1" promptTitle="Green Star Rating" prompt="Please select the project's targeted rating" sqref="G4:H4" xr:uid="{00000000-0002-0000-0300-00000A000000}">
      <formula1>$Y$4:$Y$7</formula1>
    </dataValidation>
    <dataValidation type="list" allowBlank="1" showInputMessage="1" showErrorMessage="1" sqref="G29 G74" xr:uid="{00000000-0002-0000-0300-00000B000000}">
      <formula1>#REF!</formula1>
    </dataValidation>
    <dataValidation type="list" allowBlank="1" showInputMessage="1" showErrorMessage="1" sqref="S6" xr:uid="{00000000-0002-0000-0300-00000C000000}">
      <formula1>$X$5:$X$7</formula1>
    </dataValidation>
    <dataValidation type="list" allowBlank="1" showInputMessage="1" showErrorMessage="1" sqref="Q6:R6" xr:uid="{00000000-0002-0000-0300-00000D000000}">
      <formula1>$W$5:$W$7</formula1>
    </dataValidation>
    <dataValidation allowBlank="1" showInputMessage="1" showErrorMessage="1" promptTitle="Project Number" prompt="Please enter the Green Star number" sqref="G2" xr:uid="{00000000-0002-0000-0300-00000E000000}"/>
    <dataValidation allowBlank="1" showInputMessage="1" showErrorMessage="1" promptTitle="Project Name" prompt="Please enter the project name" sqref="G3" xr:uid="{00000000-0002-0000-0300-00000F000000}"/>
    <dataValidation type="list" allowBlank="1" showInputMessage="1" showErrorMessage="1" sqref="J137" xr:uid="{00000000-0002-0000-0300-000010000000}">
      <formula1>"Please select, Yes, No"</formula1>
    </dataValidation>
    <dataValidation type="decimal" operator="greaterThanOrEqual" allowBlank="1" showInputMessage="1" showErrorMessage="1" sqref="K130 K127:K128 Q9:R117" xr:uid="{00000000-0002-0000-0300-000011000000}">
      <formula1>0</formula1>
    </dataValidation>
    <dataValidation type="list" allowBlank="1" showInputMessage="1" showErrorMessage="1" sqref="K10 K21 K23 K37 K41 K95 K97 K106 K51" xr:uid="{00000000-0002-0000-0300-000012000000}">
      <formula1>$N$10:$N$11</formula1>
    </dataValidation>
    <dataValidation type="list" allowBlank="1" showInputMessage="1" showErrorMessage="1" promptTitle="Selection Required" prompt="Please indicate the project's desired pathway." sqref="G26:G27" xr:uid="{00000000-0002-0000-0300-000013000000}">
      <formula1>$M$26:$M$27</formula1>
    </dataValidation>
    <dataValidation type="list" allowBlank="1" showInputMessage="1" showErrorMessage="1" promptTitle="Rating Tool Version" prompt="Please select the project's rating tool version" sqref="G5:H5" xr:uid="{00000000-0002-0000-0300-000014000000}">
      <formula1>$Z$5:$Z$9</formula1>
    </dataValidation>
    <dataValidation type="list" operator="lessThanOrEqual" allowBlank="1" showInputMessage="1" showErrorMessage="1" sqref="K84" xr:uid="{00000000-0002-0000-0300-000015000000}">
      <formula1>$N$10:$N$11</formula1>
    </dataValidation>
    <dataValidation type="list" allowBlank="1" showInputMessage="1" showErrorMessage="1" promptTitle="Selection required" prompt="Please indicate the project's desired pathway for this credit." sqref="I81" xr:uid="{00000000-0002-0000-0300-000016000000}">
      <formula1>$M$81:$M$82</formula1>
    </dataValidation>
    <dataValidation type="list" allowBlank="1" showInputMessage="1" showErrorMessage="1" sqref="K146:L146" xr:uid="{00000000-0002-0000-0300-000017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2"/>
  <ignoredErrors>
    <ignoredError sqref="T37:U37 T41:U41 T53:U59 T62:U70 T83:U84 T100:U116 T48:U50 T73:U78 T89:U98 T81:U81"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32769" r:id="rId5" name="Check Box 1">
              <controlPr defaultSize="0" autoFill="0" autoLine="0" autoPict="0">
                <anchor moveWithCells="1">
                  <from>
                    <xdr:col>4</xdr:col>
                    <xdr:colOff>38100</xdr:colOff>
                    <xdr:row>31</xdr:row>
                    <xdr:rowOff>171450</xdr:rowOff>
                  </from>
                  <to>
                    <xdr:col>5</xdr:col>
                    <xdr:colOff>552450</xdr:colOff>
                    <xdr:row>31</xdr:row>
                    <xdr:rowOff>381000</xdr:rowOff>
                  </to>
                </anchor>
              </controlPr>
            </control>
          </mc:Choice>
        </mc:AlternateContent>
        <mc:AlternateContent xmlns:mc="http://schemas.openxmlformats.org/markup-compatibility/2006">
          <mc:Choice Requires="x14">
            <control shapeId="32770" r:id="rId6" name="Check Box 2">
              <controlPr defaultSize="0" autoFill="0" autoLine="0" autoPict="0">
                <anchor moveWithCells="1">
                  <from>
                    <xdr:col>4</xdr:col>
                    <xdr:colOff>38100</xdr:colOff>
                    <xdr:row>30</xdr:row>
                    <xdr:rowOff>184150</xdr:rowOff>
                  </from>
                  <to>
                    <xdr:col>5</xdr:col>
                    <xdr:colOff>552450</xdr:colOff>
                    <xdr:row>30</xdr:row>
                    <xdr:rowOff>393700</xdr:rowOff>
                  </to>
                </anchor>
              </controlPr>
            </control>
          </mc:Choice>
        </mc:AlternateContent>
        <mc:AlternateContent xmlns:mc="http://schemas.openxmlformats.org/markup-compatibility/2006">
          <mc:Choice Requires="x14">
            <control shapeId="32771" r:id="rId7" name="Check Box 3">
              <controlPr defaultSize="0" autoFill="0" autoLine="0" autoPict="0">
                <anchor moveWithCells="1">
                  <from>
                    <xdr:col>4</xdr:col>
                    <xdr:colOff>38100</xdr:colOff>
                    <xdr:row>32</xdr:row>
                    <xdr:rowOff>171450</xdr:rowOff>
                  </from>
                  <to>
                    <xdr:col>5</xdr:col>
                    <xdr:colOff>552450</xdr:colOff>
                    <xdr:row>32</xdr:row>
                    <xdr:rowOff>381000</xdr:rowOff>
                  </to>
                </anchor>
              </controlPr>
            </control>
          </mc:Choice>
        </mc:AlternateContent>
        <mc:AlternateContent xmlns:mc="http://schemas.openxmlformats.org/markup-compatibility/2006">
          <mc:Choice Requires="x14">
            <control shapeId="32772" r:id="rId8" name="Check Box 4">
              <controlPr defaultSize="0" autoFill="0" autoLine="0" autoPict="0">
                <anchor moveWithCells="1">
                  <from>
                    <xdr:col>4</xdr:col>
                    <xdr:colOff>38100</xdr:colOff>
                    <xdr:row>33</xdr:row>
                    <xdr:rowOff>171450</xdr:rowOff>
                  </from>
                  <to>
                    <xdr:col>5</xdr:col>
                    <xdr:colOff>552450</xdr:colOff>
                    <xdr:row>33</xdr:row>
                    <xdr:rowOff>381000</xdr:rowOff>
                  </to>
                </anchor>
              </controlPr>
            </control>
          </mc:Choice>
        </mc:AlternateContent>
        <mc:AlternateContent xmlns:mc="http://schemas.openxmlformats.org/markup-compatibility/2006">
          <mc:Choice Requires="x14">
            <control shapeId="32773" r:id="rId9" name="Check Box 5">
              <controlPr defaultSize="0" autoFill="0" autoLine="0" autoPict="0">
                <anchor moveWithCells="1">
                  <from>
                    <xdr:col>4</xdr:col>
                    <xdr:colOff>38100</xdr:colOff>
                    <xdr:row>34</xdr:row>
                    <xdr:rowOff>171450</xdr:rowOff>
                  </from>
                  <to>
                    <xdr:col>5</xdr:col>
                    <xdr:colOff>552450</xdr:colOff>
                    <xdr:row>34</xdr:row>
                    <xdr:rowOff>381000</xdr:rowOff>
                  </to>
                </anchor>
              </controlPr>
            </control>
          </mc:Choice>
        </mc:AlternateContent>
        <mc:AlternateContent xmlns:mc="http://schemas.openxmlformats.org/markup-compatibility/2006">
          <mc:Choice Requires="x14">
            <control shapeId="32774" r:id="rId10" name="Check Box 6">
              <controlPr defaultSize="0" autoFill="0" autoLine="0" autoPict="0">
                <anchor moveWithCells="1">
                  <from>
                    <xdr:col>4</xdr:col>
                    <xdr:colOff>38100</xdr:colOff>
                    <xdr:row>35</xdr:row>
                    <xdr:rowOff>171450</xdr:rowOff>
                  </from>
                  <to>
                    <xdr:col>5</xdr:col>
                    <xdr:colOff>552450</xdr:colOff>
                    <xdr:row>35</xdr:row>
                    <xdr:rowOff>381000</xdr:rowOff>
                  </to>
                </anchor>
              </controlPr>
            </control>
          </mc:Choice>
        </mc:AlternateContent>
        <mc:AlternateContent xmlns:mc="http://schemas.openxmlformats.org/markup-compatibility/2006">
          <mc:Choice Requires="x14">
            <control shapeId="32775" r:id="rId11" name="Check Box 7">
              <controlPr defaultSize="0" autoFill="0" autoLine="0" autoPict="0">
                <anchor moveWithCells="1">
                  <from>
                    <xdr:col>4</xdr:col>
                    <xdr:colOff>38100</xdr:colOff>
                    <xdr:row>37</xdr:row>
                    <xdr:rowOff>171450</xdr:rowOff>
                  </from>
                  <to>
                    <xdr:col>5</xdr:col>
                    <xdr:colOff>552450</xdr:colOff>
                    <xdr:row>37</xdr:row>
                    <xdr:rowOff>381000</xdr:rowOff>
                  </to>
                </anchor>
              </controlPr>
            </control>
          </mc:Choice>
        </mc:AlternateContent>
        <mc:AlternateContent xmlns:mc="http://schemas.openxmlformats.org/markup-compatibility/2006">
          <mc:Choice Requires="x14">
            <control shapeId="32776" r:id="rId12" name="Check Box 8">
              <controlPr defaultSize="0" autoFill="0" autoLine="0" autoPict="0">
                <anchor moveWithCells="1">
                  <from>
                    <xdr:col>4</xdr:col>
                    <xdr:colOff>38100</xdr:colOff>
                    <xdr:row>38</xdr:row>
                    <xdr:rowOff>171450</xdr:rowOff>
                  </from>
                  <to>
                    <xdr:col>5</xdr:col>
                    <xdr:colOff>552450</xdr:colOff>
                    <xdr:row>38</xdr:row>
                    <xdr:rowOff>381000</xdr:rowOff>
                  </to>
                </anchor>
              </controlPr>
            </control>
          </mc:Choice>
        </mc:AlternateContent>
        <mc:AlternateContent xmlns:mc="http://schemas.openxmlformats.org/markup-compatibility/2006">
          <mc:Choice Requires="x14">
            <control shapeId="32777" r:id="rId13" name="Check Box 9">
              <controlPr defaultSize="0" autoFill="0" autoLine="0" autoPict="0">
                <anchor moveWithCells="1">
                  <from>
                    <xdr:col>4</xdr:col>
                    <xdr:colOff>38100</xdr:colOff>
                    <xdr:row>39</xdr:row>
                    <xdr:rowOff>171450</xdr:rowOff>
                  </from>
                  <to>
                    <xdr:col>5</xdr:col>
                    <xdr:colOff>552450</xdr:colOff>
                    <xdr:row>39</xdr:row>
                    <xdr:rowOff>381000</xdr:rowOff>
                  </to>
                </anchor>
              </controlPr>
            </control>
          </mc:Choice>
        </mc:AlternateContent>
        <mc:AlternateContent xmlns:mc="http://schemas.openxmlformats.org/markup-compatibility/2006">
          <mc:Choice Requires="x14">
            <control shapeId="32778" r:id="rId14" name="Check Box 10">
              <controlPr defaultSize="0" autoFill="0" autoLine="0" autoPict="0">
                <anchor moveWithCells="1">
                  <from>
                    <xdr:col>4</xdr:col>
                    <xdr:colOff>38100</xdr:colOff>
                    <xdr:row>41</xdr:row>
                    <xdr:rowOff>171450</xdr:rowOff>
                  </from>
                  <to>
                    <xdr:col>5</xdr:col>
                    <xdr:colOff>552450</xdr:colOff>
                    <xdr:row>41</xdr:row>
                    <xdr:rowOff>381000</xdr:rowOff>
                  </to>
                </anchor>
              </controlPr>
            </control>
          </mc:Choice>
        </mc:AlternateContent>
        <mc:AlternateContent xmlns:mc="http://schemas.openxmlformats.org/markup-compatibility/2006">
          <mc:Choice Requires="x14">
            <control shapeId="32779" r:id="rId15" name="Check Box 11">
              <controlPr defaultSize="0" autoFill="0" autoLine="0" autoPict="0">
                <anchor moveWithCells="1">
                  <from>
                    <xdr:col>4</xdr:col>
                    <xdr:colOff>38100</xdr:colOff>
                    <xdr:row>42</xdr:row>
                    <xdr:rowOff>171450</xdr:rowOff>
                  </from>
                  <to>
                    <xdr:col>5</xdr:col>
                    <xdr:colOff>552450</xdr:colOff>
                    <xdr:row>42</xdr:row>
                    <xdr:rowOff>381000</xdr:rowOff>
                  </to>
                </anchor>
              </controlPr>
            </control>
          </mc:Choice>
        </mc:AlternateContent>
        <mc:AlternateContent xmlns:mc="http://schemas.openxmlformats.org/markup-compatibility/2006">
          <mc:Choice Requires="x14">
            <control shapeId="32780" r:id="rId16" name="Check Box 12">
              <controlPr defaultSize="0" autoFill="0" autoLine="0" autoPict="0">
                <anchor moveWithCells="1">
                  <from>
                    <xdr:col>4</xdr:col>
                    <xdr:colOff>38100</xdr:colOff>
                    <xdr:row>43</xdr:row>
                    <xdr:rowOff>171450</xdr:rowOff>
                  </from>
                  <to>
                    <xdr:col>5</xdr:col>
                    <xdr:colOff>552450</xdr:colOff>
                    <xdr:row>43</xdr:row>
                    <xdr:rowOff>381000</xdr:rowOff>
                  </to>
                </anchor>
              </controlPr>
            </control>
          </mc:Choice>
        </mc:AlternateContent>
        <mc:AlternateContent xmlns:mc="http://schemas.openxmlformats.org/markup-compatibility/2006">
          <mc:Choice Requires="x14">
            <control shapeId="32781" r:id="rId17" name="Check Box 13">
              <controlPr defaultSize="0" autoFill="0" autoLine="0" autoPict="0">
                <anchor moveWithCells="1">
                  <from>
                    <xdr:col>4</xdr:col>
                    <xdr:colOff>38100</xdr:colOff>
                    <xdr:row>44</xdr:row>
                    <xdr:rowOff>171450</xdr:rowOff>
                  </from>
                  <to>
                    <xdr:col>5</xdr:col>
                    <xdr:colOff>552450</xdr:colOff>
                    <xdr:row>44</xdr:row>
                    <xdr:rowOff>381000</xdr:rowOff>
                  </to>
                </anchor>
              </controlPr>
            </control>
          </mc:Choice>
        </mc:AlternateContent>
        <mc:AlternateContent xmlns:mc="http://schemas.openxmlformats.org/markup-compatibility/2006">
          <mc:Choice Requires="x14">
            <control shapeId="32782" r:id="rId18" name="Check Box 14">
              <controlPr defaultSize="0" autoFill="0" autoLine="0" autoPict="0">
                <anchor moveWithCells="1">
                  <from>
                    <xdr:col>4</xdr:col>
                    <xdr:colOff>38100</xdr:colOff>
                    <xdr:row>45</xdr:row>
                    <xdr:rowOff>171450</xdr:rowOff>
                  </from>
                  <to>
                    <xdr:col>5</xdr:col>
                    <xdr:colOff>552450</xdr:colOff>
                    <xdr:row>45</xdr:row>
                    <xdr:rowOff>381000</xdr:rowOff>
                  </to>
                </anchor>
              </controlPr>
            </control>
          </mc:Choice>
        </mc:AlternateContent>
        <mc:AlternateContent xmlns:mc="http://schemas.openxmlformats.org/markup-compatibility/2006">
          <mc:Choice Requires="x14">
            <control shapeId="32783" r:id="rId19" name="Check Box 15">
              <controlPr defaultSize="0" autoFill="0" autoLine="0" autoPict="0">
                <anchor moveWithCells="1">
                  <from>
                    <xdr:col>4</xdr:col>
                    <xdr:colOff>38100</xdr:colOff>
                    <xdr:row>46</xdr:row>
                    <xdr:rowOff>171450</xdr:rowOff>
                  </from>
                  <to>
                    <xdr:col>5</xdr:col>
                    <xdr:colOff>552450</xdr:colOff>
                    <xdr:row>46</xdr:row>
                    <xdr:rowOff>381000</xdr:rowOff>
                  </to>
                </anchor>
              </controlPr>
            </control>
          </mc:Choice>
        </mc:AlternateContent>
        <mc:AlternateContent xmlns:mc="http://schemas.openxmlformats.org/markup-compatibility/2006">
          <mc:Choice Requires="x14">
            <control shapeId="32784" r:id="rId20" name="Check Box 16">
              <controlPr defaultSize="0" autoFill="0" autoLine="0" autoPict="0">
                <anchor moveWithCells="1">
                  <from>
                    <xdr:col>4</xdr:col>
                    <xdr:colOff>38100</xdr:colOff>
                    <xdr:row>59</xdr:row>
                    <xdr:rowOff>171450</xdr:rowOff>
                  </from>
                  <to>
                    <xdr:col>5</xdr:col>
                    <xdr:colOff>565150</xdr:colOff>
                    <xdr:row>59</xdr:row>
                    <xdr:rowOff>381000</xdr:rowOff>
                  </to>
                </anchor>
              </controlPr>
            </control>
          </mc:Choice>
        </mc:AlternateContent>
        <mc:AlternateContent xmlns:mc="http://schemas.openxmlformats.org/markup-compatibility/2006">
          <mc:Choice Requires="x14">
            <control shapeId="32785" r:id="rId21" name="Check Box 17">
              <controlPr defaultSize="0" autoFill="0" autoLine="0" autoPict="0">
                <anchor moveWithCells="1">
                  <from>
                    <xdr:col>4</xdr:col>
                    <xdr:colOff>38100</xdr:colOff>
                    <xdr:row>60</xdr:row>
                    <xdr:rowOff>171450</xdr:rowOff>
                  </from>
                  <to>
                    <xdr:col>5</xdr:col>
                    <xdr:colOff>565150</xdr:colOff>
                    <xdr:row>60</xdr:row>
                    <xdr:rowOff>381000</xdr:rowOff>
                  </to>
                </anchor>
              </controlPr>
            </control>
          </mc:Choice>
        </mc:AlternateContent>
        <mc:AlternateContent xmlns:mc="http://schemas.openxmlformats.org/markup-compatibility/2006">
          <mc:Choice Requires="x14">
            <control shapeId="32786" r:id="rId22" name="Check Box 18">
              <controlPr defaultSize="0" autoFill="0" autoLine="0" autoPict="0">
                <anchor moveWithCells="1">
                  <from>
                    <xdr:col>4</xdr:col>
                    <xdr:colOff>38100</xdr:colOff>
                    <xdr:row>70</xdr:row>
                    <xdr:rowOff>171450</xdr:rowOff>
                  </from>
                  <to>
                    <xdr:col>5</xdr:col>
                    <xdr:colOff>552450</xdr:colOff>
                    <xdr:row>70</xdr:row>
                    <xdr:rowOff>381000</xdr:rowOff>
                  </to>
                </anchor>
              </controlPr>
            </control>
          </mc:Choice>
        </mc:AlternateContent>
        <mc:AlternateContent xmlns:mc="http://schemas.openxmlformats.org/markup-compatibility/2006">
          <mc:Choice Requires="x14">
            <control shapeId="32787" r:id="rId23" name="Check Box 19">
              <controlPr defaultSize="0" autoFill="0" autoLine="0" autoPict="0">
                <anchor moveWithCells="1">
                  <from>
                    <xdr:col>4</xdr:col>
                    <xdr:colOff>38100</xdr:colOff>
                    <xdr:row>71</xdr:row>
                    <xdr:rowOff>171450</xdr:rowOff>
                  </from>
                  <to>
                    <xdr:col>5</xdr:col>
                    <xdr:colOff>552450</xdr:colOff>
                    <xdr:row>71</xdr:row>
                    <xdr:rowOff>381000</xdr:rowOff>
                  </to>
                </anchor>
              </controlPr>
            </control>
          </mc:Choice>
        </mc:AlternateContent>
        <mc:AlternateContent xmlns:mc="http://schemas.openxmlformats.org/markup-compatibility/2006">
          <mc:Choice Requires="x14">
            <control shapeId="32788" r:id="rId24" name="Check Box 20">
              <controlPr defaultSize="0" autoFill="0" autoLine="0" autoPict="0">
                <anchor moveWithCells="1">
                  <from>
                    <xdr:col>4</xdr:col>
                    <xdr:colOff>38100</xdr:colOff>
                    <xdr:row>98</xdr:row>
                    <xdr:rowOff>171450</xdr:rowOff>
                  </from>
                  <to>
                    <xdr:col>5</xdr:col>
                    <xdr:colOff>552450</xdr:colOff>
                    <xdr:row>98</xdr:row>
                    <xdr:rowOff>381000</xdr:rowOff>
                  </to>
                </anchor>
              </controlPr>
            </control>
          </mc:Choice>
        </mc:AlternateContent>
        <mc:AlternateContent xmlns:mc="http://schemas.openxmlformats.org/markup-compatibility/2006">
          <mc:Choice Requires="x14">
            <control shapeId="32789" r:id="rId25" name="Check Box 21">
              <controlPr defaultSize="0" autoFill="0" autoLine="0" autoPict="0">
                <anchor moveWithCells="1">
                  <from>
                    <xdr:col>4</xdr:col>
                    <xdr:colOff>38100</xdr:colOff>
                    <xdr:row>85</xdr:row>
                    <xdr:rowOff>171450</xdr:rowOff>
                  </from>
                  <to>
                    <xdr:col>5</xdr:col>
                    <xdr:colOff>552450</xdr:colOff>
                    <xdr:row>85</xdr:row>
                    <xdr:rowOff>381000</xdr:rowOff>
                  </to>
                </anchor>
              </controlPr>
            </control>
          </mc:Choice>
        </mc:AlternateContent>
        <mc:AlternateContent xmlns:mc="http://schemas.openxmlformats.org/markup-compatibility/2006">
          <mc:Choice Requires="x14">
            <control shapeId="32790" r:id="rId26" name="Check Box 22">
              <controlPr defaultSize="0" autoFill="0" autoLine="0" autoPict="0">
                <anchor moveWithCells="1">
                  <from>
                    <xdr:col>4</xdr:col>
                    <xdr:colOff>38100</xdr:colOff>
                    <xdr:row>86</xdr:row>
                    <xdr:rowOff>171450</xdr:rowOff>
                  </from>
                  <to>
                    <xdr:col>5</xdr:col>
                    <xdr:colOff>552450</xdr:colOff>
                    <xdr:row>86</xdr:row>
                    <xdr:rowOff>381000</xdr:rowOff>
                  </to>
                </anchor>
              </controlPr>
            </control>
          </mc:Choice>
        </mc:AlternateContent>
        <mc:AlternateContent xmlns:mc="http://schemas.openxmlformats.org/markup-compatibility/2006">
          <mc:Choice Requires="x14">
            <control shapeId="32791" r:id="rId27" name="Check Box 23">
              <controlPr defaultSize="0" autoFill="0" autoLine="0" autoPict="0">
                <anchor moveWithCells="1">
                  <from>
                    <xdr:col>4</xdr:col>
                    <xdr:colOff>38100</xdr:colOff>
                    <xdr:row>87</xdr:row>
                    <xdr:rowOff>171450</xdr:rowOff>
                  </from>
                  <to>
                    <xdr:col>5</xdr:col>
                    <xdr:colOff>552450</xdr:colOff>
                    <xdr:row>87</xdr:row>
                    <xdr:rowOff>381000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227"/>
  <sheetViews>
    <sheetView showGridLines="0" showRowColHeaders="0" topLeftCell="D1" zoomScale="70" zoomScaleNormal="70" workbookViewId="0">
      <pane ySplit="7" topLeftCell="A41" activePane="bottomLeft" state="frozen"/>
      <selection pane="bottomLeft" activeCell="N108" sqref="N108"/>
      <selection activeCell="D1" sqref="D1"/>
    </sheetView>
  </sheetViews>
  <sheetFormatPr defaultColWidth="9.140625" defaultRowHeight="14.45"/>
  <cols>
    <col min="1" max="1" width="13.42578125" style="718" hidden="1" customWidth="1"/>
    <col min="2" max="3" width="13.42578125" style="604" hidden="1" customWidth="1"/>
    <col min="4" max="4" width="13.42578125" style="604" customWidth="1"/>
    <col min="5" max="5" width="27.42578125" style="610" customWidth="1"/>
    <col min="6" max="6" width="55" style="610" customWidth="1"/>
    <col min="7" max="7" width="11" style="665" customWidth="1"/>
    <col min="8" max="8" width="53.28515625" style="610" customWidth="1"/>
    <col min="9" max="9" width="17.5703125" style="665" customWidth="1"/>
    <col min="10" max="10" width="16" style="989" customWidth="1"/>
    <col min="11" max="12" width="10.28515625" style="990" customWidth="1"/>
    <col min="13" max="13" width="52" style="990" customWidth="1"/>
    <col min="14" max="15" width="62.42578125" style="990" customWidth="1"/>
    <col min="16" max="17" width="15" style="192" hidden="1" customWidth="1"/>
    <col min="18" max="18" width="10.28515625" style="192" customWidth="1"/>
    <col min="19" max="19" width="24.5703125" style="192" hidden="1" customWidth="1"/>
    <col min="20" max="20" width="22.42578125" style="192" hidden="1" customWidth="1"/>
    <col min="21" max="21" width="26.5703125" style="192" hidden="1" customWidth="1"/>
    <col min="22" max="25" width="10.28515625" style="192" customWidth="1"/>
    <col min="26" max="30" width="10.28515625" style="192" hidden="1" customWidth="1"/>
    <col min="31" max="34" width="10.28515625" style="192" customWidth="1"/>
    <col min="35" max="38" width="10.28515625" style="192" hidden="1" customWidth="1"/>
    <col min="39" max="41" width="10.28515625" style="192" customWidth="1"/>
    <col min="42" max="16384" width="9.140625" style="192"/>
  </cols>
  <sheetData>
    <row r="1" spans="1:36" ht="45" customHeight="1">
      <c r="A1" s="718" t="s">
        <v>14</v>
      </c>
      <c r="B1" s="604" t="s">
        <v>14</v>
      </c>
      <c r="E1" s="1201" t="s">
        <v>0</v>
      </c>
      <c r="F1" s="1202"/>
      <c r="G1" s="1202"/>
      <c r="H1" s="1202"/>
      <c r="I1" s="605"/>
      <c r="J1" s="995"/>
      <c r="K1" s="1112"/>
      <c r="P1" s="144" t="s">
        <v>14</v>
      </c>
      <c r="Q1" s="144" t="s">
        <v>14</v>
      </c>
      <c r="S1" s="144" t="s">
        <v>14</v>
      </c>
      <c r="T1" s="144" t="s">
        <v>14</v>
      </c>
      <c r="U1" s="144" t="s">
        <v>14</v>
      </c>
    </row>
    <row r="2" spans="1:36" ht="45" customHeight="1">
      <c r="E2" s="22" t="s">
        <v>227</v>
      </c>
      <c r="F2" s="1265" t="s">
        <v>228</v>
      </c>
      <c r="G2" s="1266"/>
      <c r="H2" s="6"/>
      <c r="I2" s="605"/>
      <c r="J2" s="995"/>
      <c r="K2" s="1112"/>
      <c r="S2" s="531"/>
      <c r="T2" s="531"/>
      <c r="U2" s="533" t="s">
        <v>488</v>
      </c>
    </row>
    <row r="3" spans="1:36" ht="30.75" customHeight="1">
      <c r="E3" s="23" t="s">
        <v>229</v>
      </c>
      <c r="F3" s="1267" t="s">
        <v>531</v>
      </c>
      <c r="G3" s="1268"/>
      <c r="H3" s="6"/>
      <c r="I3" s="719"/>
      <c r="J3" s="995"/>
      <c r="K3" s="1112"/>
      <c r="S3" s="531"/>
      <c r="T3" s="531"/>
      <c r="U3" s="840" t="s">
        <v>68</v>
      </c>
    </row>
    <row r="4" spans="1:36" ht="45" customHeight="1">
      <c r="E4" s="23" t="s">
        <v>234</v>
      </c>
      <c r="F4" s="1260" t="s">
        <v>235</v>
      </c>
      <c r="G4" s="1261"/>
      <c r="H4" s="9"/>
      <c r="I4" s="608" t="s">
        <v>485</v>
      </c>
      <c r="J4" s="971" t="s">
        <v>532</v>
      </c>
      <c r="S4" s="533" t="s">
        <v>235</v>
      </c>
      <c r="T4" s="531"/>
      <c r="U4" s="840" t="s">
        <v>533</v>
      </c>
    </row>
    <row r="5" spans="1:36" ht="45" customHeight="1">
      <c r="E5" s="24" t="s">
        <v>487</v>
      </c>
      <c r="F5" s="1262" t="s">
        <v>534</v>
      </c>
      <c r="G5" s="1263"/>
      <c r="H5" s="9"/>
      <c r="I5" s="720">
        <f>I114</f>
        <v>100</v>
      </c>
      <c r="J5" s="1113">
        <f>J117</f>
        <v>0</v>
      </c>
      <c r="S5" s="840" t="s">
        <v>256</v>
      </c>
      <c r="T5" s="531"/>
      <c r="U5" s="840" t="s">
        <v>535</v>
      </c>
    </row>
    <row r="6" spans="1:36" ht="17.25" customHeight="1">
      <c r="F6" s="611"/>
      <c r="G6" s="605"/>
      <c r="H6" s="611"/>
      <c r="I6" s="605"/>
      <c r="J6" s="995"/>
      <c r="K6" s="993"/>
      <c r="M6" s="1259" t="s">
        <v>255</v>
      </c>
      <c r="N6" s="1259"/>
      <c r="O6" s="1114" t="s">
        <v>241</v>
      </c>
      <c r="S6" s="840" t="s">
        <v>260</v>
      </c>
      <c r="T6" s="531"/>
      <c r="U6" s="534" t="s">
        <v>536</v>
      </c>
      <c r="AJ6" s="192" t="s">
        <v>537</v>
      </c>
    </row>
    <row r="7" spans="1:36" ht="45" customHeight="1">
      <c r="D7" s="721" t="s">
        <v>242</v>
      </c>
      <c r="E7" s="614" t="s">
        <v>243</v>
      </c>
      <c r="F7" s="614" t="s">
        <v>244</v>
      </c>
      <c r="G7" s="608" t="s">
        <v>245</v>
      </c>
      <c r="H7" s="614" t="s">
        <v>246</v>
      </c>
      <c r="I7" s="608" t="s">
        <v>247</v>
      </c>
      <c r="J7" s="971" t="s">
        <v>248</v>
      </c>
      <c r="K7" s="976"/>
      <c r="M7" s="1029" t="s">
        <v>249</v>
      </c>
      <c r="N7" s="1029" t="s">
        <v>250</v>
      </c>
      <c r="O7" s="1029" t="s">
        <v>251</v>
      </c>
      <c r="P7" s="7" t="s">
        <v>252</v>
      </c>
      <c r="Q7" s="7" t="s">
        <v>253</v>
      </c>
      <c r="S7" s="534" t="s">
        <v>269</v>
      </c>
      <c r="T7" s="531"/>
      <c r="U7" s="531"/>
      <c r="AI7" s="722" t="s">
        <v>273</v>
      </c>
      <c r="AJ7" s="192" t="s">
        <v>266</v>
      </c>
    </row>
    <row r="8" spans="1:36" ht="45" customHeight="1">
      <c r="D8" s="723"/>
      <c r="E8" s="1264" t="s">
        <v>254</v>
      </c>
      <c r="F8" s="1264"/>
      <c r="G8" s="1264"/>
      <c r="H8" s="1264"/>
      <c r="I8" s="723">
        <f>SUM(I9:I25)</f>
        <v>13</v>
      </c>
      <c r="J8" s="1115"/>
      <c r="K8" s="976"/>
      <c r="L8" s="976"/>
      <c r="M8" s="1116"/>
      <c r="N8" s="1116"/>
      <c r="O8" s="1116"/>
      <c r="P8" s="841"/>
      <c r="Q8" s="841"/>
      <c r="S8" s="533" t="s">
        <v>255</v>
      </c>
      <c r="T8" s="533" t="s">
        <v>241</v>
      </c>
      <c r="U8" s="533" t="s">
        <v>266</v>
      </c>
      <c r="AI8" s="722" t="s">
        <v>538</v>
      </c>
      <c r="AJ8" s="192" t="s">
        <v>274</v>
      </c>
    </row>
    <row r="9" spans="1:36" ht="45" customHeight="1">
      <c r="D9" s="724"/>
      <c r="E9" s="725" t="s">
        <v>257</v>
      </c>
      <c r="F9" s="726" t="s">
        <v>539</v>
      </c>
      <c r="G9" s="727">
        <v>1</v>
      </c>
      <c r="H9" s="726" t="s">
        <v>492</v>
      </c>
      <c r="I9" s="728">
        <v>1</v>
      </c>
      <c r="J9" s="1117"/>
      <c r="K9" s="976"/>
      <c r="L9" s="976"/>
      <c r="M9" s="1142"/>
      <c r="N9" s="1142"/>
      <c r="O9" s="1142"/>
      <c r="P9" s="729" t="str">
        <f>IF(M9=0,"no","yes")</f>
        <v>no</v>
      </c>
      <c r="Q9" s="729" t="str">
        <f>IF(N9=0,"no","yes")</f>
        <v>no</v>
      </c>
      <c r="S9" s="840" t="s">
        <v>240</v>
      </c>
      <c r="T9" s="840" t="s">
        <v>259</v>
      </c>
      <c r="U9" s="534" t="s">
        <v>274</v>
      </c>
      <c r="AI9" s="722" t="s">
        <v>540</v>
      </c>
    </row>
    <row r="10" spans="1:36" ht="45" customHeight="1">
      <c r="D10" s="724"/>
      <c r="E10" s="1269" t="s">
        <v>261</v>
      </c>
      <c r="F10" s="1271" t="s">
        <v>541</v>
      </c>
      <c r="G10" s="730">
        <v>2.1</v>
      </c>
      <c r="H10" s="731" t="s">
        <v>263</v>
      </c>
      <c r="I10" s="732" t="s">
        <v>264</v>
      </c>
      <c r="J10" s="1118"/>
      <c r="K10" s="976"/>
      <c r="L10" s="976"/>
      <c r="M10" s="1142"/>
      <c r="N10" s="1142"/>
      <c r="O10" s="1142"/>
      <c r="P10" s="729" t="str">
        <f t="shared" ref="P10:P25" si="0">IF(M10=0,"no","yes")</f>
        <v>no</v>
      </c>
      <c r="Q10" s="729" t="str">
        <f t="shared" ref="Q10:Q25" si="1">IF(N10=0,"no","yes")</f>
        <v>no</v>
      </c>
      <c r="S10" s="534" t="s">
        <v>267</v>
      </c>
      <c r="T10" s="534" t="s">
        <v>268</v>
      </c>
      <c r="U10" s="531"/>
      <c r="AI10" s="722"/>
    </row>
    <row r="11" spans="1:36" ht="45" customHeight="1">
      <c r="D11" s="724"/>
      <c r="E11" s="1270"/>
      <c r="F11" s="1272"/>
      <c r="G11" s="733">
        <v>2.2000000000000002</v>
      </c>
      <c r="H11" s="734" t="s">
        <v>270</v>
      </c>
      <c r="I11" s="735">
        <v>1</v>
      </c>
      <c r="J11" s="1119"/>
      <c r="K11" s="976" t="str">
        <f t="shared" ref="K11:K14" si="2">IF(AND(J11&gt;0,$J$10&lt;&gt;$AJ$7),"!","")</f>
        <v/>
      </c>
      <c r="L11" s="976"/>
      <c r="M11" s="1142"/>
      <c r="N11" s="1142"/>
      <c r="O11" s="1142"/>
      <c r="P11" s="729" t="str">
        <f t="shared" si="0"/>
        <v>no</v>
      </c>
      <c r="Q11" s="729" t="str">
        <f t="shared" si="1"/>
        <v>no</v>
      </c>
      <c r="AI11" s="722"/>
    </row>
    <row r="12" spans="1:36" ht="45" customHeight="1">
      <c r="D12" s="724"/>
      <c r="E12" s="1270"/>
      <c r="F12" s="1272"/>
      <c r="G12" s="733">
        <v>2.2999999999999998</v>
      </c>
      <c r="H12" s="726" t="s">
        <v>542</v>
      </c>
      <c r="I12" s="735">
        <v>1</v>
      </c>
      <c r="J12" s="1119"/>
      <c r="K12" s="976" t="str">
        <f t="shared" si="2"/>
        <v/>
      </c>
      <c r="L12" s="976"/>
      <c r="M12" s="1142"/>
      <c r="N12" s="1142"/>
      <c r="O12" s="1142"/>
      <c r="P12" s="729" t="str">
        <f t="shared" si="0"/>
        <v>no</v>
      </c>
      <c r="Q12" s="729" t="str">
        <f t="shared" si="1"/>
        <v>no</v>
      </c>
      <c r="AI12" s="192" t="s">
        <v>272</v>
      </c>
    </row>
    <row r="13" spans="1:36" ht="45" customHeight="1">
      <c r="D13" s="724"/>
      <c r="E13" s="1270"/>
      <c r="F13" s="1272"/>
      <c r="G13" s="733">
        <v>2.4</v>
      </c>
      <c r="H13" s="726" t="s">
        <v>543</v>
      </c>
      <c r="I13" s="735">
        <v>1</v>
      </c>
      <c r="J13" s="1119"/>
      <c r="K13" s="976" t="str">
        <f t="shared" si="2"/>
        <v/>
      </c>
      <c r="L13" s="976"/>
      <c r="M13" s="1142"/>
      <c r="N13" s="1142"/>
      <c r="O13" s="1142"/>
      <c r="P13" s="729" t="str">
        <f t="shared" si="0"/>
        <v>no</v>
      </c>
      <c r="Q13" s="729" t="str">
        <f t="shared" si="1"/>
        <v>no</v>
      </c>
      <c r="AI13" s="192" t="s">
        <v>276</v>
      </c>
    </row>
    <row r="14" spans="1:36" ht="45" customHeight="1">
      <c r="D14" s="724"/>
      <c r="E14" s="1270"/>
      <c r="F14" s="1272"/>
      <c r="G14" s="733">
        <v>2.5</v>
      </c>
      <c r="H14" s="734" t="s">
        <v>281</v>
      </c>
      <c r="I14" s="735">
        <v>1</v>
      </c>
      <c r="J14" s="1119"/>
      <c r="K14" s="976" t="str">
        <f t="shared" si="2"/>
        <v/>
      </c>
      <c r="L14" s="976"/>
      <c r="M14" s="1142"/>
      <c r="N14" s="1142"/>
      <c r="O14" s="1142"/>
      <c r="P14" s="729" t="str">
        <f t="shared" si="0"/>
        <v>no</v>
      </c>
      <c r="Q14" s="729" t="str">
        <f t="shared" si="1"/>
        <v>no</v>
      </c>
      <c r="AI14" s="192" t="s">
        <v>279</v>
      </c>
    </row>
    <row r="15" spans="1:36" ht="78" customHeight="1">
      <c r="D15" s="724"/>
      <c r="E15" s="736" t="s">
        <v>544</v>
      </c>
      <c r="F15" s="737" t="s">
        <v>545</v>
      </c>
      <c r="G15" s="738">
        <v>3</v>
      </c>
      <c r="H15" s="726" t="s">
        <v>74</v>
      </c>
      <c r="I15" s="728">
        <v>1</v>
      </c>
      <c r="J15" s="1119"/>
      <c r="K15" s="976"/>
      <c r="L15" s="976"/>
      <c r="M15" s="1142"/>
      <c r="N15" s="1142"/>
      <c r="O15" s="1142"/>
      <c r="P15" s="729" t="str">
        <f t="shared" si="0"/>
        <v>no</v>
      </c>
      <c r="Q15" s="729" t="str">
        <f t="shared" si="1"/>
        <v>no</v>
      </c>
      <c r="AI15" s="192" t="s">
        <v>282</v>
      </c>
    </row>
    <row r="16" spans="1:36" ht="45" customHeight="1">
      <c r="D16" s="724"/>
      <c r="E16" s="1273" t="s">
        <v>288</v>
      </c>
      <c r="F16" s="1276" t="s">
        <v>289</v>
      </c>
      <c r="G16" s="739">
        <v>4.0999999999999996</v>
      </c>
      <c r="H16" s="726" t="s">
        <v>546</v>
      </c>
      <c r="I16" s="728">
        <v>1</v>
      </c>
      <c r="J16" s="1119"/>
      <c r="K16" s="976"/>
      <c r="L16" s="976"/>
      <c r="M16" s="1142"/>
      <c r="N16" s="1142"/>
      <c r="O16" s="1142"/>
      <c r="P16" s="729" t="str">
        <f t="shared" si="0"/>
        <v>no</v>
      </c>
      <c r="Q16" s="729" t="str">
        <f t="shared" si="1"/>
        <v>no</v>
      </c>
    </row>
    <row r="17" spans="1:17" ht="45" customHeight="1">
      <c r="D17" s="724"/>
      <c r="E17" s="1274"/>
      <c r="F17" s="1277"/>
      <c r="G17" s="739">
        <v>4.2</v>
      </c>
      <c r="H17" s="726" t="s">
        <v>291</v>
      </c>
      <c r="I17" s="728">
        <v>1</v>
      </c>
      <c r="J17" s="1119"/>
      <c r="K17" s="976"/>
      <c r="L17" s="976"/>
      <c r="M17" s="1142"/>
      <c r="N17" s="1142"/>
      <c r="O17" s="1142"/>
      <c r="P17" s="729" t="str">
        <f t="shared" si="0"/>
        <v>no</v>
      </c>
      <c r="Q17" s="729" t="str">
        <f t="shared" si="1"/>
        <v>no</v>
      </c>
    </row>
    <row r="18" spans="1:17" ht="45" customHeight="1">
      <c r="D18" s="724"/>
      <c r="E18" s="1275"/>
      <c r="F18" s="1278"/>
      <c r="G18" s="739">
        <v>4.3</v>
      </c>
      <c r="H18" s="726" t="s">
        <v>547</v>
      </c>
      <c r="I18" s="728">
        <v>1</v>
      </c>
      <c r="J18" s="1119"/>
      <c r="K18" s="976"/>
      <c r="L18" s="976"/>
      <c r="M18" s="1142"/>
      <c r="N18" s="1142"/>
      <c r="O18" s="1142"/>
      <c r="P18" s="729" t="str">
        <f t="shared" si="0"/>
        <v>no</v>
      </c>
      <c r="Q18" s="729" t="str">
        <f t="shared" si="1"/>
        <v>no</v>
      </c>
    </row>
    <row r="19" spans="1:17" ht="45" customHeight="1">
      <c r="D19" s="724"/>
      <c r="E19" s="1270" t="s">
        <v>292</v>
      </c>
      <c r="F19" s="1272" t="s">
        <v>293</v>
      </c>
      <c r="G19" s="739">
        <v>5.0999999999999996</v>
      </c>
      <c r="H19" s="726" t="s">
        <v>548</v>
      </c>
      <c r="I19" s="740" t="s">
        <v>264</v>
      </c>
      <c r="J19" s="1118"/>
      <c r="K19" s="976"/>
      <c r="L19" s="976"/>
      <c r="M19" s="1142"/>
      <c r="N19" s="1142"/>
      <c r="O19" s="1142"/>
      <c r="P19" s="729" t="str">
        <f t="shared" si="0"/>
        <v>no</v>
      </c>
      <c r="Q19" s="729" t="str">
        <f t="shared" si="1"/>
        <v>no</v>
      </c>
    </row>
    <row r="20" spans="1:17" ht="45" customHeight="1">
      <c r="D20" s="724"/>
      <c r="E20" s="1270"/>
      <c r="F20" s="1272"/>
      <c r="G20" s="739">
        <v>5.2</v>
      </c>
      <c r="H20" s="726" t="s">
        <v>549</v>
      </c>
      <c r="I20" s="728">
        <v>1</v>
      </c>
      <c r="J20" s="1119"/>
      <c r="K20" s="976" t="str">
        <f>IF(AND(J20&gt;0,$J$19&lt;&gt;$AJ$7),"!","")</f>
        <v/>
      </c>
      <c r="L20" s="976"/>
      <c r="M20" s="1142"/>
      <c r="N20" s="1142"/>
      <c r="O20" s="1142"/>
      <c r="P20" s="729" t="str">
        <f t="shared" si="0"/>
        <v>no</v>
      </c>
      <c r="Q20" s="729" t="str">
        <f t="shared" si="1"/>
        <v>no</v>
      </c>
    </row>
    <row r="21" spans="1:17" ht="45" customHeight="1">
      <c r="D21" s="724"/>
      <c r="E21" s="1273" t="s">
        <v>296</v>
      </c>
      <c r="F21" s="1276" t="s">
        <v>550</v>
      </c>
      <c r="G21" s="739">
        <v>6.1</v>
      </c>
      <c r="H21" s="726" t="s">
        <v>551</v>
      </c>
      <c r="I21" s="740" t="s">
        <v>264</v>
      </c>
      <c r="J21" s="1118"/>
      <c r="K21" s="976"/>
      <c r="L21" s="976"/>
      <c r="M21" s="1142"/>
      <c r="N21" s="1142"/>
      <c r="O21" s="1142"/>
      <c r="P21" s="729" t="str">
        <f t="shared" si="0"/>
        <v>no</v>
      </c>
      <c r="Q21" s="729" t="str">
        <f t="shared" si="1"/>
        <v>no</v>
      </c>
    </row>
    <row r="22" spans="1:17" ht="45" customHeight="1">
      <c r="D22" s="724"/>
      <c r="E22" s="1274"/>
      <c r="F22" s="1277"/>
      <c r="G22" s="739">
        <v>6.2</v>
      </c>
      <c r="H22" s="726" t="s">
        <v>552</v>
      </c>
      <c r="I22" s="741">
        <v>1</v>
      </c>
      <c r="J22" s="1120"/>
      <c r="K22" s="976" t="str">
        <f>IF(AND(J22&gt;0,$J$21&lt;&gt;$AJ$7),"!","")</f>
        <v/>
      </c>
      <c r="L22" s="976"/>
      <c r="M22" s="1142"/>
      <c r="N22" s="1142"/>
      <c r="O22" s="1142"/>
      <c r="P22" s="729" t="str">
        <f t="shared" si="0"/>
        <v>no</v>
      </c>
      <c r="Q22" s="729" t="str">
        <f t="shared" si="1"/>
        <v>no</v>
      </c>
    </row>
    <row r="23" spans="1:17" ht="45" customHeight="1">
      <c r="D23" s="724"/>
      <c r="E23" s="1269"/>
      <c r="F23" s="1271"/>
      <c r="G23" s="739">
        <v>6.3</v>
      </c>
      <c r="H23" s="726" t="s">
        <v>46</v>
      </c>
      <c r="I23" s="741">
        <v>1</v>
      </c>
      <c r="J23" s="1120"/>
      <c r="K23" s="976" t="str">
        <f>IF(AND(J23&gt;0,$J$21&lt;&gt;$AJ$7),"!","")</f>
        <v/>
      </c>
      <c r="L23" s="976"/>
      <c r="M23" s="1142"/>
      <c r="N23" s="1142"/>
      <c r="O23" s="1142"/>
      <c r="P23" s="729" t="str">
        <f t="shared" si="0"/>
        <v>no</v>
      </c>
      <c r="Q23" s="729" t="str">
        <f t="shared" si="1"/>
        <v>no</v>
      </c>
    </row>
    <row r="24" spans="1:17" ht="45" customHeight="1">
      <c r="D24" s="724"/>
      <c r="E24" s="1279" t="s">
        <v>300</v>
      </c>
      <c r="F24" s="1281" t="s">
        <v>499</v>
      </c>
      <c r="G24" s="742" t="s">
        <v>553</v>
      </c>
      <c r="H24" s="743" t="s">
        <v>554</v>
      </c>
      <c r="I24" s="744">
        <f>IF(F24=H24,1,0)</f>
        <v>0</v>
      </c>
      <c r="J24" s="1120"/>
      <c r="K24" s="976"/>
      <c r="L24" s="976"/>
      <c r="M24" s="1142"/>
      <c r="N24" s="1142"/>
      <c r="O24" s="1142"/>
      <c r="P24" s="729" t="str">
        <f t="shared" si="0"/>
        <v>no</v>
      </c>
      <c r="Q24" s="729" t="str">
        <f t="shared" si="1"/>
        <v>no</v>
      </c>
    </row>
    <row r="25" spans="1:17" ht="45" customHeight="1">
      <c r="D25" s="724"/>
      <c r="E25" s="1280"/>
      <c r="F25" s="1282"/>
      <c r="G25" s="742" t="s">
        <v>555</v>
      </c>
      <c r="H25" s="743" t="s">
        <v>499</v>
      </c>
      <c r="I25" s="744">
        <f>IF(F24=H25,1,0)</f>
        <v>1</v>
      </c>
      <c r="J25" s="1120"/>
      <c r="K25" s="976"/>
      <c r="L25" s="976"/>
      <c r="M25" s="1142"/>
      <c r="N25" s="1142"/>
      <c r="O25" s="1142"/>
      <c r="P25" s="729" t="str">
        <f t="shared" si="0"/>
        <v>no</v>
      </c>
      <c r="Q25" s="729" t="str">
        <f t="shared" si="1"/>
        <v>no</v>
      </c>
    </row>
    <row r="26" spans="1:17" ht="37.5" customHeight="1">
      <c r="D26" s="635"/>
      <c r="E26" s="635" t="s">
        <v>305</v>
      </c>
      <c r="F26" s="635"/>
      <c r="G26" s="636"/>
      <c r="H26" s="635"/>
      <c r="I26" s="636">
        <f>SUM(I9:I25)</f>
        <v>13</v>
      </c>
      <c r="J26" s="1121">
        <f>SUM(J9:J25)</f>
        <v>0</v>
      </c>
      <c r="K26" s="976"/>
      <c r="L26" s="976"/>
      <c r="M26" s="1143"/>
      <c r="N26" s="1143"/>
      <c r="O26" s="1143"/>
      <c r="P26" s="745"/>
      <c r="Q26" s="745"/>
    </row>
    <row r="27" spans="1:17" ht="45" customHeight="1">
      <c r="D27" s="192"/>
      <c r="E27" s="637"/>
      <c r="F27" s="640"/>
      <c r="G27" s="639"/>
      <c r="H27" s="640"/>
      <c r="I27" s="641"/>
      <c r="J27" s="1122"/>
      <c r="K27" s="976"/>
      <c r="L27" s="976"/>
      <c r="M27" s="992"/>
      <c r="N27" s="992"/>
      <c r="O27" s="992"/>
    </row>
    <row r="28" spans="1:17" ht="45" customHeight="1">
      <c r="D28" s="723"/>
      <c r="E28" s="1264" t="s">
        <v>306</v>
      </c>
      <c r="F28" s="1264"/>
      <c r="G28" s="1264"/>
      <c r="H28" s="1264"/>
      <c r="I28" s="723">
        <f>23-SUM(A29:A49)</f>
        <v>23</v>
      </c>
      <c r="J28" s="1123"/>
      <c r="K28" s="976"/>
      <c r="L28" s="976"/>
      <c r="M28" s="1144"/>
      <c r="N28" s="1144"/>
      <c r="O28" s="1144"/>
      <c r="P28" s="746"/>
      <c r="Q28" s="746"/>
    </row>
    <row r="29" spans="1:17" ht="45" customHeight="1">
      <c r="A29" s="747">
        <f>IF($B$29=TRUE,1,0)</f>
        <v>0</v>
      </c>
      <c r="B29" s="748" t="b">
        <v>0</v>
      </c>
      <c r="C29" s="749"/>
      <c r="D29" s="724"/>
      <c r="E29" s="1270" t="s">
        <v>307</v>
      </c>
      <c r="F29" s="1272" t="s">
        <v>500</v>
      </c>
      <c r="G29" s="735">
        <v>8.1</v>
      </c>
      <c r="H29" s="750" t="s">
        <v>309</v>
      </c>
      <c r="I29" s="735">
        <f>IF($B$29=FALSE,1,0)</f>
        <v>1</v>
      </c>
      <c r="J29" s="1124"/>
      <c r="K29" s="976"/>
      <c r="L29" s="976"/>
      <c r="M29" s="1142"/>
      <c r="N29" s="1142"/>
      <c r="O29" s="1142"/>
      <c r="P29" s="729" t="str">
        <f t="shared" ref="P29:P49" si="3">IF(M29=0,"no","yes")</f>
        <v>no</v>
      </c>
      <c r="Q29" s="729" t="str">
        <f t="shared" ref="Q29:Q49" si="4">IF(N29=0,"no","yes")</f>
        <v>no</v>
      </c>
    </row>
    <row r="30" spans="1:17" ht="45" customHeight="1">
      <c r="A30" s="747">
        <f>IF($B$30=TRUE,2,0)</f>
        <v>0</v>
      </c>
      <c r="B30" s="748" t="b">
        <v>0</v>
      </c>
      <c r="C30" s="749"/>
      <c r="D30" s="724"/>
      <c r="E30" s="1270"/>
      <c r="F30" s="1272"/>
      <c r="G30" s="739">
        <v>8.1999999999999993</v>
      </c>
      <c r="H30" s="751" t="s">
        <v>310</v>
      </c>
      <c r="I30" s="752">
        <f>IF($B$30=FALSE,2,0)</f>
        <v>2</v>
      </c>
      <c r="J30" s="1124"/>
      <c r="K30" s="976"/>
      <c r="L30" s="976"/>
      <c r="M30" s="1142"/>
      <c r="N30" s="1142"/>
      <c r="O30" s="1142"/>
      <c r="P30" s="729" t="str">
        <f t="shared" si="3"/>
        <v>no</v>
      </c>
      <c r="Q30" s="729" t="str">
        <f t="shared" si="4"/>
        <v>no</v>
      </c>
    </row>
    <row r="31" spans="1:17" ht="45" customHeight="1">
      <c r="A31" s="747">
        <f>IF($B$31=TRUE,1,0)</f>
        <v>0</v>
      </c>
      <c r="B31" s="748" t="b">
        <v>0</v>
      </c>
      <c r="C31" s="749"/>
      <c r="D31" s="724"/>
      <c r="E31" s="1270"/>
      <c r="F31" s="1272"/>
      <c r="G31" s="739">
        <v>8.3000000000000007</v>
      </c>
      <c r="H31" s="751" t="s">
        <v>311</v>
      </c>
      <c r="I31" s="752">
        <f>IF($B$31=FALSE,1,0)</f>
        <v>1</v>
      </c>
      <c r="J31" s="1124"/>
      <c r="K31" s="976"/>
      <c r="L31" s="976"/>
      <c r="M31" s="1142"/>
      <c r="N31" s="1142"/>
      <c r="O31" s="1142"/>
      <c r="P31" s="729" t="str">
        <f t="shared" si="3"/>
        <v>no</v>
      </c>
      <c r="Q31" s="729" t="str">
        <f t="shared" si="4"/>
        <v>no</v>
      </c>
    </row>
    <row r="32" spans="1:17" ht="45" customHeight="1">
      <c r="A32" s="747">
        <f>IF($B$32=TRUE,1,0)</f>
        <v>0</v>
      </c>
      <c r="B32" s="748" t="b">
        <v>0</v>
      </c>
      <c r="C32" s="749"/>
      <c r="D32" s="724"/>
      <c r="E32" s="1270" t="s">
        <v>312</v>
      </c>
      <c r="F32" s="1272" t="s">
        <v>313</v>
      </c>
      <c r="G32" s="739">
        <v>9.1</v>
      </c>
      <c r="H32" s="751" t="s">
        <v>314</v>
      </c>
      <c r="I32" s="728">
        <f>IF($B$32=FALSE,1,0)</f>
        <v>1</v>
      </c>
      <c r="J32" s="1124"/>
      <c r="K32" s="976"/>
      <c r="L32" s="976"/>
      <c r="M32" s="1142"/>
      <c r="N32" s="1142"/>
      <c r="O32" s="1142"/>
      <c r="P32" s="729" t="str">
        <f t="shared" si="3"/>
        <v>no</v>
      </c>
      <c r="Q32" s="729" t="str">
        <f t="shared" si="4"/>
        <v>no</v>
      </c>
    </row>
    <row r="33" spans="1:17" ht="45" customHeight="1">
      <c r="A33" s="747">
        <f>IF($B$33=TRUE,1,0)</f>
        <v>0</v>
      </c>
      <c r="B33" s="748" t="b">
        <v>0</v>
      </c>
      <c r="C33" s="749"/>
      <c r="D33" s="724"/>
      <c r="E33" s="1270"/>
      <c r="F33" s="1272"/>
      <c r="G33" s="739">
        <v>9.1999999999999993</v>
      </c>
      <c r="H33" s="751" t="s">
        <v>315</v>
      </c>
      <c r="I33" s="728">
        <f>IF($B$33=FALSE,1,0)</f>
        <v>1</v>
      </c>
      <c r="J33" s="1124"/>
      <c r="K33" s="976"/>
      <c r="L33" s="976"/>
      <c r="M33" s="1142"/>
      <c r="N33" s="1142"/>
      <c r="O33" s="1142"/>
      <c r="P33" s="729" t="str">
        <f t="shared" si="3"/>
        <v>no</v>
      </c>
      <c r="Q33" s="729" t="str">
        <f t="shared" si="4"/>
        <v>no</v>
      </c>
    </row>
    <row r="34" spans="1:17" ht="45" customHeight="1">
      <c r="A34" s="747">
        <f>IF($B$34=TRUE,1,0)</f>
        <v>0</v>
      </c>
      <c r="B34" s="748" t="b">
        <v>0</v>
      </c>
      <c r="C34" s="749"/>
      <c r="D34" s="724"/>
      <c r="E34" s="1270"/>
      <c r="F34" s="1272"/>
      <c r="G34" s="739">
        <v>9.3000000000000007</v>
      </c>
      <c r="H34" s="751" t="s">
        <v>316</v>
      </c>
      <c r="I34" s="728">
        <f>IF($B$34=FALSE,1,0)</f>
        <v>1</v>
      </c>
      <c r="J34" s="1124"/>
      <c r="K34" s="976"/>
      <c r="L34" s="976"/>
      <c r="M34" s="1142"/>
      <c r="N34" s="1142"/>
      <c r="O34" s="1142"/>
      <c r="P34" s="729" t="str">
        <f t="shared" si="3"/>
        <v>no</v>
      </c>
      <c r="Q34" s="729" t="str">
        <f t="shared" si="4"/>
        <v>no</v>
      </c>
    </row>
    <row r="35" spans="1:17" ht="45" customHeight="1">
      <c r="B35" s="748"/>
      <c r="D35" s="724"/>
      <c r="E35" s="1270" t="s">
        <v>317</v>
      </c>
      <c r="F35" s="1272" t="s">
        <v>318</v>
      </c>
      <c r="G35" s="739">
        <v>10.1</v>
      </c>
      <c r="H35" s="751" t="s">
        <v>319</v>
      </c>
      <c r="I35" s="740" t="s">
        <v>264</v>
      </c>
      <c r="J35" s="1118"/>
      <c r="K35" s="976"/>
      <c r="L35" s="976"/>
      <c r="M35" s="1142"/>
      <c r="N35" s="1142"/>
      <c r="O35" s="1142"/>
      <c r="P35" s="729" t="str">
        <f t="shared" si="3"/>
        <v>no</v>
      </c>
      <c r="Q35" s="729" t="str">
        <f t="shared" si="4"/>
        <v>no</v>
      </c>
    </row>
    <row r="36" spans="1:17" ht="45" customHeight="1">
      <c r="A36" s="747">
        <f>IF($B$36=TRUE,1,0)</f>
        <v>0</v>
      </c>
      <c r="B36" s="748" t="b">
        <v>0</v>
      </c>
      <c r="C36" s="749"/>
      <c r="D36" s="724"/>
      <c r="E36" s="1270"/>
      <c r="F36" s="1272"/>
      <c r="G36" s="739">
        <v>10.199999999999999</v>
      </c>
      <c r="H36" s="751" t="s">
        <v>320</v>
      </c>
      <c r="I36" s="728">
        <f>IF($B$36=FALSE,1,0)</f>
        <v>1</v>
      </c>
      <c r="J36" s="1124"/>
      <c r="K36" s="976" t="str">
        <f>IF(AND(J36&gt;0,$J$35&lt;&gt;$AJ$7),"!","")</f>
        <v/>
      </c>
      <c r="L36" s="976"/>
      <c r="M36" s="1142"/>
      <c r="N36" s="1142"/>
      <c r="O36" s="1142"/>
      <c r="P36" s="729" t="str">
        <f t="shared" si="3"/>
        <v>no</v>
      </c>
      <c r="Q36" s="729" t="str">
        <f t="shared" si="4"/>
        <v>no</v>
      </c>
    </row>
    <row r="37" spans="1:17" ht="45" customHeight="1">
      <c r="A37" s="747">
        <f>IF($B$37=TRUE,1,0)</f>
        <v>0</v>
      </c>
      <c r="B37" s="748" t="b">
        <v>0</v>
      </c>
      <c r="C37" s="749"/>
      <c r="D37" s="724"/>
      <c r="E37" s="1270"/>
      <c r="F37" s="1272"/>
      <c r="G37" s="739">
        <v>10.3</v>
      </c>
      <c r="H37" s="751" t="s">
        <v>321</v>
      </c>
      <c r="I37" s="728">
        <f>IF($B$37=FALSE,1,0)</f>
        <v>1</v>
      </c>
      <c r="J37" s="1124"/>
      <c r="K37" s="976" t="str">
        <f>IF(AND(J37&gt;0,$J$35&lt;&gt;$AJ$7),"!","")</f>
        <v/>
      </c>
      <c r="L37" s="976"/>
      <c r="M37" s="1142"/>
      <c r="N37" s="1142"/>
      <c r="O37" s="1142"/>
      <c r="P37" s="729" t="str">
        <f t="shared" si="3"/>
        <v>no</v>
      </c>
      <c r="Q37" s="729" t="str">
        <f t="shared" si="4"/>
        <v>no</v>
      </c>
    </row>
    <row r="38" spans="1:17" ht="45" customHeight="1">
      <c r="A38" s="747">
        <f>IF($B$38=TRUE,1,0)</f>
        <v>0</v>
      </c>
      <c r="B38" s="748" t="b">
        <v>0</v>
      </c>
      <c r="D38" s="724"/>
      <c r="E38" s="1270"/>
      <c r="F38" s="1272"/>
      <c r="G38" s="739">
        <v>10.4</v>
      </c>
      <c r="H38" s="751" t="s">
        <v>322</v>
      </c>
      <c r="I38" s="728">
        <f>IF($B$38=FALSE,1,0)</f>
        <v>1</v>
      </c>
      <c r="J38" s="1124"/>
      <c r="K38" s="976" t="str">
        <f>IF(AND(J38&gt;0,$J$35&lt;&gt;$AJ$7),"!","")</f>
        <v/>
      </c>
      <c r="L38" s="976"/>
      <c r="M38" s="1142"/>
      <c r="N38" s="1142"/>
      <c r="O38" s="1142"/>
      <c r="P38" s="729" t="str">
        <f t="shared" si="3"/>
        <v>no</v>
      </c>
      <c r="Q38" s="729" t="str">
        <f t="shared" si="4"/>
        <v>no</v>
      </c>
    </row>
    <row r="39" spans="1:17" ht="45" customHeight="1">
      <c r="A39" s="747"/>
      <c r="B39" s="748"/>
      <c r="D39" s="724"/>
      <c r="E39" s="1270" t="s">
        <v>323</v>
      </c>
      <c r="F39" s="1272" t="s">
        <v>324</v>
      </c>
      <c r="G39" s="739">
        <v>11.1</v>
      </c>
      <c r="H39" s="751" t="s">
        <v>325</v>
      </c>
      <c r="I39" s="740" t="s">
        <v>264</v>
      </c>
      <c r="J39" s="1118"/>
      <c r="K39" s="976"/>
      <c r="L39" s="976"/>
      <c r="M39" s="1142"/>
      <c r="N39" s="1142"/>
      <c r="O39" s="1142"/>
      <c r="P39" s="729" t="str">
        <f t="shared" si="3"/>
        <v>no</v>
      </c>
      <c r="Q39" s="729" t="str">
        <f t="shared" si="4"/>
        <v>no</v>
      </c>
    </row>
    <row r="40" spans="1:17" ht="45" customHeight="1">
      <c r="A40" s="747">
        <f>IF($B$40=TRUE,2,0)</f>
        <v>0</v>
      </c>
      <c r="B40" s="748" t="b">
        <v>0</v>
      </c>
      <c r="C40" s="749"/>
      <c r="D40" s="724"/>
      <c r="E40" s="1270"/>
      <c r="F40" s="1272"/>
      <c r="G40" s="739">
        <v>11.2</v>
      </c>
      <c r="H40" s="751" t="s">
        <v>326</v>
      </c>
      <c r="I40" s="728">
        <f>IF($B$40=FALSE,2,0)</f>
        <v>2</v>
      </c>
      <c r="J40" s="1124"/>
      <c r="K40" s="976" t="str">
        <f>IF(AND(J40&gt;0,$J$39&lt;&gt;$AJ$7),"!","")</f>
        <v/>
      </c>
      <c r="L40" s="976"/>
      <c r="M40" s="1142"/>
      <c r="N40" s="1142"/>
      <c r="O40" s="1142"/>
      <c r="P40" s="729" t="str">
        <f t="shared" si="3"/>
        <v>no</v>
      </c>
      <c r="Q40" s="729" t="str">
        <f t="shared" si="4"/>
        <v>no</v>
      </c>
    </row>
    <row r="41" spans="1:17" ht="45" customHeight="1">
      <c r="A41" s="747">
        <f>IF($B$41=TRUE,1,0)</f>
        <v>0</v>
      </c>
      <c r="B41" s="748" t="b">
        <v>0</v>
      </c>
      <c r="C41" s="749"/>
      <c r="D41" s="724"/>
      <c r="E41" s="1270"/>
      <c r="F41" s="1272"/>
      <c r="G41" s="739">
        <v>11.3</v>
      </c>
      <c r="H41" s="751" t="s">
        <v>327</v>
      </c>
      <c r="I41" s="728">
        <f>IF($B$41=FALSE,1,0)</f>
        <v>1</v>
      </c>
      <c r="J41" s="1124"/>
      <c r="K41" s="976" t="str">
        <f>IF(AND(J41&gt;0,$J$39&lt;&gt;$AJ$7),"!","")</f>
        <v/>
      </c>
      <c r="L41" s="976"/>
      <c r="M41" s="1142"/>
      <c r="N41" s="1142"/>
      <c r="O41" s="1142"/>
      <c r="P41" s="729" t="str">
        <f t="shared" si="3"/>
        <v>no</v>
      </c>
      <c r="Q41" s="729" t="str">
        <f t="shared" si="4"/>
        <v>no</v>
      </c>
    </row>
    <row r="42" spans="1:17" ht="45" customHeight="1">
      <c r="A42" s="747">
        <f>IF($B$42=TRUE,2,0)</f>
        <v>0</v>
      </c>
      <c r="B42" s="748" t="b">
        <v>0</v>
      </c>
      <c r="C42" s="749"/>
      <c r="D42" s="724"/>
      <c r="E42" s="1273" t="s">
        <v>328</v>
      </c>
      <c r="F42" s="1276" t="s">
        <v>329</v>
      </c>
      <c r="G42" s="739">
        <v>12.1</v>
      </c>
      <c r="H42" s="751" t="s">
        <v>330</v>
      </c>
      <c r="I42" s="728">
        <f>IF($B$42=FALSE,2,0)</f>
        <v>2</v>
      </c>
      <c r="J42" s="1124"/>
      <c r="K42" s="976"/>
      <c r="L42" s="976"/>
      <c r="M42" s="1142"/>
      <c r="N42" s="1142"/>
      <c r="O42" s="1142"/>
      <c r="P42" s="729" t="str">
        <f t="shared" si="3"/>
        <v>no</v>
      </c>
      <c r="Q42" s="729" t="str">
        <f t="shared" si="4"/>
        <v>no</v>
      </c>
    </row>
    <row r="43" spans="1:17" ht="45" customHeight="1">
      <c r="A43" s="747">
        <f>IF($B$43=TRUE,2,0)</f>
        <v>0</v>
      </c>
      <c r="B43" s="748" t="b">
        <v>0</v>
      </c>
      <c r="C43" s="749"/>
      <c r="D43" s="724"/>
      <c r="E43" s="1274"/>
      <c r="F43" s="1277"/>
      <c r="G43" s="739">
        <v>12.2</v>
      </c>
      <c r="H43" s="751" t="s">
        <v>331</v>
      </c>
      <c r="I43" s="728">
        <f>IF($B$43=FALSE,2,0)</f>
        <v>2</v>
      </c>
      <c r="J43" s="1124"/>
      <c r="K43" s="976"/>
      <c r="L43" s="976"/>
      <c r="M43" s="1142"/>
      <c r="N43" s="1142"/>
      <c r="O43" s="1142"/>
      <c r="P43" s="729" t="str">
        <f t="shared" si="3"/>
        <v>no</v>
      </c>
      <c r="Q43" s="729" t="str">
        <f t="shared" si="4"/>
        <v>no</v>
      </c>
    </row>
    <row r="44" spans="1:17" ht="45" customHeight="1">
      <c r="A44" s="747">
        <f>IF($B$44=TRUE,2,0)</f>
        <v>0</v>
      </c>
      <c r="B44" s="748" t="b">
        <v>0</v>
      </c>
      <c r="C44" s="749"/>
      <c r="D44" s="724"/>
      <c r="E44" s="1275"/>
      <c r="F44" s="1278"/>
      <c r="G44" s="739">
        <v>12.3</v>
      </c>
      <c r="H44" s="751" t="s">
        <v>556</v>
      </c>
      <c r="I44" s="728">
        <f>IF($B$44=FALSE,2,0)</f>
        <v>2</v>
      </c>
      <c r="J44" s="1124"/>
      <c r="K44" s="976"/>
      <c r="L44" s="976"/>
      <c r="M44" s="1142"/>
      <c r="N44" s="1142"/>
      <c r="O44" s="1142"/>
      <c r="P44" s="729" t="str">
        <f t="shared" si="3"/>
        <v>no</v>
      </c>
      <c r="Q44" s="729" t="str">
        <f t="shared" si="4"/>
        <v>no</v>
      </c>
    </row>
    <row r="45" spans="1:17" ht="45" customHeight="1">
      <c r="B45" s="748"/>
      <c r="D45" s="724"/>
      <c r="E45" s="1270" t="s">
        <v>332</v>
      </c>
      <c r="F45" s="1272" t="s">
        <v>501</v>
      </c>
      <c r="G45" s="739">
        <v>13.1</v>
      </c>
      <c r="H45" s="751" t="s">
        <v>332</v>
      </c>
      <c r="I45" s="728">
        <v>1</v>
      </c>
      <c r="J45" s="1124"/>
      <c r="K45" s="976"/>
      <c r="L45" s="976"/>
      <c r="M45" s="1145"/>
      <c r="N45" s="1145"/>
      <c r="O45" s="1145"/>
      <c r="P45" s="729" t="str">
        <f t="shared" si="3"/>
        <v>no</v>
      </c>
      <c r="Q45" s="729" t="str">
        <f t="shared" si="4"/>
        <v>no</v>
      </c>
    </row>
    <row r="46" spans="1:17" ht="45" customHeight="1">
      <c r="A46" s="747">
        <f>IF(B46=TRUE,1,0)</f>
        <v>0</v>
      </c>
      <c r="B46" s="748" t="b">
        <v>0</v>
      </c>
      <c r="D46" s="724"/>
      <c r="E46" s="1273"/>
      <c r="F46" s="1276"/>
      <c r="G46" s="739">
        <v>13.2</v>
      </c>
      <c r="H46" s="751" t="s">
        <v>334</v>
      </c>
      <c r="I46" s="728">
        <f>IF(B46=FALSE,1,0)</f>
        <v>1</v>
      </c>
      <c r="J46" s="1124"/>
      <c r="K46" s="976"/>
      <c r="L46" s="976"/>
      <c r="M46" s="1142"/>
      <c r="N46" s="1142"/>
      <c r="O46" s="1142"/>
      <c r="P46" s="729" t="str">
        <f t="shared" si="3"/>
        <v>no</v>
      </c>
      <c r="Q46" s="729" t="str">
        <f t="shared" si="4"/>
        <v>no</v>
      </c>
    </row>
    <row r="47" spans="1:17" ht="45" customHeight="1">
      <c r="D47" s="724"/>
      <c r="E47" s="1273" t="s">
        <v>557</v>
      </c>
      <c r="F47" s="1290" t="s">
        <v>558</v>
      </c>
      <c r="G47" s="742" t="s">
        <v>559</v>
      </c>
      <c r="H47" s="743" t="s">
        <v>560</v>
      </c>
      <c r="I47" s="744">
        <f>IF(F47=H47,1,0)</f>
        <v>0</v>
      </c>
      <c r="J47" s="1125"/>
      <c r="K47" s="976"/>
      <c r="L47" s="976"/>
      <c r="M47" s="1142"/>
      <c r="N47" s="1142"/>
      <c r="O47" s="1142"/>
      <c r="P47" s="729" t="str">
        <f t="shared" si="3"/>
        <v>no</v>
      </c>
      <c r="Q47" s="729" t="str">
        <f t="shared" si="4"/>
        <v>no</v>
      </c>
    </row>
    <row r="48" spans="1:17" ht="45" customHeight="1">
      <c r="D48" s="724"/>
      <c r="E48" s="1275"/>
      <c r="F48" s="1193"/>
      <c r="G48" s="742" t="s">
        <v>561</v>
      </c>
      <c r="H48" s="743" t="s">
        <v>558</v>
      </c>
      <c r="I48" s="744">
        <f>IF(F47=H48,1,0)</f>
        <v>1</v>
      </c>
      <c r="J48" s="1124"/>
      <c r="K48" s="976"/>
      <c r="L48" s="976"/>
      <c r="M48" s="1142"/>
      <c r="N48" s="1142"/>
      <c r="O48" s="1142"/>
      <c r="P48" s="729" t="str">
        <f t="shared" si="3"/>
        <v>no</v>
      </c>
      <c r="Q48" s="729" t="str">
        <f t="shared" si="4"/>
        <v>no</v>
      </c>
    </row>
    <row r="49" spans="1:26" ht="45" customHeight="1">
      <c r="D49" s="724"/>
      <c r="E49" s="725" t="s">
        <v>562</v>
      </c>
      <c r="F49" s="753" t="s">
        <v>563</v>
      </c>
      <c r="G49" s="754">
        <v>15</v>
      </c>
      <c r="H49" s="743" t="s">
        <v>564</v>
      </c>
      <c r="I49" s="755">
        <v>1</v>
      </c>
      <c r="J49" s="1124"/>
      <c r="K49" s="976"/>
      <c r="L49" s="976"/>
      <c r="M49" s="1142"/>
      <c r="N49" s="1142"/>
      <c r="O49" s="1142"/>
      <c r="P49" s="729" t="str">
        <f t="shared" si="3"/>
        <v>no</v>
      </c>
      <c r="Q49" s="729" t="str">
        <f t="shared" si="4"/>
        <v>no</v>
      </c>
    </row>
    <row r="50" spans="1:26" ht="45" customHeight="1">
      <c r="D50" s="635"/>
      <c r="E50" s="635" t="s">
        <v>305</v>
      </c>
      <c r="F50" s="635"/>
      <c r="G50" s="636"/>
      <c r="H50" s="635"/>
      <c r="I50" s="636">
        <f>SUM(I29:I49)</f>
        <v>23</v>
      </c>
      <c r="J50" s="1121">
        <f>SUM(J29:J49)</f>
        <v>0</v>
      </c>
      <c r="K50" s="976"/>
      <c r="L50" s="976"/>
      <c r="M50" s="1143"/>
      <c r="N50" s="1143"/>
      <c r="O50" s="1143"/>
      <c r="P50" s="745"/>
      <c r="Q50" s="745"/>
    </row>
    <row r="51" spans="1:26" ht="45" customHeight="1">
      <c r="E51" s="653"/>
      <c r="F51" s="653"/>
      <c r="G51" s="605"/>
      <c r="H51" s="653"/>
      <c r="I51" s="605"/>
      <c r="J51" s="1126"/>
      <c r="K51" s="976"/>
      <c r="L51" s="976"/>
      <c r="M51" s="992"/>
      <c r="N51" s="992"/>
      <c r="O51" s="992"/>
    </row>
    <row r="52" spans="1:26" ht="45" customHeight="1">
      <c r="D52" s="756"/>
      <c r="E52" s="1264" t="s">
        <v>335</v>
      </c>
      <c r="F52" s="1264"/>
      <c r="G52" s="1264"/>
      <c r="H52" s="1264"/>
      <c r="I52" s="756">
        <f>20-SUM(A53:A62)</f>
        <v>20</v>
      </c>
      <c r="J52" s="1123"/>
      <c r="K52" s="976"/>
      <c r="L52" s="976"/>
      <c r="M52" s="1144"/>
      <c r="N52" s="1144"/>
      <c r="O52" s="1144"/>
      <c r="P52" s="746"/>
      <c r="Q52" s="746"/>
    </row>
    <row r="53" spans="1:26" ht="45" customHeight="1">
      <c r="D53" s="724"/>
      <c r="E53" s="1274" t="s">
        <v>336</v>
      </c>
      <c r="F53" s="1276" t="s">
        <v>337</v>
      </c>
      <c r="G53" s="751">
        <v>16.100000000000001</v>
      </c>
      <c r="H53" s="751" t="s">
        <v>565</v>
      </c>
      <c r="I53" s="740" t="s">
        <v>264</v>
      </c>
      <c r="J53" s="1118"/>
      <c r="K53" s="976"/>
      <c r="L53" s="976"/>
      <c r="M53" s="1142"/>
      <c r="N53" s="1142"/>
      <c r="O53" s="1142"/>
      <c r="P53" s="729" t="str">
        <f t="shared" ref="P53:P62" si="5">IF(M53=0,"no","yes")</f>
        <v>no</v>
      </c>
      <c r="Q53" s="729" t="str">
        <f t="shared" ref="Q53:Q62" si="6">IF(N53=0,"no","yes")</f>
        <v>no</v>
      </c>
      <c r="Z53" t="s">
        <v>566</v>
      </c>
    </row>
    <row r="54" spans="1:26" ht="45" customHeight="1">
      <c r="D54" s="724"/>
      <c r="E54" s="1274"/>
      <c r="F54" s="1277"/>
      <c r="G54" s="1288">
        <v>16.2</v>
      </c>
      <c r="H54" s="751" t="s">
        <v>567</v>
      </c>
      <c r="I54" s="740">
        <v>5</v>
      </c>
      <c r="J54" s="1127"/>
      <c r="K54" s="976" t="str">
        <f>IF(AND(J54&gt;0,$J$53&lt;&gt;$AJ$7),"!","")</f>
        <v/>
      </c>
      <c r="L54" s="976"/>
      <c r="M54" s="1142"/>
      <c r="N54" s="1142"/>
      <c r="O54" s="1142"/>
      <c r="P54" s="729" t="str">
        <f t="shared" si="5"/>
        <v>no</v>
      </c>
      <c r="Q54" s="729" t="str">
        <f t="shared" si="6"/>
        <v>no</v>
      </c>
      <c r="Z54" t="s">
        <v>568</v>
      </c>
    </row>
    <row r="55" spans="1:26" ht="45" customHeight="1">
      <c r="A55" s="747">
        <f>IF(B55=TRUE,4,0)</f>
        <v>0</v>
      </c>
      <c r="B55" s="748" t="b">
        <v>0</v>
      </c>
      <c r="D55" s="724"/>
      <c r="E55" s="1274"/>
      <c r="F55" s="1277"/>
      <c r="G55" s="1289"/>
      <c r="H55" s="757" t="s">
        <v>569</v>
      </c>
      <c r="I55" s="728">
        <f>IF(B55=FALSE,SUM(I57:I59),0)</f>
        <v>4</v>
      </c>
      <c r="J55" s="1111">
        <f>SUM(J57:J59)</f>
        <v>0</v>
      </c>
      <c r="K55" s="976" t="str">
        <f>IF(AND(J55&gt;0,$J$53&lt;&gt;$AJ$7),"!","")</f>
        <v/>
      </c>
      <c r="L55" s="976"/>
      <c r="M55" s="1142"/>
      <c r="N55" s="1142"/>
      <c r="O55" s="1142"/>
      <c r="P55" s="729" t="str">
        <f t="shared" si="5"/>
        <v>no</v>
      </c>
      <c r="Q55" s="729" t="str">
        <f t="shared" si="6"/>
        <v>no</v>
      </c>
      <c r="Z55" t="s">
        <v>570</v>
      </c>
    </row>
    <row r="56" spans="1:26" ht="45" customHeight="1">
      <c r="A56" s="747"/>
      <c r="B56" s="748"/>
      <c r="D56" s="724"/>
      <c r="E56" s="1274"/>
      <c r="F56" s="1277"/>
      <c r="G56" s="1289"/>
      <c r="H56" s="758" t="s">
        <v>571</v>
      </c>
      <c r="I56" s="740" t="s">
        <v>264</v>
      </c>
      <c r="J56" s="1118"/>
      <c r="K56" s="976" t="str">
        <f>IF(AND(J56&gt;0,$J$53&lt;&gt;$AJ$7),"!","")</f>
        <v/>
      </c>
      <c r="L56" s="976"/>
      <c r="M56" s="1142"/>
      <c r="N56" s="1142"/>
      <c r="O56" s="1142"/>
      <c r="P56" s="729" t="str">
        <f t="shared" si="5"/>
        <v>no</v>
      </c>
      <c r="Q56" s="729" t="str">
        <f t="shared" si="6"/>
        <v>no</v>
      </c>
      <c r="Z56"/>
    </row>
    <row r="57" spans="1:26" ht="45" customHeight="1">
      <c r="A57" s="747">
        <f>IF(B57=TRUE,1,0)</f>
        <v>0</v>
      </c>
      <c r="B57" s="748" t="b">
        <v>0</v>
      </c>
      <c r="D57" s="724"/>
      <c r="E57" s="1274"/>
      <c r="F57" s="1277"/>
      <c r="G57" s="1289"/>
      <c r="H57" s="758" t="s">
        <v>572</v>
      </c>
      <c r="I57" s="728">
        <f>IF(OR(B57=TRUE,B55=TRUE),0,1)</f>
        <v>1</v>
      </c>
      <c r="J57" s="1127"/>
      <c r="K57" s="976" t="str">
        <f>IF(AND(J57&gt;0,OR($J$53&lt;&gt;$AJ$7,OR($J$56=$AJ$8,$J$56=0))),"!","")</f>
        <v/>
      </c>
      <c r="L57" s="976"/>
      <c r="M57" s="1142"/>
      <c r="N57" s="1142"/>
      <c r="O57" s="1142"/>
      <c r="P57" s="729" t="str">
        <f t="shared" si="5"/>
        <v>no</v>
      </c>
      <c r="Q57" s="729" t="str">
        <f t="shared" si="6"/>
        <v>no</v>
      </c>
      <c r="Z57"/>
    </row>
    <row r="58" spans="1:26" ht="45" customHeight="1">
      <c r="A58" s="747">
        <f>IF(B58=TRUE,1,0)</f>
        <v>0</v>
      </c>
      <c r="B58" s="748" t="b">
        <v>0</v>
      </c>
      <c r="D58" s="724"/>
      <c r="E58" s="1274"/>
      <c r="F58" s="1277"/>
      <c r="G58" s="1289"/>
      <c r="H58" s="758" t="s">
        <v>573</v>
      </c>
      <c r="I58" s="728">
        <f>IF(OR(B58=TRUE,$B$55=TRUE),0,1)</f>
        <v>1</v>
      </c>
      <c r="J58" s="1127"/>
      <c r="K58" s="976" t="str">
        <f>IF(AND(J58&gt;0,OR($J$53&lt;&gt;$AJ$7,OR($J$56=$AJ$8,$J$56=0))),"!","")</f>
        <v/>
      </c>
      <c r="L58" s="976"/>
      <c r="M58" s="1142"/>
      <c r="N58" s="1142"/>
      <c r="O58" s="1142"/>
      <c r="P58" s="729" t="str">
        <f t="shared" si="5"/>
        <v>no</v>
      </c>
      <c r="Q58" s="729" t="str">
        <f t="shared" si="6"/>
        <v>no</v>
      </c>
      <c r="Z58"/>
    </row>
    <row r="59" spans="1:26" ht="45" customHeight="1">
      <c r="A59" s="747">
        <f>IF(B59=TRUE,2,0)</f>
        <v>0</v>
      </c>
      <c r="B59" s="748" t="b">
        <v>0</v>
      </c>
      <c r="D59" s="724"/>
      <c r="E59" s="1274"/>
      <c r="F59" s="1277"/>
      <c r="G59" s="1289"/>
      <c r="H59" s="758" t="s">
        <v>574</v>
      </c>
      <c r="I59" s="728">
        <f>IF(OR(B59=TRUE,$B$55=TRUE),0,2)</f>
        <v>2</v>
      </c>
      <c r="J59" s="1127"/>
      <c r="K59" s="976" t="str">
        <f>IF(AND(J59&gt;0,OR($J$53&lt;&gt;$AJ$7,OR($J$56=$AJ$8,$J$56=0))),"!","")</f>
        <v/>
      </c>
      <c r="L59" s="976"/>
      <c r="M59" s="1142"/>
      <c r="N59" s="1142"/>
      <c r="O59" s="1142"/>
      <c r="P59" s="729" t="str">
        <f t="shared" si="5"/>
        <v>no</v>
      </c>
      <c r="Q59" s="729" t="str">
        <f t="shared" si="6"/>
        <v>no</v>
      </c>
      <c r="Z59"/>
    </row>
    <row r="60" spans="1:26" ht="45" customHeight="1">
      <c r="A60" s="747">
        <f>IF(B60=TRUE,1,0)</f>
        <v>0</v>
      </c>
      <c r="B60" s="748" t="b">
        <v>0</v>
      </c>
      <c r="D60" s="724"/>
      <c r="E60" s="1274"/>
      <c r="F60" s="1277"/>
      <c r="G60" s="1289"/>
      <c r="H60" s="757" t="s">
        <v>575</v>
      </c>
      <c r="I60" s="738">
        <f>IF(B60=FALSE,1,0)</f>
        <v>1</v>
      </c>
      <c r="J60" s="1127"/>
      <c r="K60" s="976" t="str">
        <f>IF(AND(J60&gt;0,$J$53&lt;&gt;$AJ$7),"!","")</f>
        <v/>
      </c>
      <c r="L60" s="976"/>
      <c r="M60" s="1142"/>
      <c r="N60" s="1142"/>
      <c r="O60" s="1142"/>
      <c r="P60" s="729" t="str">
        <f t="shared" si="5"/>
        <v>no</v>
      </c>
      <c r="Q60" s="729" t="str">
        <f t="shared" si="6"/>
        <v>no</v>
      </c>
      <c r="Z60" t="s">
        <v>576</v>
      </c>
    </row>
    <row r="61" spans="1:26" ht="45" customHeight="1">
      <c r="D61" s="724"/>
      <c r="E61" s="1274"/>
      <c r="F61" s="1277"/>
      <c r="G61" s="1289"/>
      <c r="H61" s="751" t="s">
        <v>577</v>
      </c>
      <c r="I61" s="740">
        <v>3</v>
      </c>
      <c r="J61" s="1127"/>
      <c r="K61" s="976" t="str">
        <f>IF(AND(J61&gt;0,$J$53&lt;&gt;$AJ$7),"!","")</f>
        <v/>
      </c>
      <c r="L61" s="976"/>
      <c r="M61" s="1142"/>
      <c r="N61" s="1142"/>
      <c r="O61" s="1142"/>
      <c r="P61" s="729" t="str">
        <f t="shared" si="5"/>
        <v>no</v>
      </c>
      <c r="Q61" s="729" t="str">
        <f t="shared" si="6"/>
        <v>no</v>
      </c>
    </row>
    <row r="62" spans="1:26" ht="45" customHeight="1">
      <c r="D62" s="724"/>
      <c r="E62" s="1274"/>
      <c r="F62" s="1277"/>
      <c r="G62" s="1289"/>
      <c r="H62" s="751" t="s">
        <v>578</v>
      </c>
      <c r="I62" s="740">
        <v>1</v>
      </c>
      <c r="J62" s="1127"/>
      <c r="K62" s="976" t="str">
        <f>IF(AND(J62&gt;0,$J$53&lt;&gt;$AJ$7),"!","")</f>
        <v/>
      </c>
      <c r="L62" s="976"/>
      <c r="M62" s="1142"/>
      <c r="N62" s="1142"/>
      <c r="O62" s="1142"/>
      <c r="P62" s="729" t="str">
        <f t="shared" si="5"/>
        <v>no</v>
      </c>
      <c r="Q62" s="729" t="str">
        <f t="shared" si="6"/>
        <v>no</v>
      </c>
    </row>
    <row r="63" spans="1:26" ht="45" customHeight="1">
      <c r="D63" s="635"/>
      <c r="E63" s="635" t="s">
        <v>305</v>
      </c>
      <c r="F63" s="635"/>
      <c r="G63" s="636"/>
      <c r="H63" s="635"/>
      <c r="I63" s="759">
        <f>SUM(I54:I55)+SUM(I60:I62)</f>
        <v>14</v>
      </c>
      <c r="J63" s="1128">
        <f>SUM(J54:J55)+SUM(J60:J62)</f>
        <v>0</v>
      </c>
      <c r="K63" s="976"/>
      <c r="L63" s="976"/>
      <c r="M63" s="1146"/>
      <c r="N63" s="1146"/>
      <c r="O63" s="1146"/>
      <c r="P63" s="759"/>
      <c r="Q63" s="759"/>
    </row>
    <row r="64" spans="1:26" ht="45" customHeight="1">
      <c r="J64" s="1126"/>
      <c r="K64" s="976"/>
      <c r="L64" s="976"/>
      <c r="M64" s="1147"/>
      <c r="N64" s="992"/>
      <c r="O64" s="992"/>
    </row>
    <row r="65" spans="1:26" ht="45" customHeight="1">
      <c r="D65" s="761"/>
      <c r="E65" s="761" t="s">
        <v>345</v>
      </c>
      <c r="F65" s="762"/>
      <c r="G65" s="763"/>
      <c r="H65" s="762"/>
      <c r="I65" s="756">
        <f>SUM(I66:I69)</f>
        <v>7</v>
      </c>
      <c r="J65" s="1123"/>
      <c r="K65" s="976"/>
      <c r="L65" s="976"/>
      <c r="M65" s="1148"/>
      <c r="N65" s="1144"/>
      <c r="O65" s="1144"/>
      <c r="P65" s="746"/>
      <c r="Q65" s="746"/>
      <c r="Z65" s="764" t="s">
        <v>579</v>
      </c>
    </row>
    <row r="66" spans="1:26" ht="45" customHeight="1">
      <c r="D66" s="724"/>
      <c r="E66" s="1284" t="s">
        <v>346</v>
      </c>
      <c r="F66" s="1276" t="s">
        <v>580</v>
      </c>
      <c r="G66" s="751">
        <v>17.100000000000001</v>
      </c>
      <c r="H66" s="765" t="s">
        <v>581</v>
      </c>
      <c r="I66" s="728">
        <v>4</v>
      </c>
      <c r="J66" s="1127"/>
      <c r="K66" s="976"/>
      <c r="L66" s="976"/>
      <c r="M66" s="1142"/>
      <c r="N66" s="1142"/>
      <c r="O66" s="1142"/>
      <c r="P66" s="729" t="str">
        <f t="shared" ref="P66:P69" si="7">IF(M66=0,"no","yes")</f>
        <v>no</v>
      </c>
      <c r="Q66" s="729" t="str">
        <f t="shared" ref="Q66:Q69" si="8">IF(N66=0,"no","yes")</f>
        <v>no</v>
      </c>
      <c r="Z66" s="760" t="s">
        <v>581</v>
      </c>
    </row>
    <row r="67" spans="1:26" ht="45" customHeight="1">
      <c r="A67" s="747">
        <f>IF(B67=TRUE,1,0)</f>
        <v>0</v>
      </c>
      <c r="B67" s="604" t="b">
        <v>0</v>
      </c>
      <c r="D67" s="724"/>
      <c r="E67" s="1285"/>
      <c r="F67" s="1277"/>
      <c r="G67" s="751">
        <v>17.2</v>
      </c>
      <c r="H67" s="757" t="s">
        <v>350</v>
      </c>
      <c r="I67" s="738">
        <f>IF(B67=FALSE,1,0)</f>
        <v>1</v>
      </c>
      <c r="J67" s="1127"/>
      <c r="K67" s="976"/>
      <c r="L67" s="976"/>
      <c r="M67" s="1142"/>
      <c r="N67" s="1142"/>
      <c r="O67" s="1142"/>
      <c r="P67" s="729" t="str">
        <f t="shared" si="7"/>
        <v>no</v>
      </c>
      <c r="Q67" s="729" t="str">
        <f t="shared" si="8"/>
        <v>no</v>
      </c>
    </row>
    <row r="68" spans="1:26" ht="45" customHeight="1">
      <c r="D68" s="724"/>
      <c r="E68" s="1285"/>
      <c r="F68" s="1277"/>
      <c r="G68" s="751">
        <v>17.3</v>
      </c>
      <c r="H68" s="751" t="s">
        <v>351</v>
      </c>
      <c r="I68" s="728">
        <v>1</v>
      </c>
      <c r="J68" s="1127"/>
      <c r="K68" s="976"/>
      <c r="L68" s="976"/>
      <c r="M68" s="1142"/>
      <c r="N68" s="1142"/>
      <c r="O68" s="1142"/>
      <c r="P68" s="729" t="str">
        <f t="shared" si="7"/>
        <v>no</v>
      </c>
      <c r="Q68" s="729" t="str">
        <f t="shared" si="8"/>
        <v>no</v>
      </c>
    </row>
    <row r="69" spans="1:26" ht="45" customHeight="1">
      <c r="D69" s="724"/>
      <c r="E69" s="1286"/>
      <c r="F69" s="1277"/>
      <c r="G69" s="751">
        <v>17.399999999999999</v>
      </c>
      <c r="H69" s="751" t="s">
        <v>352</v>
      </c>
      <c r="I69" s="728">
        <v>1</v>
      </c>
      <c r="J69" s="1127"/>
      <c r="K69" s="976"/>
      <c r="L69" s="976"/>
      <c r="M69" s="1142"/>
      <c r="N69" s="1142"/>
      <c r="O69" s="1142"/>
      <c r="P69" s="729" t="str">
        <f t="shared" si="7"/>
        <v>no</v>
      </c>
      <c r="Q69" s="729" t="str">
        <f t="shared" si="8"/>
        <v>no</v>
      </c>
    </row>
    <row r="70" spans="1:26" ht="45" customHeight="1">
      <c r="D70" s="635"/>
      <c r="E70" s="635" t="s">
        <v>305</v>
      </c>
      <c r="F70" s="635"/>
      <c r="G70" s="636"/>
      <c r="H70" s="635"/>
      <c r="I70" s="636">
        <f>SUM(I66:I69)</f>
        <v>7</v>
      </c>
      <c r="J70" s="1121">
        <f>SUM(J66:J69)</f>
        <v>0</v>
      </c>
      <c r="K70" s="976"/>
      <c r="L70" s="976"/>
      <c r="M70" s="1143"/>
      <c r="N70" s="1143"/>
      <c r="O70" s="1143"/>
      <c r="P70" s="745"/>
      <c r="Q70" s="745"/>
    </row>
    <row r="71" spans="1:26" ht="45" customHeight="1">
      <c r="J71" s="1126"/>
      <c r="K71" s="976"/>
      <c r="L71" s="976"/>
      <c r="M71" s="1147"/>
      <c r="N71" s="992"/>
      <c r="O71" s="992"/>
    </row>
    <row r="72" spans="1:26" ht="45" customHeight="1">
      <c r="D72" s="761"/>
      <c r="E72" s="761" t="s">
        <v>353</v>
      </c>
      <c r="F72" s="762"/>
      <c r="G72" s="763"/>
      <c r="H72" s="762"/>
      <c r="I72" s="756">
        <f>5-SUM(A73:A77)</f>
        <v>5</v>
      </c>
      <c r="J72" s="1123"/>
      <c r="K72" s="976"/>
      <c r="L72" s="976"/>
      <c r="M72" s="1148"/>
      <c r="N72" s="1144"/>
      <c r="O72" s="1144"/>
      <c r="P72" s="746"/>
      <c r="Q72" s="746"/>
    </row>
    <row r="73" spans="1:26" ht="45" customHeight="1">
      <c r="D73" s="724"/>
      <c r="E73" s="1269" t="s">
        <v>354</v>
      </c>
      <c r="F73" s="1191" t="s">
        <v>271</v>
      </c>
      <c r="G73" s="766" t="s">
        <v>355</v>
      </c>
      <c r="H73" s="767" t="s">
        <v>265</v>
      </c>
      <c r="I73" s="768">
        <f>IF($F$73=Z73,5,0)</f>
        <v>0</v>
      </c>
      <c r="J73" s="1129"/>
      <c r="K73" s="976"/>
      <c r="L73" s="976"/>
      <c r="M73" s="1142"/>
      <c r="N73" s="1142"/>
      <c r="O73" s="1142"/>
      <c r="P73" s="729" t="str">
        <f t="shared" ref="P73:P77" si="9">IF(M73=0,"no","yes")</f>
        <v>no</v>
      </c>
      <c r="Q73" s="729" t="str">
        <f t="shared" ref="Q73:Q77" si="10">IF(N73=0,"no","yes")</f>
        <v>no</v>
      </c>
      <c r="Z73" s="764" t="s">
        <v>265</v>
      </c>
    </row>
    <row r="74" spans="1:26" ht="45" customHeight="1">
      <c r="A74" s="769">
        <f>IF(AND($F$73=$Z$74,B74=TRUE),1,0)</f>
        <v>0</v>
      </c>
      <c r="B74" s="770" t="b">
        <v>0</v>
      </c>
      <c r="D74" s="724"/>
      <c r="E74" s="1270"/>
      <c r="F74" s="1192"/>
      <c r="G74" s="766" t="s">
        <v>357</v>
      </c>
      <c r="H74" s="771" t="s">
        <v>358</v>
      </c>
      <c r="I74" s="772">
        <f>IF(AND($F$73=$Z$74,B74=FALSE),1,0)</f>
        <v>1</v>
      </c>
      <c r="J74" s="1129"/>
      <c r="K74" s="976"/>
      <c r="L74" s="976"/>
      <c r="M74" s="1142"/>
      <c r="N74" s="1142"/>
      <c r="O74" s="1142"/>
      <c r="P74" s="729" t="str">
        <f t="shared" si="9"/>
        <v>no</v>
      </c>
      <c r="Q74" s="729" t="str">
        <f t="shared" si="10"/>
        <v>no</v>
      </c>
      <c r="Z74" s="764" t="s">
        <v>271</v>
      </c>
    </row>
    <row r="75" spans="1:26" ht="45" customHeight="1">
      <c r="A75" s="769">
        <f>IF(AND($F$73=$Z$74,B75=TRUE),1,0)</f>
        <v>0</v>
      </c>
      <c r="B75" s="604" t="b">
        <v>0</v>
      </c>
      <c r="D75" s="724"/>
      <c r="E75" s="1270"/>
      <c r="F75" s="1192"/>
      <c r="G75" s="766" t="s">
        <v>359</v>
      </c>
      <c r="H75" s="771" t="s">
        <v>582</v>
      </c>
      <c r="I75" s="772">
        <f>IF(AND($F$73=$Z$74,B75=FALSE),1,0)</f>
        <v>1</v>
      </c>
      <c r="J75" s="1129"/>
      <c r="K75" s="976"/>
      <c r="L75" s="976"/>
      <c r="M75" s="1149"/>
      <c r="N75" s="1142"/>
      <c r="O75" s="1142"/>
      <c r="P75" s="729" t="str">
        <f t="shared" si="9"/>
        <v>no</v>
      </c>
      <c r="Q75" s="729" t="str">
        <f t="shared" si="10"/>
        <v>no</v>
      </c>
    </row>
    <row r="76" spans="1:26" ht="45" customHeight="1">
      <c r="A76" s="769">
        <f>IF(AND($F$73=$Z$74,B76=TRUE),1,0)</f>
        <v>0</v>
      </c>
      <c r="B76" s="604" t="b">
        <v>0</v>
      </c>
      <c r="D76" s="724"/>
      <c r="E76" s="1270"/>
      <c r="F76" s="1192"/>
      <c r="G76" s="766" t="s">
        <v>361</v>
      </c>
      <c r="H76" s="771" t="s">
        <v>583</v>
      </c>
      <c r="I76" s="772">
        <f>IF(AND($F$73=$Z$74,B76=FALSE),1,0)</f>
        <v>1</v>
      </c>
      <c r="J76" s="1129"/>
      <c r="K76" s="976"/>
      <c r="L76" s="976"/>
      <c r="M76" s="1142"/>
      <c r="N76" s="1142"/>
      <c r="O76" s="1142"/>
      <c r="P76" s="729" t="str">
        <f t="shared" si="9"/>
        <v>no</v>
      </c>
      <c r="Q76" s="729" t="str">
        <f t="shared" si="10"/>
        <v>no</v>
      </c>
    </row>
    <row r="77" spans="1:26" ht="45" customHeight="1">
      <c r="D77" s="724"/>
      <c r="E77" s="1270"/>
      <c r="F77" s="1193"/>
      <c r="G77" s="766" t="s">
        <v>363</v>
      </c>
      <c r="H77" s="771" t="s">
        <v>584</v>
      </c>
      <c r="I77" s="772">
        <f>IF($F$73=Z74,2,0)</f>
        <v>2</v>
      </c>
      <c r="J77" s="1129"/>
      <c r="K77" s="976"/>
      <c r="L77" s="976"/>
      <c r="M77" s="1142"/>
      <c r="N77" s="1142"/>
      <c r="O77" s="1142"/>
      <c r="P77" s="729" t="str">
        <f t="shared" si="9"/>
        <v>no</v>
      </c>
      <c r="Q77" s="729" t="str">
        <f t="shared" si="10"/>
        <v>no</v>
      </c>
    </row>
    <row r="78" spans="1:26" ht="45" customHeight="1">
      <c r="D78" s="635"/>
      <c r="E78" s="635" t="s">
        <v>305</v>
      </c>
      <c r="F78" s="635"/>
      <c r="G78" s="636"/>
      <c r="H78" s="635"/>
      <c r="I78" s="636">
        <f>SUM(I73:I77)</f>
        <v>5</v>
      </c>
      <c r="J78" s="1121">
        <f>SUM(J73:J77)</f>
        <v>0</v>
      </c>
      <c r="K78" s="976"/>
      <c r="L78" s="976"/>
      <c r="M78" s="1143"/>
      <c r="N78" s="1143"/>
      <c r="O78" s="1143"/>
      <c r="P78" s="745"/>
      <c r="Q78" s="745"/>
    </row>
    <row r="79" spans="1:26" ht="45" customHeight="1">
      <c r="J79" s="1126"/>
      <c r="K79" s="976"/>
      <c r="L79" s="976"/>
      <c r="M79" s="992"/>
      <c r="N79" s="992"/>
      <c r="O79" s="992"/>
    </row>
    <row r="80" spans="1:26" ht="45" customHeight="1">
      <c r="D80" s="761"/>
      <c r="E80" s="761" t="s">
        <v>367</v>
      </c>
      <c r="F80" s="773"/>
      <c r="G80" s="756"/>
      <c r="H80" s="762"/>
      <c r="I80" s="756">
        <f>24-SUM(A81:A88)</f>
        <v>24</v>
      </c>
      <c r="J80" s="1123"/>
      <c r="K80" s="976"/>
      <c r="L80" s="976"/>
      <c r="M80" s="1144"/>
      <c r="N80" s="1144"/>
      <c r="O80" s="1144"/>
      <c r="P80" s="746"/>
      <c r="Q80" s="746"/>
    </row>
    <row r="81" spans="1:26" ht="45" hidden="1" customHeight="1">
      <c r="D81" s="724"/>
      <c r="E81" s="1273" t="s">
        <v>585</v>
      </c>
      <c r="F81" s="1276" t="s">
        <v>586</v>
      </c>
      <c r="G81" s="774">
        <v>19.100000000000001</v>
      </c>
      <c r="H81" s="726" t="s">
        <v>371</v>
      </c>
      <c r="I81" s="774">
        <f>IF($F$80=$Z$82,18,0)</f>
        <v>0</v>
      </c>
      <c r="J81" s="1120"/>
      <c r="K81" s="976"/>
      <c r="L81" s="976"/>
      <c r="M81" s="1142"/>
      <c r="N81" s="1142"/>
      <c r="O81" s="1142"/>
    </row>
    <row r="82" spans="1:26" ht="45" hidden="1" customHeight="1">
      <c r="D82" s="724"/>
      <c r="E82" s="1274"/>
      <c r="F82" s="1287"/>
      <c r="G82" s="774">
        <v>19.2</v>
      </c>
      <c r="H82" s="734" t="s">
        <v>587</v>
      </c>
      <c r="I82" s="774">
        <f>IF($F$80=$Z$82,7,0)</f>
        <v>0</v>
      </c>
      <c r="J82" s="1120"/>
      <c r="K82" s="976"/>
      <c r="L82" s="976"/>
      <c r="M82" s="1142"/>
      <c r="N82" s="1142"/>
      <c r="O82" s="1142"/>
      <c r="Z82" s="192" t="s">
        <v>585</v>
      </c>
    </row>
    <row r="83" spans="1:26" ht="45" customHeight="1">
      <c r="A83" s="718">
        <f>IF(B83=TRUE,1,0)</f>
        <v>0</v>
      </c>
      <c r="B83" s="604" t="b">
        <v>0</v>
      </c>
      <c r="D83" s="724"/>
      <c r="E83" s="1273" t="s">
        <v>383</v>
      </c>
      <c r="F83" s="1276" t="s">
        <v>588</v>
      </c>
      <c r="G83" s="739">
        <v>20.100000000000001</v>
      </c>
      <c r="H83" s="750" t="s">
        <v>589</v>
      </c>
      <c r="I83" s="728">
        <f>IF(B83=FALSE,1,0)</f>
        <v>1</v>
      </c>
      <c r="J83" s="1124"/>
      <c r="K83" s="976"/>
      <c r="L83" s="976"/>
      <c r="M83" s="1142"/>
      <c r="N83" s="1142"/>
      <c r="O83" s="1142"/>
      <c r="P83" s="729" t="str">
        <f t="shared" ref="P83:P87" si="11">IF(M83=0,"no","yes")</f>
        <v>no</v>
      </c>
      <c r="Q83" s="729" t="str">
        <f t="shared" ref="Q83:Q87" si="12">IF(N83=0,"no","yes")</f>
        <v>no</v>
      </c>
      <c r="Z83" s="612" t="s">
        <v>590</v>
      </c>
    </row>
    <row r="84" spans="1:26" ht="45" customHeight="1">
      <c r="A84" s="718">
        <f>IF(B84=TRUE,1,0)</f>
        <v>0</v>
      </c>
      <c r="B84" s="604" t="b">
        <v>0</v>
      </c>
      <c r="D84" s="724"/>
      <c r="E84" s="1275"/>
      <c r="F84" s="1287"/>
      <c r="G84" s="735">
        <v>20.2</v>
      </c>
      <c r="H84" s="750" t="s">
        <v>591</v>
      </c>
      <c r="I84" s="728">
        <f>IF(B84=FALSE,1,0)</f>
        <v>1</v>
      </c>
      <c r="J84" s="1120"/>
      <c r="K84" s="976"/>
      <c r="L84" s="976"/>
      <c r="M84" s="1142"/>
      <c r="N84" s="1142"/>
      <c r="O84" s="1142"/>
      <c r="P84" s="729" t="str">
        <f t="shared" si="11"/>
        <v>no</v>
      </c>
      <c r="Q84" s="729" t="str">
        <f t="shared" si="12"/>
        <v>no</v>
      </c>
    </row>
    <row r="85" spans="1:26" ht="45" customHeight="1">
      <c r="D85" s="724"/>
      <c r="E85" s="775" t="s">
        <v>388</v>
      </c>
      <c r="F85" s="734" t="s">
        <v>389</v>
      </c>
      <c r="G85" s="776">
        <v>21.1</v>
      </c>
      <c r="H85" s="750" t="s">
        <v>390</v>
      </c>
      <c r="I85" s="735">
        <v>19</v>
      </c>
      <c r="J85" s="1120"/>
      <c r="K85" s="976"/>
      <c r="L85" s="976"/>
      <c r="M85" s="1142"/>
      <c r="N85" s="1142"/>
      <c r="O85" s="1142"/>
      <c r="P85" s="729" t="str">
        <f t="shared" si="11"/>
        <v>no</v>
      </c>
      <c r="Q85" s="729" t="str">
        <f t="shared" si="12"/>
        <v>no</v>
      </c>
    </row>
    <row r="86" spans="1:26" ht="45" customHeight="1">
      <c r="D86" s="724"/>
      <c r="E86" s="1273" t="s">
        <v>391</v>
      </c>
      <c r="F86" s="1276" t="s">
        <v>592</v>
      </c>
      <c r="G86" s="739">
        <v>22.1</v>
      </c>
      <c r="H86" s="726" t="s">
        <v>481</v>
      </c>
      <c r="I86" s="732" t="s">
        <v>264</v>
      </c>
      <c r="J86" s="1118"/>
      <c r="K86" s="976"/>
      <c r="L86" s="976"/>
      <c r="M86" s="1142"/>
      <c r="N86" s="1142"/>
      <c r="O86" s="1142"/>
      <c r="P86" s="729" t="str">
        <f t="shared" si="11"/>
        <v>no</v>
      </c>
      <c r="Q86" s="729" t="str">
        <f t="shared" si="12"/>
        <v>no</v>
      </c>
    </row>
    <row r="87" spans="1:26" ht="45" customHeight="1">
      <c r="D87" s="724"/>
      <c r="E87" s="1274"/>
      <c r="F87" s="1277"/>
      <c r="G87" s="739">
        <v>22.2</v>
      </c>
      <c r="H87" s="777" t="s">
        <v>394</v>
      </c>
      <c r="I87" s="735">
        <f>IF(H87=Z89,3,2)</f>
        <v>3</v>
      </c>
      <c r="J87" s="1130"/>
      <c r="K87" s="976" t="str">
        <f>IF(AND(J87&gt;0,$J$86&lt;&gt;$AJ$7),"!","")</f>
        <v/>
      </c>
      <c r="L87" s="976"/>
      <c r="M87" s="1142"/>
      <c r="N87" s="1142"/>
      <c r="O87" s="1142"/>
      <c r="P87" s="729" t="str">
        <f t="shared" si="11"/>
        <v>no</v>
      </c>
      <c r="Q87" s="729" t="str">
        <f t="shared" si="12"/>
        <v>no</v>
      </c>
      <c r="Z87" s="192" t="s">
        <v>392</v>
      </c>
    </row>
    <row r="88" spans="1:26" ht="45" hidden="1" customHeight="1">
      <c r="D88" s="778"/>
      <c r="E88" s="1269"/>
      <c r="F88" s="1271"/>
      <c r="G88" s="738" t="s">
        <v>395</v>
      </c>
      <c r="H88" s="726" t="s">
        <v>593</v>
      </c>
      <c r="I88" s="735">
        <f>IF(F86=M88,1,0)</f>
        <v>0</v>
      </c>
      <c r="J88" s="1131"/>
      <c r="K88" s="976"/>
      <c r="L88" s="976"/>
      <c r="M88" s="992" t="s">
        <v>392</v>
      </c>
      <c r="N88" s="992"/>
      <c r="O88" s="992"/>
    </row>
    <row r="89" spans="1:26" ht="45" customHeight="1">
      <c r="D89" s="635"/>
      <c r="E89" s="635" t="s">
        <v>305</v>
      </c>
      <c r="F89" s="635"/>
      <c r="G89" s="636"/>
      <c r="H89" s="635"/>
      <c r="I89" s="636">
        <f>SUM(I83+I84+I85+I87)</f>
        <v>24</v>
      </c>
      <c r="J89" s="1121">
        <f>SUM(J81:J88)</f>
        <v>0</v>
      </c>
      <c r="K89" s="976"/>
      <c r="L89" s="976"/>
      <c r="M89" s="1143"/>
      <c r="N89" s="1143"/>
      <c r="O89" s="1143"/>
      <c r="P89" s="745"/>
      <c r="Q89" s="745"/>
      <c r="Z89" s="192" t="s">
        <v>394</v>
      </c>
    </row>
    <row r="90" spans="1:26" ht="45" customHeight="1">
      <c r="J90" s="1126"/>
      <c r="K90" s="976"/>
      <c r="L90" s="976"/>
      <c r="M90" s="992"/>
      <c r="N90" s="992"/>
      <c r="O90" s="992"/>
    </row>
    <row r="91" spans="1:26" ht="45" customHeight="1">
      <c r="D91" s="756"/>
      <c r="E91" s="1264" t="s">
        <v>396</v>
      </c>
      <c r="F91" s="1264"/>
      <c r="G91" s="1264"/>
      <c r="H91" s="1264"/>
      <c r="I91" s="756">
        <f>5-SUM(A92:A94)</f>
        <v>5</v>
      </c>
      <c r="J91" s="1123"/>
      <c r="K91" s="976"/>
      <c r="L91" s="976"/>
      <c r="M91" s="1144"/>
      <c r="N91" s="1144"/>
      <c r="O91" s="1144"/>
      <c r="P91" s="746"/>
      <c r="Q91" s="746"/>
    </row>
    <row r="92" spans="1:26" ht="45" customHeight="1">
      <c r="D92" s="724"/>
      <c r="E92" s="1279" t="s">
        <v>399</v>
      </c>
      <c r="F92" s="1276" t="s">
        <v>594</v>
      </c>
      <c r="G92" s="733">
        <v>23.1</v>
      </c>
      <c r="H92" s="751" t="s">
        <v>595</v>
      </c>
      <c r="I92" s="728">
        <v>5</v>
      </c>
      <c r="J92" s="1132"/>
      <c r="K92" s="1292" t="str">
        <f>IF(SUM(J92:J94)&gt;5,"ERROR: Please enter a total points score less than or equal to 5 for this credit.","")</f>
        <v/>
      </c>
      <c r="L92" s="1293"/>
      <c r="M92" s="1142"/>
      <c r="N92" s="1142"/>
      <c r="O92" s="1142"/>
      <c r="P92" s="729" t="str">
        <f t="shared" ref="P92:P95" si="13">IF(M92=0,"no","yes")</f>
        <v>no</v>
      </c>
      <c r="Q92" s="729" t="str">
        <f t="shared" ref="Q92:Q95" si="14">IF(N92=0,"no","yes")</f>
        <v>no</v>
      </c>
    </row>
    <row r="93" spans="1:26" ht="45" customHeight="1">
      <c r="D93" s="724"/>
      <c r="E93" s="1283"/>
      <c r="F93" s="1277"/>
      <c r="G93" s="733">
        <v>23.2</v>
      </c>
      <c r="H93" s="750" t="s">
        <v>596</v>
      </c>
      <c r="I93" s="728">
        <v>2</v>
      </c>
      <c r="J93" s="1120"/>
      <c r="K93" s="1292"/>
      <c r="L93" s="1293"/>
      <c r="M93" s="1142"/>
      <c r="N93" s="1142"/>
      <c r="O93" s="1142"/>
      <c r="P93" s="729" t="str">
        <f t="shared" si="13"/>
        <v>no</v>
      </c>
      <c r="Q93" s="729" t="str">
        <f t="shared" si="14"/>
        <v>no</v>
      </c>
    </row>
    <row r="94" spans="1:26" ht="45" customHeight="1">
      <c r="A94" s="747"/>
      <c r="D94" s="724"/>
      <c r="E94" s="1283"/>
      <c r="F94" s="1277"/>
      <c r="G94" s="733">
        <v>23.3</v>
      </c>
      <c r="H94" s="757" t="s">
        <v>597</v>
      </c>
      <c r="I94" s="728">
        <v>2</v>
      </c>
      <c r="J94" s="1120"/>
      <c r="K94" s="1292"/>
      <c r="L94" s="1293"/>
      <c r="M94" s="1142"/>
      <c r="N94" s="1142"/>
      <c r="O94" s="1142"/>
      <c r="P94" s="729" t="str">
        <f t="shared" si="13"/>
        <v>no</v>
      </c>
      <c r="Q94" s="729" t="str">
        <f t="shared" si="14"/>
        <v>no</v>
      </c>
    </row>
    <row r="95" spans="1:26" ht="45" customHeight="1">
      <c r="A95" s="747"/>
      <c r="D95" s="724"/>
      <c r="E95" s="1280"/>
      <c r="F95" s="1271"/>
      <c r="G95" s="733">
        <v>23.4</v>
      </c>
      <c r="H95" s="757" t="s">
        <v>598</v>
      </c>
      <c r="I95" s="728">
        <v>1</v>
      </c>
      <c r="J95" s="1120"/>
      <c r="K95" s="976"/>
      <c r="L95" s="976"/>
      <c r="M95" s="1142"/>
      <c r="N95" s="1142"/>
      <c r="O95" s="1142"/>
      <c r="P95" s="729" t="str">
        <f t="shared" si="13"/>
        <v>no</v>
      </c>
      <c r="Q95" s="729" t="str">
        <f t="shared" si="14"/>
        <v>no</v>
      </c>
    </row>
    <row r="96" spans="1:26" ht="45" customHeight="1">
      <c r="D96" s="635"/>
      <c r="E96" s="635" t="s">
        <v>305</v>
      </c>
      <c r="F96" s="635"/>
      <c r="G96" s="636"/>
      <c r="H96" s="635"/>
      <c r="I96" s="636">
        <f>IF(SUM(I92:I95)&gt;5,5,SUM(I92:I95))</f>
        <v>5</v>
      </c>
      <c r="J96" s="1121">
        <f>IF(SUM(J92:J95)&gt;5,5,SUM(J92:J95))</f>
        <v>0</v>
      </c>
      <c r="K96" s="976"/>
      <c r="L96" s="976"/>
      <c r="M96" s="1143"/>
      <c r="N96" s="1143"/>
      <c r="O96" s="1143"/>
      <c r="P96" s="745"/>
      <c r="Q96" s="745"/>
    </row>
    <row r="97" spans="1:17" ht="45" customHeight="1">
      <c r="J97" s="1126"/>
      <c r="K97" s="976"/>
      <c r="L97" s="976"/>
      <c r="M97" s="992"/>
      <c r="N97" s="992"/>
      <c r="O97" s="992"/>
    </row>
    <row r="98" spans="1:17" ht="45" customHeight="1">
      <c r="D98" s="756"/>
      <c r="E98" s="1264" t="s">
        <v>404</v>
      </c>
      <c r="F98" s="1264"/>
      <c r="G98" s="1264"/>
      <c r="H98" s="1264"/>
      <c r="I98" s="756">
        <f>3-SUM(A99:A102)</f>
        <v>3</v>
      </c>
      <c r="J98" s="1123"/>
      <c r="K98" s="976"/>
      <c r="L98" s="976"/>
      <c r="M98" s="1144"/>
      <c r="N98" s="1144"/>
      <c r="O98" s="1144"/>
      <c r="P98" s="746"/>
      <c r="Q98" s="746"/>
    </row>
    <row r="99" spans="1:17" ht="45" customHeight="1">
      <c r="D99" s="724"/>
      <c r="E99" s="1270" t="s">
        <v>409</v>
      </c>
      <c r="F99" s="1276" t="s">
        <v>410</v>
      </c>
      <c r="G99" s="733">
        <v>24.1</v>
      </c>
      <c r="H99" s="751" t="s">
        <v>411</v>
      </c>
      <c r="I99" s="732" t="s">
        <v>264</v>
      </c>
      <c r="J99" s="1118"/>
      <c r="K99" s="976"/>
      <c r="L99" s="976"/>
      <c r="M99" s="1142"/>
      <c r="N99" s="1142"/>
      <c r="O99" s="1142"/>
      <c r="P99" s="729" t="str">
        <f t="shared" ref="P99:P102" si="15">IF(M99=0,"no","yes")</f>
        <v>no</v>
      </c>
      <c r="Q99" s="729" t="str">
        <f t="shared" ref="Q99:Q102" si="16">IF(N99=0,"no","yes")</f>
        <v>no</v>
      </c>
    </row>
    <row r="100" spans="1:17" ht="45" customHeight="1">
      <c r="A100" s="747">
        <f>IF(B100=TRUE,1,0)</f>
        <v>0</v>
      </c>
      <c r="B100" s="748" t="b">
        <v>0</v>
      </c>
      <c r="D100" s="724"/>
      <c r="E100" s="1270"/>
      <c r="F100" s="1271"/>
      <c r="G100" s="735">
        <v>24.2</v>
      </c>
      <c r="H100" s="750" t="s">
        <v>412</v>
      </c>
      <c r="I100" s="728">
        <f>IF(B100=FALSE,1,0)</f>
        <v>1</v>
      </c>
      <c r="J100" s="1132"/>
      <c r="K100" s="976" t="str">
        <f>IF(AND(J100&gt;0,$J99&lt;&gt;$AJ$7),"!","")</f>
        <v/>
      </c>
      <c r="L100" s="976"/>
      <c r="M100" s="1142"/>
      <c r="N100" s="1142"/>
      <c r="O100" s="1142"/>
      <c r="P100" s="729" t="str">
        <f t="shared" si="15"/>
        <v>no</v>
      </c>
      <c r="Q100" s="729" t="str">
        <f t="shared" si="16"/>
        <v>no</v>
      </c>
    </row>
    <row r="101" spans="1:17" ht="45" customHeight="1">
      <c r="A101" s="747">
        <f>IF(B101=TRUE,1,0)</f>
        <v>0</v>
      </c>
      <c r="B101" s="748" t="b">
        <v>0</v>
      </c>
      <c r="D101" s="724"/>
      <c r="E101" s="725" t="s">
        <v>413</v>
      </c>
      <c r="F101" s="726" t="s">
        <v>519</v>
      </c>
      <c r="G101" s="776">
        <v>25.1</v>
      </c>
      <c r="H101" s="726" t="s">
        <v>415</v>
      </c>
      <c r="I101" s="728">
        <f>IF(B101=FALSE,1,0)</f>
        <v>1</v>
      </c>
      <c r="J101" s="1132"/>
      <c r="K101" s="976"/>
      <c r="L101" s="976"/>
      <c r="M101" s="1142"/>
      <c r="N101" s="1142"/>
      <c r="O101" s="1142"/>
      <c r="P101" s="729" t="str">
        <f t="shared" si="15"/>
        <v>no</v>
      </c>
      <c r="Q101" s="729" t="str">
        <f t="shared" si="16"/>
        <v>no</v>
      </c>
    </row>
    <row r="102" spans="1:17" ht="45" customHeight="1">
      <c r="A102" s="747">
        <f>IF(B102=TRUE,1,0)</f>
        <v>0</v>
      </c>
      <c r="B102" s="748" t="b">
        <v>0</v>
      </c>
      <c r="D102" s="724"/>
      <c r="E102" s="779" t="s">
        <v>416</v>
      </c>
      <c r="F102" s="753" t="s">
        <v>520</v>
      </c>
      <c r="G102" s="780">
        <v>26.1</v>
      </c>
      <c r="H102" s="781" t="s">
        <v>416</v>
      </c>
      <c r="I102" s="755">
        <f>IF(B102=FALSE,1,0)</f>
        <v>1</v>
      </c>
      <c r="J102" s="1133"/>
      <c r="K102" s="976"/>
      <c r="L102" s="976"/>
      <c r="M102" s="1142"/>
      <c r="N102" s="1142"/>
      <c r="O102" s="1142"/>
      <c r="P102" s="729" t="str">
        <f t="shared" si="15"/>
        <v>no</v>
      </c>
      <c r="Q102" s="729" t="str">
        <f t="shared" si="16"/>
        <v>no</v>
      </c>
    </row>
    <row r="103" spans="1:17" ht="45" customHeight="1">
      <c r="D103" s="635"/>
      <c r="E103" s="635" t="s">
        <v>305</v>
      </c>
      <c r="F103" s="635"/>
      <c r="G103" s="636"/>
      <c r="H103" s="635"/>
      <c r="I103" s="636">
        <f>SUM(I99:I102)</f>
        <v>3</v>
      </c>
      <c r="J103" s="1121">
        <f>SUM(J99:J102)</f>
        <v>0</v>
      </c>
      <c r="K103" s="976"/>
      <c r="L103" s="976"/>
      <c r="M103" s="1143"/>
      <c r="N103" s="1143"/>
      <c r="O103" s="1143"/>
      <c r="P103" s="745"/>
      <c r="Q103" s="745"/>
    </row>
    <row r="104" spans="1:17" ht="45" customHeight="1">
      <c r="D104" s="192"/>
      <c r="E104" s="653"/>
      <c r="F104" s="653"/>
      <c r="G104" s="605"/>
      <c r="H104" s="653"/>
      <c r="I104" s="605"/>
      <c r="J104" s="1126"/>
      <c r="K104" s="976"/>
      <c r="L104" s="976"/>
      <c r="M104" s="992"/>
      <c r="N104" s="992"/>
      <c r="O104" s="992"/>
    </row>
    <row r="105" spans="1:17" ht="45" customHeight="1">
      <c r="D105" s="782"/>
      <c r="E105" s="1264" t="s">
        <v>419</v>
      </c>
      <c r="F105" s="1264"/>
      <c r="G105" s="1264"/>
      <c r="H105" s="1264"/>
      <c r="I105" s="782">
        <v>10</v>
      </c>
      <c r="J105" s="1123"/>
      <c r="K105" s="976"/>
      <c r="L105" s="976"/>
      <c r="M105" s="1144"/>
      <c r="N105" s="1144"/>
      <c r="O105" s="1144"/>
      <c r="P105" s="746"/>
      <c r="Q105" s="746"/>
    </row>
    <row r="106" spans="1:17" ht="45" customHeight="1">
      <c r="D106" s="724"/>
      <c r="E106" s="783" t="s">
        <v>420</v>
      </c>
      <c r="F106" s="784" t="s">
        <v>521</v>
      </c>
      <c r="G106" s="785">
        <v>27.1</v>
      </c>
      <c r="H106" s="786" t="s">
        <v>420</v>
      </c>
      <c r="I106" s="1291">
        <v>10</v>
      </c>
      <c r="J106" s="1134"/>
      <c r="K106" s="976" t="str">
        <f>IF(SUM(J106:J110)&gt;10,"ERROR: the total number of points available in the Innovation category is 10. Please enter a points score less than or equal to 10.","")</f>
        <v/>
      </c>
      <c r="L106" s="976"/>
      <c r="M106" s="1142"/>
      <c r="N106" s="1142"/>
      <c r="O106" s="1142"/>
      <c r="P106" s="729" t="str">
        <f t="shared" ref="P106:P110" si="17">IF(M106=0,"no","yes")</f>
        <v>no</v>
      </c>
      <c r="Q106" s="729" t="str">
        <f t="shared" ref="Q106:Q110" si="18">IF(N106=0,"no","yes")</f>
        <v>no</v>
      </c>
    </row>
    <row r="107" spans="1:17" ht="45" customHeight="1">
      <c r="D107" s="724"/>
      <c r="E107" s="725" t="s">
        <v>422</v>
      </c>
      <c r="F107" s="787" t="s">
        <v>523</v>
      </c>
      <c r="G107" s="728">
        <v>27.2</v>
      </c>
      <c r="H107" s="734" t="s">
        <v>422</v>
      </c>
      <c r="I107" s="1291"/>
      <c r="J107" s="1134"/>
      <c r="K107" s="976"/>
      <c r="L107" s="976"/>
      <c r="M107" s="1142"/>
      <c r="N107" s="1142"/>
      <c r="O107" s="1142"/>
      <c r="P107" s="729" t="str">
        <f t="shared" si="17"/>
        <v>no</v>
      </c>
      <c r="Q107" s="729" t="str">
        <f t="shared" si="18"/>
        <v>no</v>
      </c>
    </row>
    <row r="108" spans="1:17" ht="45" customHeight="1">
      <c r="D108" s="724"/>
      <c r="E108" s="725" t="s">
        <v>424</v>
      </c>
      <c r="F108" s="787" t="s">
        <v>525</v>
      </c>
      <c r="G108" s="728">
        <v>27.3</v>
      </c>
      <c r="H108" s="734" t="s">
        <v>424</v>
      </c>
      <c r="I108" s="1291"/>
      <c r="J108" s="1134"/>
      <c r="K108" s="976"/>
      <c r="L108" s="976"/>
      <c r="M108" s="1142"/>
      <c r="N108" s="1142"/>
      <c r="O108" s="1142"/>
      <c r="P108" s="729" t="str">
        <f t="shared" si="17"/>
        <v>no</v>
      </c>
      <c r="Q108" s="729" t="str">
        <f t="shared" si="18"/>
        <v>no</v>
      </c>
    </row>
    <row r="109" spans="1:17" ht="45" customHeight="1">
      <c r="D109" s="724"/>
      <c r="E109" s="725" t="s">
        <v>426</v>
      </c>
      <c r="F109" s="787" t="s">
        <v>527</v>
      </c>
      <c r="G109" s="728">
        <v>27.4</v>
      </c>
      <c r="H109" s="734" t="s">
        <v>426</v>
      </c>
      <c r="I109" s="1291"/>
      <c r="J109" s="1134"/>
      <c r="K109" s="976"/>
      <c r="L109" s="976"/>
      <c r="M109" s="1142"/>
      <c r="N109" s="1142"/>
      <c r="O109" s="1142"/>
      <c r="P109" s="729" t="str">
        <f t="shared" si="17"/>
        <v>no</v>
      </c>
      <c r="Q109" s="729" t="str">
        <f t="shared" si="18"/>
        <v>no</v>
      </c>
    </row>
    <row r="110" spans="1:17" ht="45" customHeight="1">
      <c r="D110" s="724"/>
      <c r="E110" s="788" t="s">
        <v>428</v>
      </c>
      <c r="F110" s="789" t="s">
        <v>529</v>
      </c>
      <c r="G110" s="755">
        <v>27.5</v>
      </c>
      <c r="H110" s="790" t="s">
        <v>428</v>
      </c>
      <c r="I110" s="1291"/>
      <c r="J110" s="1134"/>
      <c r="K110" s="976"/>
      <c r="L110" s="976"/>
      <c r="M110" s="1142"/>
      <c r="N110" s="1142"/>
      <c r="O110" s="1142"/>
      <c r="P110" s="729" t="str">
        <f t="shared" si="17"/>
        <v>no</v>
      </c>
      <c r="Q110" s="729" t="str">
        <f t="shared" si="18"/>
        <v>no</v>
      </c>
    </row>
    <row r="111" spans="1:17" ht="45" customHeight="1">
      <c r="D111" s="635"/>
      <c r="E111" s="635" t="s">
        <v>305</v>
      </c>
      <c r="F111" s="635"/>
      <c r="G111" s="636"/>
      <c r="H111" s="635"/>
      <c r="I111" s="636">
        <f>SUM(I106)</f>
        <v>10</v>
      </c>
      <c r="J111" s="1121">
        <f>IF(SUM(J106:J110)&gt;10,10,SUM(J106:J110))</f>
        <v>0</v>
      </c>
      <c r="K111" s="976" t="str">
        <f>IF(J111&gt;10,"!","")</f>
        <v/>
      </c>
      <c r="L111" s="976"/>
      <c r="M111" s="1143"/>
      <c r="N111" s="1143"/>
      <c r="O111" s="1143"/>
      <c r="P111" s="745"/>
      <c r="Q111" s="745"/>
    </row>
    <row r="112" spans="1:17" ht="45" customHeight="1">
      <c r="E112" s="653"/>
      <c r="F112" s="653"/>
      <c r="G112" s="605"/>
      <c r="H112" s="653"/>
      <c r="I112" s="605"/>
      <c r="J112" s="995"/>
      <c r="K112" s="976"/>
      <c r="L112" s="976"/>
    </row>
    <row r="113" spans="1:14" ht="45" customHeight="1">
      <c r="A113" s="791" t="s">
        <v>430</v>
      </c>
      <c r="E113" s="792"/>
      <c r="F113" s="710"/>
      <c r="G113" s="711"/>
      <c r="H113" s="712" t="s">
        <v>431</v>
      </c>
      <c r="I113" s="608" t="s">
        <v>432</v>
      </c>
      <c r="J113" s="971" t="s">
        <v>433</v>
      </c>
      <c r="K113" s="976"/>
      <c r="L113" s="976"/>
      <c r="M113" s="1135" t="s">
        <v>599</v>
      </c>
      <c r="N113" s="1135" t="s">
        <v>600</v>
      </c>
    </row>
    <row r="114" spans="1:14" ht="45" customHeight="1">
      <c r="A114" s="791">
        <f>SUM(A29:A102)</f>
        <v>0</v>
      </c>
      <c r="E114" s="792"/>
      <c r="F114" s="710"/>
      <c r="G114" s="711"/>
      <c r="H114" s="614" t="s">
        <v>434</v>
      </c>
      <c r="I114" s="720">
        <f>100-A114</f>
        <v>100</v>
      </c>
      <c r="J114" s="1113">
        <f>J26+J50+J63+J70+J78+J89+J96+J103</f>
        <v>0</v>
      </c>
      <c r="K114" s="976"/>
      <c r="L114" s="976"/>
      <c r="M114" s="1136">
        <f>SUMIF(P9:P110,"Yes",M9:M110)</f>
        <v>0</v>
      </c>
      <c r="N114" s="1136">
        <f>SUMIF(Q9:Q110,"Yes",N9:N110)</f>
        <v>0</v>
      </c>
    </row>
    <row r="115" spans="1:14" ht="45" customHeight="1">
      <c r="E115" s="611"/>
      <c r="F115" s="611"/>
      <c r="G115" s="605"/>
      <c r="H115" s="614" t="s">
        <v>601</v>
      </c>
      <c r="I115" s="715"/>
      <c r="J115" s="1137">
        <f>J114/I114*100</f>
        <v>0</v>
      </c>
      <c r="K115" s="976"/>
      <c r="L115" s="976"/>
    </row>
    <row r="116" spans="1:14" ht="45" customHeight="1">
      <c r="E116" s="611"/>
      <c r="F116" s="611"/>
      <c r="G116" s="605"/>
      <c r="H116" s="614" t="s">
        <v>436</v>
      </c>
      <c r="I116" s="720">
        <v>10</v>
      </c>
      <c r="J116" s="1113">
        <f>J111</f>
        <v>0</v>
      </c>
      <c r="K116" s="976"/>
      <c r="L116" s="976"/>
    </row>
    <row r="117" spans="1:14" ht="45" customHeight="1">
      <c r="H117" s="614" t="s">
        <v>237</v>
      </c>
      <c r="I117" s="716"/>
      <c r="J117" s="1137">
        <f>(J115)+J116</f>
        <v>0</v>
      </c>
      <c r="K117" s="976"/>
      <c r="L117" s="976"/>
    </row>
    <row r="118" spans="1:14">
      <c r="K118" s="976"/>
      <c r="L118" s="976"/>
    </row>
    <row r="119" spans="1:14">
      <c r="K119" s="976"/>
      <c r="L119" s="976"/>
    </row>
    <row r="120" spans="1:14" ht="45" customHeight="1">
      <c r="K120" s="976"/>
      <c r="L120" s="976"/>
    </row>
    <row r="121" spans="1:14" ht="45" customHeight="1">
      <c r="H121" s="82" t="s">
        <v>437</v>
      </c>
      <c r="I121" s="82"/>
      <c r="J121" s="1138"/>
      <c r="K121" s="580"/>
      <c r="L121" s="976"/>
    </row>
    <row r="122" spans="1:14" ht="37.5" customHeight="1">
      <c r="H122" s="842" t="s">
        <v>440</v>
      </c>
      <c r="I122" s="843"/>
      <c r="J122" s="983"/>
      <c r="K122" s="580"/>
      <c r="L122" s="976"/>
    </row>
    <row r="123" spans="1:14" ht="37.5" customHeight="1">
      <c r="H123" s="842" t="s">
        <v>441</v>
      </c>
      <c r="I123" s="843"/>
      <c r="J123" s="983"/>
      <c r="K123" s="580"/>
      <c r="L123" s="976"/>
    </row>
    <row r="124" spans="1:14" ht="37.5" customHeight="1">
      <c r="H124" s="167" t="s">
        <v>442</v>
      </c>
      <c r="I124" s="84"/>
      <c r="J124" s="1139">
        <f>J122+J123</f>
        <v>0</v>
      </c>
      <c r="K124" s="580"/>
      <c r="L124" s="976"/>
    </row>
    <row r="125" spans="1:14" ht="37.5" customHeight="1">
      <c r="H125" s="842" t="s">
        <v>443</v>
      </c>
      <c r="I125" s="843"/>
      <c r="J125" s="983"/>
      <c r="K125" s="580"/>
      <c r="L125" s="976"/>
    </row>
    <row r="126" spans="1:14" ht="37.5" customHeight="1">
      <c r="H126" s="167" t="s">
        <v>107</v>
      </c>
      <c r="I126" s="843"/>
      <c r="J126" s="1139">
        <f>M114</f>
        <v>0</v>
      </c>
      <c r="K126" s="580"/>
      <c r="L126" s="976"/>
    </row>
    <row r="127" spans="1:14" ht="37.5" customHeight="1">
      <c r="H127" s="167" t="s">
        <v>444</v>
      </c>
      <c r="I127" s="843"/>
      <c r="J127" s="1139">
        <f>N114</f>
        <v>0</v>
      </c>
      <c r="K127" s="580"/>
      <c r="L127" s="976"/>
    </row>
    <row r="128" spans="1:14" ht="37.5" customHeight="1">
      <c r="H128" s="167" t="s">
        <v>445</v>
      </c>
      <c r="I128" s="84"/>
      <c r="J128" s="1139">
        <f>SUM(J125:J127)</f>
        <v>0</v>
      </c>
      <c r="K128" s="580"/>
      <c r="L128" s="976"/>
    </row>
    <row r="129" spans="1:15" ht="37.5" customHeight="1">
      <c r="H129" s="167" t="s">
        <v>112</v>
      </c>
      <c r="I129" s="84"/>
      <c r="J129" s="1140">
        <f>IFERROR(J128/J124,0)</f>
        <v>0</v>
      </c>
      <c r="K129" s="580"/>
      <c r="L129" s="976"/>
    </row>
    <row r="130" spans="1:15" s="796" customFormat="1" ht="37.5" customHeight="1">
      <c r="A130" s="793"/>
      <c r="B130" s="793"/>
      <c r="C130" s="793"/>
      <c r="D130" s="793"/>
      <c r="E130" s="794"/>
      <c r="F130" s="794"/>
      <c r="G130" s="795"/>
      <c r="H130" s="164"/>
      <c r="I130" s="164"/>
      <c r="J130" s="580"/>
      <c r="K130" s="580"/>
      <c r="L130" s="976"/>
      <c r="M130" s="1141"/>
      <c r="N130" s="1141"/>
      <c r="O130" s="1141"/>
    </row>
    <row r="131" spans="1:15" s="796" customFormat="1" ht="37.5" customHeight="1">
      <c r="A131" s="793"/>
      <c r="B131" s="793"/>
      <c r="C131" s="793"/>
      <c r="D131" s="793"/>
      <c r="E131" s="794"/>
      <c r="F131" s="794"/>
      <c r="G131" s="795"/>
      <c r="H131" s="230" t="s">
        <v>101</v>
      </c>
      <c r="I131" s="243"/>
      <c r="J131" s="1067" t="s">
        <v>602</v>
      </c>
      <c r="K131" s="981"/>
      <c r="L131" s="976"/>
      <c r="M131" s="1141"/>
      <c r="N131" s="1141"/>
      <c r="O131" s="1141"/>
    </row>
    <row r="132" spans="1:15" s="796" customFormat="1" ht="37.5" customHeight="1">
      <c r="A132" s="793"/>
      <c r="B132" s="793"/>
      <c r="C132" s="793"/>
      <c r="D132" s="793"/>
      <c r="E132" s="794"/>
      <c r="F132" s="794"/>
      <c r="G132" s="795"/>
      <c r="H132" s="117" t="s">
        <v>447</v>
      </c>
      <c r="I132" s="797" t="s">
        <v>603</v>
      </c>
      <c r="J132" s="1179" t="str">
        <f>IF(I132="Yes","No Issues", IF(I132="No","Contact project team","Check scorecard points"))</f>
        <v>No Issues</v>
      </c>
      <c r="K132" s="1179"/>
      <c r="L132" s="976"/>
      <c r="M132" s="1141"/>
      <c r="N132" s="1141"/>
      <c r="O132" s="1141"/>
    </row>
    <row r="133" spans="1:15" s="796" customFormat="1" ht="37.5" customHeight="1">
      <c r="A133" s="793"/>
      <c r="B133" s="793"/>
      <c r="C133" s="793"/>
      <c r="D133" s="793"/>
      <c r="E133" s="794"/>
      <c r="F133" s="794"/>
      <c r="G133" s="795"/>
      <c r="H133" s="117" t="s">
        <v>604</v>
      </c>
      <c r="I133" s="797">
        <f>COUNTA(J9:J25,J29:J49,J53:J54,J56:J62,J66:J69,J73:J77,J83:J87,J92:J95,J99:J102,J106:J110)+COUNTIF(B9:B110,"TRUE")</f>
        <v>0</v>
      </c>
      <c r="J133" s="1179" t="str">
        <f>IF(I133=0,"No credits entered","No Issues")</f>
        <v>No credits entered</v>
      </c>
      <c r="K133" s="1179"/>
      <c r="L133" s="976"/>
      <c r="M133" s="1141"/>
      <c r="N133" s="1141"/>
      <c r="O133" s="1141"/>
    </row>
    <row r="134" spans="1:15" s="796" customFormat="1" ht="37.5" customHeight="1">
      <c r="A134" s="793"/>
      <c r="B134" s="793"/>
      <c r="C134" s="793"/>
      <c r="D134" s="793"/>
      <c r="E134" s="794"/>
      <c r="F134" s="794"/>
      <c r="G134" s="795"/>
      <c r="H134" s="117" t="s">
        <v>450</v>
      </c>
      <c r="I134" s="797">
        <f>COUNTIF(B9:B110,"TRUE")</f>
        <v>0</v>
      </c>
      <c r="J134" s="1294" t="str">
        <f>IF(I134=0,"No Issues - No NA credits claimed",CONCATENATE("No Issues - ",I134," Implementation Costs not needed"))</f>
        <v>No Issues - No NA credits claimed</v>
      </c>
      <c r="K134" s="1294"/>
      <c r="L134" s="976"/>
      <c r="M134" s="1141"/>
      <c r="N134" s="1141"/>
      <c r="O134" s="1141"/>
    </row>
    <row r="135" spans="1:15" s="796" customFormat="1" ht="37.5" customHeight="1">
      <c r="A135" s="793"/>
      <c r="B135" s="793"/>
      <c r="C135" s="793"/>
      <c r="D135" s="793"/>
      <c r="E135" s="794"/>
      <c r="F135" s="794"/>
      <c r="G135" s="795"/>
      <c r="H135" s="117" t="s">
        <v>451</v>
      </c>
      <c r="I135" s="797">
        <f>COUNTIF(P9:P110,"Yes")</f>
        <v>0</v>
      </c>
      <c r="J135" s="1179" t="str">
        <f>IF(I135&lt;I133,CONCATENATE(I133-I135," documentation cost missing"),IF(I135=0,"No credits entered",IF(COUNTIF(M9:M110,0)&gt;0,CONCATENATE(COUNTIF(M9:M110,0),"$0 cost(s) provided. Enter a value or explain the $0 value in the Comments column."),"No Issues")))</f>
        <v>No credits entered</v>
      </c>
      <c r="K135" s="1179"/>
      <c r="L135" s="976"/>
      <c r="M135" s="1141"/>
      <c r="N135" s="1141"/>
      <c r="O135" s="1141"/>
    </row>
    <row r="136" spans="1:15" ht="37.5" customHeight="1">
      <c r="H136" s="117" t="s">
        <v>452</v>
      </c>
      <c r="I136" s="797">
        <f>COUNTIF(Q9:Q110,"Yes")</f>
        <v>0</v>
      </c>
      <c r="J136" s="1179" t="str">
        <f>IF(I136&lt;(I133-I134),CONCATENATE(I133-I136-I134," implementation cost missing"),IF(I136=0,"No credits entered",IF(COUNTIF(N9:N110,0)&gt;ROUND(0.25*I133,0),CONCATENATE(COUNTIF(N9:N110,0)," $0 cost(s) provided.  Enter a value or explain the $0 value in the Comments column."),"No Issues")))</f>
        <v>No credits entered</v>
      </c>
      <c r="K136" s="1179"/>
      <c r="L136" s="976"/>
    </row>
    <row r="137" spans="1:15" ht="37.5" customHeight="1">
      <c r="H137" s="117" t="s">
        <v>453</v>
      </c>
      <c r="I137" s="797" t="str">
        <f>IF(J122&gt;0,"Yes","No")</f>
        <v>No</v>
      </c>
      <c r="J137" s="1179" t="str">
        <f>IF(I137="No","Total Design Cost missing","No Issues")</f>
        <v>Total Design Cost missing</v>
      </c>
      <c r="K137" s="1179"/>
      <c r="L137" s="976"/>
    </row>
    <row r="138" spans="1:15" ht="37.5" customHeight="1">
      <c r="H138" s="117" t="s">
        <v>454</v>
      </c>
      <c r="I138" s="797" t="str">
        <f>IF(J123&gt;0,"Yes","No")</f>
        <v>No</v>
      </c>
      <c r="J138" s="1179" t="str">
        <f>IF(I138="No","Total Construction Cost missing","No Issues")</f>
        <v>Total Construction Cost missing</v>
      </c>
      <c r="K138" s="1179"/>
      <c r="L138" s="976"/>
    </row>
    <row r="139" spans="1:15" ht="37.5" customHeight="1">
      <c r="H139" s="117" t="s">
        <v>455</v>
      </c>
      <c r="I139" s="797" t="str">
        <f>IF(J125&gt;0,"Yes","No")</f>
        <v>No</v>
      </c>
      <c r="J139" s="1179" t="str">
        <f>IF(I139="No","Green Star Certification Fees missing","No Issues")</f>
        <v>Green Star Certification Fees missing</v>
      </c>
      <c r="K139" s="1179"/>
      <c r="L139" s="976"/>
    </row>
    <row r="140" spans="1:15" ht="37.5" customHeight="1">
      <c r="H140" s="117" t="s">
        <v>112</v>
      </c>
      <c r="I140" s="845">
        <f>J129</f>
        <v>0</v>
      </c>
      <c r="J140" s="1179" t="str">
        <f>IF(I140=0,"Additional Costs have not been entered yet",IF(I140&gt;=0.1,"Implementing Green Star cost is unusually high. Check that only additional costs incurred as a result of pursuing a rating were included in the Green Star Certification Fees.","No Issues"))</f>
        <v>Additional Costs have not been entered yet</v>
      </c>
      <c r="K140" s="1179"/>
      <c r="L140" s="976"/>
    </row>
    <row r="141" spans="1:15">
      <c r="K141" s="976"/>
      <c r="L141" s="976"/>
    </row>
    <row r="142" spans="1:15">
      <c r="K142" s="976"/>
      <c r="L142" s="976"/>
    </row>
    <row r="143" spans="1:15">
      <c r="K143" s="976"/>
      <c r="L143" s="976"/>
    </row>
    <row r="144" spans="1:15">
      <c r="K144" s="976"/>
      <c r="L144" s="976"/>
    </row>
    <row r="145" spans="11:12">
      <c r="K145" s="976"/>
      <c r="L145" s="976"/>
    </row>
    <row r="146" spans="11:12">
      <c r="K146" s="976"/>
      <c r="L146" s="976"/>
    </row>
    <row r="147" spans="11:12">
      <c r="K147" s="976"/>
      <c r="L147" s="976"/>
    </row>
    <row r="148" spans="11:12">
      <c r="K148" s="976"/>
      <c r="L148" s="976"/>
    </row>
    <row r="149" spans="11:12">
      <c r="K149" s="976"/>
      <c r="L149" s="976"/>
    </row>
    <row r="150" spans="11:12">
      <c r="K150" s="976"/>
      <c r="L150" s="976"/>
    </row>
    <row r="151" spans="11:12">
      <c r="K151" s="976"/>
      <c r="L151" s="976"/>
    </row>
    <row r="152" spans="11:12">
      <c r="K152" s="976"/>
      <c r="L152" s="976"/>
    </row>
    <row r="153" spans="11:12">
      <c r="K153" s="976"/>
      <c r="L153" s="976"/>
    </row>
    <row r="154" spans="11:12">
      <c r="K154" s="976"/>
      <c r="L154" s="976"/>
    </row>
    <row r="155" spans="11:12">
      <c r="K155" s="976"/>
      <c r="L155" s="976"/>
    </row>
    <row r="156" spans="11:12">
      <c r="K156" s="976"/>
      <c r="L156" s="976"/>
    </row>
    <row r="157" spans="11:12">
      <c r="K157" s="976"/>
      <c r="L157" s="976"/>
    </row>
    <row r="158" spans="11:12">
      <c r="K158" s="976"/>
      <c r="L158" s="976"/>
    </row>
    <row r="159" spans="11:12">
      <c r="K159" s="976"/>
      <c r="L159" s="976"/>
    </row>
    <row r="160" spans="11:12">
      <c r="K160" s="976"/>
      <c r="L160" s="976"/>
    </row>
    <row r="161" spans="11:12">
      <c r="K161" s="976"/>
      <c r="L161" s="976"/>
    </row>
    <row r="162" spans="11:12">
      <c r="K162" s="976"/>
      <c r="L162" s="976"/>
    </row>
    <row r="163" spans="11:12">
      <c r="K163" s="976"/>
      <c r="L163" s="976"/>
    </row>
    <row r="164" spans="11:12">
      <c r="K164" s="976"/>
      <c r="L164" s="976"/>
    </row>
    <row r="165" spans="11:12">
      <c r="K165" s="976"/>
      <c r="L165" s="976"/>
    </row>
    <row r="166" spans="11:12">
      <c r="K166" s="976"/>
      <c r="L166" s="976"/>
    </row>
    <row r="226" spans="1:41" s="604" customFormat="1">
      <c r="A226" s="718"/>
      <c r="B226" s="604" t="b">
        <v>0</v>
      </c>
      <c r="E226" s="610"/>
      <c r="F226" s="610"/>
      <c r="G226" s="665"/>
      <c r="H226" s="610"/>
      <c r="I226" s="665"/>
      <c r="J226" s="989"/>
      <c r="K226" s="990"/>
      <c r="L226" s="990"/>
      <c r="M226" s="990"/>
      <c r="N226" s="990"/>
      <c r="O226" s="990"/>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row>
    <row r="227" spans="1:41" s="604" customFormat="1">
      <c r="A227" s="718"/>
      <c r="B227" s="604" t="b">
        <v>1</v>
      </c>
      <c r="E227" s="610"/>
      <c r="F227" s="610"/>
      <c r="G227" s="665"/>
      <c r="H227" s="610"/>
      <c r="I227" s="665"/>
      <c r="J227" s="989"/>
      <c r="K227" s="990"/>
      <c r="L227" s="990"/>
      <c r="M227" s="990"/>
      <c r="N227" s="990"/>
      <c r="O227" s="990"/>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row>
  </sheetData>
  <sheetProtection algorithmName="SHA-512" hashValue="2l8zruPxp6CL3VHi97r+BV47ScScxBPgQpK3jexKanfSsqdWlanFvHHZRyVSe300x+0nYVKbUCEsAr7AZaxuew==" saltValue="7KDrd+2bUffmqFWhI6l/iA==" spinCount="100000" sheet="1" objects="1" scenarios="1"/>
  <dataConsolidate/>
  <mergeCells count="64">
    <mergeCell ref="K92:L94"/>
    <mergeCell ref="J138:K138"/>
    <mergeCell ref="J139:K139"/>
    <mergeCell ref="J140:K140"/>
    <mergeCell ref="J132:K132"/>
    <mergeCell ref="J133:K133"/>
    <mergeCell ref="J134:K134"/>
    <mergeCell ref="J135:K135"/>
    <mergeCell ref="J136:K136"/>
    <mergeCell ref="J137:K137"/>
    <mergeCell ref="E98:H98"/>
    <mergeCell ref="E99:E100"/>
    <mergeCell ref="F99:F100"/>
    <mergeCell ref="E105:H105"/>
    <mergeCell ref="I106:I110"/>
    <mergeCell ref="E53:E62"/>
    <mergeCell ref="F53:F62"/>
    <mergeCell ref="G54:G62"/>
    <mergeCell ref="E35:E38"/>
    <mergeCell ref="F35:F38"/>
    <mergeCell ref="E45:E46"/>
    <mergeCell ref="F45:F46"/>
    <mergeCell ref="E47:E48"/>
    <mergeCell ref="F47:F48"/>
    <mergeCell ref="E52:H52"/>
    <mergeCell ref="E91:H91"/>
    <mergeCell ref="E92:E95"/>
    <mergeCell ref="F92:F95"/>
    <mergeCell ref="E66:E69"/>
    <mergeCell ref="F66:F69"/>
    <mergeCell ref="E73:E77"/>
    <mergeCell ref="F73:F77"/>
    <mergeCell ref="E81:E82"/>
    <mergeCell ref="F81:F82"/>
    <mergeCell ref="E83:E84"/>
    <mergeCell ref="F83:F84"/>
    <mergeCell ref="E86:E88"/>
    <mergeCell ref="F86:F88"/>
    <mergeCell ref="E21:E23"/>
    <mergeCell ref="F21:F23"/>
    <mergeCell ref="E39:E41"/>
    <mergeCell ref="F39:F41"/>
    <mergeCell ref="E42:E44"/>
    <mergeCell ref="F42:F44"/>
    <mergeCell ref="E24:E25"/>
    <mergeCell ref="F24:F25"/>
    <mergeCell ref="E28:H28"/>
    <mergeCell ref="E29:E31"/>
    <mergeCell ref="F29:F31"/>
    <mergeCell ref="E32:E34"/>
    <mergeCell ref="F32:F34"/>
    <mergeCell ref="E10:E14"/>
    <mergeCell ref="F10:F14"/>
    <mergeCell ref="E16:E18"/>
    <mergeCell ref="F16:F18"/>
    <mergeCell ref="E19:E20"/>
    <mergeCell ref="F19:F20"/>
    <mergeCell ref="M6:N6"/>
    <mergeCell ref="E1:H1"/>
    <mergeCell ref="F4:G4"/>
    <mergeCell ref="F5:G5"/>
    <mergeCell ref="E8:H8"/>
    <mergeCell ref="F2:G2"/>
    <mergeCell ref="F3:G3"/>
  </mergeCells>
  <conditionalFormatting sqref="G27:I27">
    <cfRule type="expression" dxfId="289" priority="49">
      <formula>#REF!=0</formula>
    </cfRule>
  </conditionalFormatting>
  <conditionalFormatting sqref="F63">
    <cfRule type="expression" dxfId="288" priority="48">
      <formula>#REF!=0</formula>
    </cfRule>
  </conditionalFormatting>
  <conditionalFormatting sqref="J24:J25">
    <cfRule type="expression" dxfId="287" priority="47">
      <formula>$F$24=$H$24</formula>
    </cfRule>
  </conditionalFormatting>
  <conditionalFormatting sqref="J22:J23">
    <cfRule type="expression" dxfId="286" priority="46">
      <formula>$F$21=$H$22</formula>
    </cfRule>
  </conditionalFormatting>
  <conditionalFormatting sqref="J92">
    <cfRule type="expression" dxfId="285" priority="45">
      <formula>$F$53=#REF!</formula>
    </cfRule>
  </conditionalFormatting>
  <conditionalFormatting sqref="F27">
    <cfRule type="expression" dxfId="284" priority="44">
      <formula>#REF!=0</formula>
    </cfRule>
  </conditionalFormatting>
  <conditionalFormatting sqref="G47:J47">
    <cfRule type="expression" dxfId="283" priority="43">
      <formula>$F$47=$H$48</formula>
    </cfRule>
  </conditionalFormatting>
  <conditionalFormatting sqref="G48:J48">
    <cfRule type="expression" dxfId="282" priority="42">
      <formula>$F$47=$H$47</formula>
    </cfRule>
  </conditionalFormatting>
  <conditionalFormatting sqref="G38:J38">
    <cfRule type="expression" dxfId="281" priority="41">
      <formula>$B$38=TRUE</formula>
    </cfRule>
  </conditionalFormatting>
  <conditionalFormatting sqref="G40:J40">
    <cfRule type="expression" dxfId="280" priority="40">
      <formula>$B$40=TRUE</formula>
    </cfRule>
  </conditionalFormatting>
  <conditionalFormatting sqref="G41:J41">
    <cfRule type="expression" dxfId="279" priority="39">
      <formula>$B$41=TRUE</formula>
    </cfRule>
  </conditionalFormatting>
  <conditionalFormatting sqref="G46:J46">
    <cfRule type="expression" dxfId="278" priority="38">
      <formula>$B$46=TRUE</formula>
    </cfRule>
  </conditionalFormatting>
  <conditionalFormatting sqref="E100:J100 E99:I99">
    <cfRule type="expression" dxfId="277" priority="37">
      <formula>$B$100=TRUE</formula>
    </cfRule>
  </conditionalFormatting>
  <conditionalFormatting sqref="E101:J101">
    <cfRule type="expression" dxfId="276" priority="36">
      <formula>$B$101=TRUE</formula>
    </cfRule>
  </conditionalFormatting>
  <conditionalFormatting sqref="E102:J102">
    <cfRule type="expression" dxfId="275" priority="35">
      <formula>$B$102=TRUE</formula>
    </cfRule>
  </conditionalFormatting>
  <conditionalFormatting sqref="I75">
    <cfRule type="expression" dxfId="274" priority="34">
      <formula>$B$75=TRUE</formula>
    </cfRule>
  </conditionalFormatting>
  <conditionalFormatting sqref="G76:I76">
    <cfRule type="expression" dxfId="273" priority="33">
      <formula>$B$76=TRUE</formula>
    </cfRule>
  </conditionalFormatting>
  <conditionalFormatting sqref="G84:J84">
    <cfRule type="expression" dxfId="272" priority="32">
      <formula>$B$84=TRUE</formula>
    </cfRule>
  </conditionalFormatting>
  <conditionalFormatting sqref="G83:J83">
    <cfRule type="expression" dxfId="271" priority="31">
      <formula>$B$83=TRUE</formula>
    </cfRule>
  </conditionalFormatting>
  <conditionalFormatting sqref="G94:J94 G95 I95:J95">
    <cfRule type="expression" dxfId="270" priority="30">
      <formula>$B$94=TRUE</formula>
    </cfRule>
  </conditionalFormatting>
  <conditionalFormatting sqref="G29:J29">
    <cfRule type="expression" dxfId="269" priority="29">
      <formula>$B$29=TRUE</formula>
    </cfRule>
  </conditionalFormatting>
  <conditionalFormatting sqref="G30:J30">
    <cfRule type="expression" dxfId="268" priority="28">
      <formula>$B$30=TRUE</formula>
    </cfRule>
  </conditionalFormatting>
  <conditionalFormatting sqref="G31:J31">
    <cfRule type="expression" dxfId="267" priority="27">
      <formula>$B$31=TRUE</formula>
    </cfRule>
  </conditionalFormatting>
  <conditionalFormatting sqref="G32:J32">
    <cfRule type="expression" dxfId="266" priority="26">
      <formula>$B$32=TRUE</formula>
    </cfRule>
  </conditionalFormatting>
  <conditionalFormatting sqref="G33:J33">
    <cfRule type="expression" dxfId="265" priority="25">
      <formula>$B$33=TRUE</formula>
    </cfRule>
  </conditionalFormatting>
  <conditionalFormatting sqref="G34:J34">
    <cfRule type="expression" dxfId="264" priority="24">
      <formula>$B$34=TRUE</formula>
    </cfRule>
  </conditionalFormatting>
  <conditionalFormatting sqref="G36:J36">
    <cfRule type="expression" dxfId="263" priority="23">
      <formula>$B$36=TRUE</formula>
    </cfRule>
  </conditionalFormatting>
  <conditionalFormatting sqref="G37:J37">
    <cfRule type="expression" dxfId="262" priority="22">
      <formula>$B$37=TRUE</formula>
    </cfRule>
  </conditionalFormatting>
  <conditionalFormatting sqref="G42:J42">
    <cfRule type="expression" dxfId="261" priority="21">
      <formula>$B$42=TRUE</formula>
    </cfRule>
  </conditionalFormatting>
  <conditionalFormatting sqref="G43:J43">
    <cfRule type="expression" dxfId="260" priority="20">
      <formula>$B$43=TRUE</formula>
    </cfRule>
  </conditionalFormatting>
  <conditionalFormatting sqref="G44:J44">
    <cfRule type="expression" dxfId="259" priority="19">
      <formula>$B$44=TRUE</formula>
    </cfRule>
  </conditionalFormatting>
  <conditionalFormatting sqref="G25:I25">
    <cfRule type="expression" dxfId="258" priority="18">
      <formula>$F$24=$H$24</formula>
    </cfRule>
  </conditionalFormatting>
  <conditionalFormatting sqref="G24:I24">
    <cfRule type="expression" dxfId="257" priority="17">
      <formula>$F$24=$H$25</formula>
    </cfRule>
  </conditionalFormatting>
  <conditionalFormatting sqref="H95">
    <cfRule type="expression" dxfId="256" priority="16">
      <formula>$B$93=TRUE</formula>
    </cfRule>
  </conditionalFormatting>
  <conditionalFormatting sqref="H56:J59 H55:I55">
    <cfRule type="expression" dxfId="255" priority="15">
      <formula>$B$55=TRUE</formula>
    </cfRule>
  </conditionalFormatting>
  <conditionalFormatting sqref="H60">
    <cfRule type="expression" dxfId="254" priority="14">
      <formula>$B$60=TRUE</formula>
    </cfRule>
  </conditionalFormatting>
  <conditionalFormatting sqref="I60">
    <cfRule type="expression" dxfId="253" priority="13">
      <formula>$B$60=TRUE</formula>
    </cfRule>
  </conditionalFormatting>
  <conditionalFormatting sqref="I67">
    <cfRule type="expression" dxfId="252" priority="12">
      <formula>$B$67=TRUE</formula>
    </cfRule>
  </conditionalFormatting>
  <conditionalFormatting sqref="G67:H67">
    <cfRule type="expression" dxfId="251" priority="11">
      <formula>$B$67=TRUE</formula>
    </cfRule>
  </conditionalFormatting>
  <conditionalFormatting sqref="G75:I75">
    <cfRule type="expression" dxfId="250" priority="50">
      <formula>$B$75=TRUE</formula>
    </cfRule>
  </conditionalFormatting>
  <conditionalFormatting sqref="G74:I74">
    <cfRule type="expression" dxfId="249" priority="51">
      <formula>$B$74=TRUE</formula>
    </cfRule>
  </conditionalFormatting>
  <conditionalFormatting sqref="H57:J57">
    <cfRule type="expression" dxfId="248" priority="9">
      <formula>$B$57=TRUE</formula>
    </cfRule>
  </conditionalFormatting>
  <conditionalFormatting sqref="H58:J58">
    <cfRule type="expression" dxfId="247" priority="8">
      <formula>$B$58=TRUE</formula>
    </cfRule>
  </conditionalFormatting>
  <conditionalFormatting sqref="H59:J59">
    <cfRule type="expression" dxfId="246" priority="7">
      <formula>$B$59=TRUE</formula>
    </cfRule>
  </conditionalFormatting>
  <conditionalFormatting sqref="G87 I87:J87 G86:H86">
    <cfRule type="expression" dxfId="245" priority="52">
      <formula>$F$86=$M$88</formula>
    </cfRule>
  </conditionalFormatting>
  <conditionalFormatting sqref="I54 I61:I62 G66:I66 G68:I69 G67">
    <cfRule type="expression" dxfId="244" priority="53">
      <formula>$F$53=$Z$53</formula>
    </cfRule>
  </conditionalFormatting>
  <conditionalFormatting sqref="I54 I61:I62 G66:I66 G68:I69 G67">
    <cfRule type="expression" dxfId="243" priority="54">
      <formula>$F$53=$Z$60</formula>
    </cfRule>
    <cfRule type="expression" dxfId="242" priority="55">
      <formula>$F$53=$Z$55</formula>
    </cfRule>
    <cfRule type="expression" dxfId="241" priority="56">
      <formula>$F$53=$Z$54</formula>
    </cfRule>
  </conditionalFormatting>
  <conditionalFormatting sqref="G73:I73">
    <cfRule type="expression" dxfId="240" priority="57">
      <formula>$F$73=$Z$74</formula>
    </cfRule>
  </conditionalFormatting>
  <conditionalFormatting sqref="E85:J85">
    <cfRule type="expression" dxfId="239" priority="58">
      <formula>$F$80=$Z$82</formula>
    </cfRule>
  </conditionalFormatting>
  <conditionalFormatting sqref="E81:J82">
    <cfRule type="expression" dxfId="238" priority="59">
      <formula>$F$80=$Z$83</formula>
    </cfRule>
  </conditionalFormatting>
  <conditionalFormatting sqref="G88:J88">
    <cfRule type="expression" dxfId="237" priority="60">
      <formula>$F$86=$Z$89</formula>
    </cfRule>
  </conditionalFormatting>
  <conditionalFormatting sqref="G74:I77">
    <cfRule type="expression" dxfId="236" priority="61">
      <formula>$F$73=$Z$73</formula>
    </cfRule>
  </conditionalFormatting>
  <conditionalFormatting sqref="F2:G5">
    <cfRule type="containsText" dxfId="235" priority="6" operator="containsText" text="Please">
      <formula>NOT(ISERROR(SEARCH("Please",F2)))</formula>
    </cfRule>
  </conditionalFormatting>
  <conditionalFormatting sqref="M6:O6">
    <cfRule type="containsText" dxfId="234" priority="5" operator="containsText" text="Select">
      <formula>NOT(ISERROR(SEARCH("Select",M6)))</formula>
    </cfRule>
  </conditionalFormatting>
  <conditionalFormatting sqref="J132:K140">
    <cfRule type="containsText" dxfId="233" priority="3" operator="containsText" text="No Issues">
      <formula>NOT(ISERROR(SEARCH("No Issues",J132)))</formula>
    </cfRule>
    <cfRule type="containsText" dxfId="232" priority="4" operator="containsText" text="No Issues">
      <formula>NOT(ISERROR(SEARCH("No Issues",J132)))</formula>
    </cfRule>
  </conditionalFormatting>
  <conditionalFormatting sqref="J55">
    <cfRule type="expression" dxfId="231" priority="2">
      <formula>$B$54=TRUE</formula>
    </cfRule>
  </conditionalFormatting>
  <conditionalFormatting sqref="J55">
    <cfRule type="expression" dxfId="230" priority="1">
      <formula>$B$54=TRUE</formula>
    </cfRule>
  </conditionalFormatting>
  <dataValidations xWindow="595" yWindow="512" count="22">
    <dataValidation type="list" allowBlank="1" showInputMessage="1" showErrorMessage="1" sqref="F79 F64" xr:uid="{00000000-0002-0000-0400-000000000000}">
      <formula1>#REF!</formula1>
    </dataValidation>
    <dataValidation allowBlank="1" showErrorMessage="1" promptTitle="Selection Required" prompt="Please indicate the project's desired pathway." sqref="F53 F66:F69 F86:F88" xr:uid="{00000000-0002-0000-0400-000001000000}"/>
    <dataValidation type="decimal" operator="lessThanOrEqual" allowBlank="1" showInputMessage="1" showErrorMessage="1" sqref="J29:J34 J36:J38 J111 J100:J102 J40:J49 J66:J69 J73:J77 J92:J95 J87:J88 J81:J85 J57:J62 J54:J55" xr:uid="{00000000-0002-0000-0400-000002000000}">
      <formula1>I29</formula1>
    </dataValidation>
    <dataValidation type="decimal" allowBlank="1" showInputMessage="1" showErrorMessage="1" sqref="J20 J9 J22:J25 J11:J18" xr:uid="{00000000-0002-0000-0400-000003000000}">
      <formula1>0</formula1>
      <formula2>I9</formula2>
    </dataValidation>
    <dataValidation type="decimal" operator="lessThanOrEqual" allowBlank="1" showInputMessage="1" showErrorMessage="1" sqref="J106:J110" xr:uid="{00000000-0002-0000-0400-000004000000}">
      <formula1>10</formula1>
    </dataValidation>
    <dataValidation type="list" allowBlank="1" showInputMessage="1" showErrorMessage="1" promptTitle="Selection Required" prompt="Please indicate the project's desired pathway." sqref="F47:F48" xr:uid="{00000000-0002-0000-0400-000005000000}">
      <formula1>$H$47:$H$48</formula1>
    </dataValidation>
    <dataValidation type="list" allowBlank="1" showInputMessage="1" showErrorMessage="1" sqref="E24:E25" xr:uid="{00000000-0002-0000-0400-000006000000}">
      <formula1>$H$24:$H$25</formula1>
    </dataValidation>
    <dataValidation type="list" allowBlank="1" showInputMessage="1" showErrorMessage="1" promptTitle="Selection Required" prompt="Please indicate the project's desired pathway." sqref="F24:F25" xr:uid="{00000000-0002-0000-0400-000007000000}">
      <formula1>$H$24:$H$25</formula1>
    </dataValidation>
    <dataValidation type="list" allowBlank="1" showInputMessage="1" showErrorMessage="1" sqref="F71" xr:uid="{00000000-0002-0000-0400-000008000000}">
      <formula1>$Z$65:$Z$65</formula1>
    </dataValidation>
    <dataValidation type="list" allowBlank="1" showInputMessage="1" showErrorMessage="1" promptTitle="Selection required " prompt="Please indicate the project's desired pathway." sqref="H66" xr:uid="{00000000-0002-0000-0400-000009000000}">
      <formula1>$Z$65:$Z$66</formula1>
    </dataValidation>
    <dataValidation type="list" allowBlank="1" showInputMessage="1" showErrorMessage="1" promptTitle="Selection Required" prompt="Please indicate the project's desired pathway." sqref="F73:F77" xr:uid="{00000000-0002-0000-0400-00000A000000}">
      <formula1>$Z$73:$Z$74</formula1>
    </dataValidation>
    <dataValidation allowBlank="1" showInputMessage="1" showErrorMessage="1" promptTitle="Selection Required" prompt="For the Materials category, either the 'Life Cycle Assessment' OR 'Sustainable Products' pathway must be selected." sqref="F80" xr:uid="{00000000-0002-0000-0400-00000B000000}"/>
    <dataValidation type="list" allowBlank="1" showInputMessage="1" showErrorMessage="1" promptTitle="Selection required" prompt="Please indicate the project's desired pathway." sqref="H87" xr:uid="{00000000-0002-0000-0400-00000C000000}">
      <formula1>"Percentage Benchmark,Fixed Benchmark"</formula1>
    </dataValidation>
    <dataValidation type="list" allowBlank="1" showInputMessage="1" showErrorMessage="1" sqref="J10 J19 J21 J35 J39 J53 J86 J99" xr:uid="{00000000-0002-0000-0400-00000D000000}">
      <formula1>$AJ$7:$AJ$8</formula1>
    </dataValidation>
    <dataValidation type="list" allowBlank="1" showInputMessage="1" showErrorMessage="1" sqref="J56" xr:uid="{00000000-0002-0000-0400-00000E000000}">
      <formula1>$AJ$6:$AJ$8</formula1>
    </dataValidation>
    <dataValidation allowBlank="1" showInputMessage="1" showErrorMessage="1" promptTitle="Project Name" prompt="Please enter the project name" sqref="F3:G3" xr:uid="{00000000-0002-0000-0400-00000F000000}"/>
    <dataValidation allowBlank="1" showInputMessage="1" showErrorMessage="1" promptTitle="Project Number" prompt="Please enter the Green Star number " sqref="F2:G2" xr:uid="{00000000-0002-0000-0400-000010000000}"/>
    <dataValidation type="list" allowBlank="1" showInputMessage="1" showErrorMessage="1" promptTitle="Green Star Rating" prompt="Please select the project's targeted rating" sqref="F4:G4" xr:uid="{00000000-0002-0000-0400-000011000000}">
      <formula1>$S$4:$S$7</formula1>
    </dataValidation>
    <dataValidation type="list" allowBlank="1" showInputMessage="1" showErrorMessage="1" sqref="O6" xr:uid="{00000000-0002-0000-0400-000012000000}">
      <formula1>$T$8:$T$10</formula1>
    </dataValidation>
    <dataValidation type="list" allowBlank="1" showInputMessage="1" showErrorMessage="1" sqref="M6:N6" xr:uid="{00000000-0002-0000-0400-000013000000}">
      <formula1>$S$8:$S$10</formula1>
    </dataValidation>
    <dataValidation type="decimal" operator="greaterThanOrEqual" allowBlank="1" showInputMessage="1" showErrorMessage="1" sqref="J125 J122:J123" xr:uid="{00000000-0002-0000-0400-000014000000}">
      <formula1>0</formula1>
    </dataValidation>
    <dataValidation type="list" allowBlank="1" showInputMessage="1" showErrorMessage="1" sqref="I132" xr:uid="{00000000-0002-0000-0400-000015000000}">
      <formula1>"Please select,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locked="0" defaultSize="0" autoFill="0" autoLine="0" autoPict="0">
                <anchor moveWithCells="1">
                  <from>
                    <xdr:col>3</xdr:col>
                    <xdr:colOff>69850</xdr:colOff>
                    <xdr:row>37</xdr:row>
                    <xdr:rowOff>171450</xdr:rowOff>
                  </from>
                  <to>
                    <xdr:col>4</xdr:col>
                    <xdr:colOff>38100</xdr:colOff>
                    <xdr:row>37</xdr:row>
                    <xdr:rowOff>381000</xdr:rowOff>
                  </to>
                </anchor>
              </controlPr>
            </control>
          </mc:Choice>
        </mc:AlternateContent>
        <mc:AlternateContent xmlns:mc="http://schemas.openxmlformats.org/markup-compatibility/2006">
          <mc:Choice Requires="x14">
            <control shapeId="97282" r:id="rId5" name="Check Box 2">
              <controlPr locked="0" defaultSize="0" autoFill="0" autoLine="0" autoPict="0">
                <anchor moveWithCells="1">
                  <from>
                    <xdr:col>3</xdr:col>
                    <xdr:colOff>69850</xdr:colOff>
                    <xdr:row>39</xdr:row>
                    <xdr:rowOff>171450</xdr:rowOff>
                  </from>
                  <to>
                    <xdr:col>4</xdr:col>
                    <xdr:colOff>38100</xdr:colOff>
                    <xdr:row>39</xdr:row>
                    <xdr:rowOff>381000</xdr:rowOff>
                  </to>
                </anchor>
              </controlPr>
            </control>
          </mc:Choice>
        </mc:AlternateContent>
        <mc:AlternateContent xmlns:mc="http://schemas.openxmlformats.org/markup-compatibility/2006">
          <mc:Choice Requires="x14">
            <control shapeId="97283" r:id="rId6" name="Check Box 3">
              <controlPr locked="0" defaultSize="0" autoFill="0" autoLine="0" autoPict="0">
                <anchor moveWithCells="1">
                  <from>
                    <xdr:col>3</xdr:col>
                    <xdr:colOff>69850</xdr:colOff>
                    <xdr:row>40</xdr:row>
                    <xdr:rowOff>171450</xdr:rowOff>
                  </from>
                  <to>
                    <xdr:col>4</xdr:col>
                    <xdr:colOff>12700</xdr:colOff>
                    <xdr:row>40</xdr:row>
                    <xdr:rowOff>381000</xdr:rowOff>
                  </to>
                </anchor>
              </controlPr>
            </control>
          </mc:Choice>
        </mc:AlternateContent>
        <mc:AlternateContent xmlns:mc="http://schemas.openxmlformats.org/markup-compatibility/2006">
          <mc:Choice Requires="x14">
            <control shapeId="97284" r:id="rId7" name="Check Box 4">
              <controlPr locked="0" defaultSize="0" autoFill="0" autoLine="0" autoPict="0">
                <anchor moveWithCells="1">
                  <from>
                    <xdr:col>3</xdr:col>
                    <xdr:colOff>38100</xdr:colOff>
                    <xdr:row>45</xdr:row>
                    <xdr:rowOff>133350</xdr:rowOff>
                  </from>
                  <to>
                    <xdr:col>4</xdr:col>
                    <xdr:colOff>6350</xdr:colOff>
                    <xdr:row>45</xdr:row>
                    <xdr:rowOff>342900</xdr:rowOff>
                  </to>
                </anchor>
              </controlPr>
            </control>
          </mc:Choice>
        </mc:AlternateContent>
        <mc:AlternateContent xmlns:mc="http://schemas.openxmlformats.org/markup-compatibility/2006">
          <mc:Choice Requires="x14">
            <control shapeId="97285" r:id="rId8" name="Check Box 5">
              <controlPr locked="0" defaultSize="0" autoFill="0" autoLine="0" autoPict="0">
                <anchor moveWithCells="1">
                  <from>
                    <xdr:col>3</xdr:col>
                    <xdr:colOff>69850</xdr:colOff>
                    <xdr:row>82</xdr:row>
                    <xdr:rowOff>171450</xdr:rowOff>
                  </from>
                  <to>
                    <xdr:col>4</xdr:col>
                    <xdr:colOff>31750</xdr:colOff>
                    <xdr:row>82</xdr:row>
                    <xdr:rowOff>381000</xdr:rowOff>
                  </to>
                </anchor>
              </controlPr>
            </control>
          </mc:Choice>
        </mc:AlternateContent>
        <mc:AlternateContent xmlns:mc="http://schemas.openxmlformats.org/markup-compatibility/2006">
          <mc:Choice Requires="x14">
            <control shapeId="97286" r:id="rId9" name="Check Box 6">
              <controlPr locked="0" defaultSize="0" autoFill="0" autoLine="0" autoPict="0">
                <anchor moveWithCells="1">
                  <from>
                    <xdr:col>3</xdr:col>
                    <xdr:colOff>69850</xdr:colOff>
                    <xdr:row>100</xdr:row>
                    <xdr:rowOff>171450</xdr:rowOff>
                  </from>
                  <to>
                    <xdr:col>4</xdr:col>
                    <xdr:colOff>31750</xdr:colOff>
                    <xdr:row>100</xdr:row>
                    <xdr:rowOff>381000</xdr:rowOff>
                  </to>
                </anchor>
              </controlPr>
            </control>
          </mc:Choice>
        </mc:AlternateContent>
        <mc:AlternateContent xmlns:mc="http://schemas.openxmlformats.org/markup-compatibility/2006">
          <mc:Choice Requires="x14">
            <control shapeId="97287" r:id="rId10" name="Check Box 7">
              <controlPr locked="0" defaultSize="0" autoFill="0" autoLine="0" autoPict="0">
                <anchor moveWithCells="1">
                  <from>
                    <xdr:col>3</xdr:col>
                    <xdr:colOff>69850</xdr:colOff>
                    <xdr:row>99</xdr:row>
                    <xdr:rowOff>171450</xdr:rowOff>
                  </from>
                  <to>
                    <xdr:col>4</xdr:col>
                    <xdr:colOff>31750</xdr:colOff>
                    <xdr:row>99</xdr:row>
                    <xdr:rowOff>381000</xdr:rowOff>
                  </to>
                </anchor>
              </controlPr>
            </control>
          </mc:Choice>
        </mc:AlternateContent>
        <mc:AlternateContent xmlns:mc="http://schemas.openxmlformats.org/markup-compatibility/2006">
          <mc:Choice Requires="x14">
            <control shapeId="97288" r:id="rId11" name="Check Box 8">
              <controlPr locked="0" defaultSize="0" autoFill="0" autoLine="0" autoPict="0">
                <anchor moveWithCells="1">
                  <from>
                    <xdr:col>3</xdr:col>
                    <xdr:colOff>69850</xdr:colOff>
                    <xdr:row>101</xdr:row>
                    <xdr:rowOff>171450</xdr:rowOff>
                  </from>
                  <to>
                    <xdr:col>4</xdr:col>
                    <xdr:colOff>31750</xdr:colOff>
                    <xdr:row>101</xdr:row>
                    <xdr:rowOff>381000</xdr:rowOff>
                  </to>
                </anchor>
              </controlPr>
            </control>
          </mc:Choice>
        </mc:AlternateContent>
        <mc:AlternateContent xmlns:mc="http://schemas.openxmlformats.org/markup-compatibility/2006">
          <mc:Choice Requires="x14">
            <control shapeId="97289" r:id="rId12" name="Check Box 9">
              <controlPr locked="0" defaultSize="0" autoFill="0" autoLine="0" autoPict="0">
                <anchor moveWithCells="1">
                  <from>
                    <xdr:col>3</xdr:col>
                    <xdr:colOff>69850</xdr:colOff>
                    <xdr:row>73</xdr:row>
                    <xdr:rowOff>171450</xdr:rowOff>
                  </from>
                  <to>
                    <xdr:col>4</xdr:col>
                    <xdr:colOff>31750</xdr:colOff>
                    <xdr:row>73</xdr:row>
                    <xdr:rowOff>381000</xdr:rowOff>
                  </to>
                </anchor>
              </controlPr>
            </control>
          </mc:Choice>
        </mc:AlternateContent>
        <mc:AlternateContent xmlns:mc="http://schemas.openxmlformats.org/markup-compatibility/2006">
          <mc:Choice Requires="x14">
            <control shapeId="97290" r:id="rId13" name="Check Box 10">
              <controlPr locked="0" defaultSize="0" autoFill="0" autoLine="0" autoPict="0">
                <anchor moveWithCells="1">
                  <from>
                    <xdr:col>3</xdr:col>
                    <xdr:colOff>69850</xdr:colOff>
                    <xdr:row>74</xdr:row>
                    <xdr:rowOff>171450</xdr:rowOff>
                  </from>
                  <to>
                    <xdr:col>4</xdr:col>
                    <xdr:colOff>31750</xdr:colOff>
                    <xdr:row>74</xdr:row>
                    <xdr:rowOff>381000</xdr:rowOff>
                  </to>
                </anchor>
              </controlPr>
            </control>
          </mc:Choice>
        </mc:AlternateContent>
        <mc:AlternateContent xmlns:mc="http://schemas.openxmlformats.org/markup-compatibility/2006">
          <mc:Choice Requires="x14">
            <control shapeId="97291" r:id="rId14" name="Check Box 11">
              <controlPr locked="0" defaultSize="0" autoFill="0" autoLine="0" autoPict="0">
                <anchor moveWithCells="1">
                  <from>
                    <xdr:col>3</xdr:col>
                    <xdr:colOff>69850</xdr:colOff>
                    <xdr:row>75</xdr:row>
                    <xdr:rowOff>171450</xdr:rowOff>
                  </from>
                  <to>
                    <xdr:col>4</xdr:col>
                    <xdr:colOff>31750</xdr:colOff>
                    <xdr:row>75</xdr:row>
                    <xdr:rowOff>381000</xdr:rowOff>
                  </to>
                </anchor>
              </controlPr>
            </control>
          </mc:Choice>
        </mc:AlternateContent>
        <mc:AlternateContent xmlns:mc="http://schemas.openxmlformats.org/markup-compatibility/2006">
          <mc:Choice Requires="x14">
            <control shapeId="97292" r:id="rId15" name="Check Box 12">
              <controlPr locked="0" defaultSize="0" autoFill="0" autoLine="0" autoPict="0">
                <anchor moveWithCells="1">
                  <from>
                    <xdr:col>3</xdr:col>
                    <xdr:colOff>69850</xdr:colOff>
                    <xdr:row>83</xdr:row>
                    <xdr:rowOff>171450</xdr:rowOff>
                  </from>
                  <to>
                    <xdr:col>4</xdr:col>
                    <xdr:colOff>31750</xdr:colOff>
                    <xdr:row>83</xdr:row>
                    <xdr:rowOff>381000</xdr:rowOff>
                  </to>
                </anchor>
              </controlPr>
            </control>
          </mc:Choice>
        </mc:AlternateContent>
        <mc:AlternateContent xmlns:mc="http://schemas.openxmlformats.org/markup-compatibility/2006">
          <mc:Choice Requires="x14">
            <control shapeId="97293" r:id="rId16" name="Check Box 13">
              <controlPr locked="0" defaultSize="0" autoFill="0" autoLine="0" autoPict="0">
                <anchor moveWithCells="1">
                  <from>
                    <xdr:col>3</xdr:col>
                    <xdr:colOff>69850</xdr:colOff>
                    <xdr:row>66</xdr:row>
                    <xdr:rowOff>171450</xdr:rowOff>
                  </from>
                  <to>
                    <xdr:col>4</xdr:col>
                    <xdr:colOff>31750</xdr:colOff>
                    <xdr:row>66</xdr:row>
                    <xdr:rowOff>381000</xdr:rowOff>
                  </to>
                </anchor>
              </controlPr>
            </control>
          </mc:Choice>
        </mc:AlternateContent>
        <mc:AlternateContent xmlns:mc="http://schemas.openxmlformats.org/markup-compatibility/2006">
          <mc:Choice Requires="x14">
            <control shapeId="97294" r:id="rId17" name="Check Box 14">
              <controlPr locked="0" defaultSize="0" autoFill="0" autoLine="0" autoPict="0">
                <anchor moveWithCells="1">
                  <from>
                    <xdr:col>3</xdr:col>
                    <xdr:colOff>69850</xdr:colOff>
                    <xdr:row>28</xdr:row>
                    <xdr:rowOff>171450</xdr:rowOff>
                  </from>
                  <to>
                    <xdr:col>4</xdr:col>
                    <xdr:colOff>38100</xdr:colOff>
                    <xdr:row>28</xdr:row>
                    <xdr:rowOff>381000</xdr:rowOff>
                  </to>
                </anchor>
              </controlPr>
            </control>
          </mc:Choice>
        </mc:AlternateContent>
        <mc:AlternateContent xmlns:mc="http://schemas.openxmlformats.org/markup-compatibility/2006">
          <mc:Choice Requires="x14">
            <control shapeId="97295" r:id="rId18" name="Check Box 15">
              <controlPr locked="0" defaultSize="0" autoFill="0" autoLine="0" autoPict="0">
                <anchor moveWithCells="1">
                  <from>
                    <xdr:col>3</xdr:col>
                    <xdr:colOff>69850</xdr:colOff>
                    <xdr:row>29</xdr:row>
                    <xdr:rowOff>171450</xdr:rowOff>
                  </from>
                  <to>
                    <xdr:col>4</xdr:col>
                    <xdr:colOff>38100</xdr:colOff>
                    <xdr:row>29</xdr:row>
                    <xdr:rowOff>381000</xdr:rowOff>
                  </to>
                </anchor>
              </controlPr>
            </control>
          </mc:Choice>
        </mc:AlternateContent>
        <mc:AlternateContent xmlns:mc="http://schemas.openxmlformats.org/markup-compatibility/2006">
          <mc:Choice Requires="x14">
            <control shapeId="97296" r:id="rId19" name="Check Box 16">
              <controlPr locked="0" defaultSize="0" autoFill="0" autoLine="0" autoPict="0">
                <anchor moveWithCells="1">
                  <from>
                    <xdr:col>3</xdr:col>
                    <xdr:colOff>69850</xdr:colOff>
                    <xdr:row>30</xdr:row>
                    <xdr:rowOff>171450</xdr:rowOff>
                  </from>
                  <to>
                    <xdr:col>4</xdr:col>
                    <xdr:colOff>38100</xdr:colOff>
                    <xdr:row>30</xdr:row>
                    <xdr:rowOff>381000</xdr:rowOff>
                  </to>
                </anchor>
              </controlPr>
            </control>
          </mc:Choice>
        </mc:AlternateContent>
        <mc:AlternateContent xmlns:mc="http://schemas.openxmlformats.org/markup-compatibility/2006">
          <mc:Choice Requires="x14">
            <control shapeId="97297" r:id="rId20" name="Check Box 17">
              <controlPr locked="0" defaultSize="0" autoFill="0" autoLine="0" autoPict="0">
                <anchor moveWithCells="1">
                  <from>
                    <xdr:col>3</xdr:col>
                    <xdr:colOff>69850</xdr:colOff>
                    <xdr:row>31</xdr:row>
                    <xdr:rowOff>171450</xdr:rowOff>
                  </from>
                  <to>
                    <xdr:col>4</xdr:col>
                    <xdr:colOff>38100</xdr:colOff>
                    <xdr:row>31</xdr:row>
                    <xdr:rowOff>381000</xdr:rowOff>
                  </to>
                </anchor>
              </controlPr>
            </control>
          </mc:Choice>
        </mc:AlternateContent>
        <mc:AlternateContent xmlns:mc="http://schemas.openxmlformats.org/markup-compatibility/2006">
          <mc:Choice Requires="x14">
            <control shapeId="97298" r:id="rId21" name="Check Box 18">
              <controlPr locked="0" defaultSize="0" autoFill="0" autoLine="0" autoPict="0">
                <anchor moveWithCells="1">
                  <from>
                    <xdr:col>3</xdr:col>
                    <xdr:colOff>69850</xdr:colOff>
                    <xdr:row>32</xdr:row>
                    <xdr:rowOff>171450</xdr:rowOff>
                  </from>
                  <to>
                    <xdr:col>4</xdr:col>
                    <xdr:colOff>38100</xdr:colOff>
                    <xdr:row>32</xdr:row>
                    <xdr:rowOff>381000</xdr:rowOff>
                  </to>
                </anchor>
              </controlPr>
            </control>
          </mc:Choice>
        </mc:AlternateContent>
        <mc:AlternateContent xmlns:mc="http://schemas.openxmlformats.org/markup-compatibility/2006">
          <mc:Choice Requires="x14">
            <control shapeId="97299" r:id="rId22" name="Check Box 19">
              <controlPr locked="0" defaultSize="0" autoFill="0" autoLine="0" autoPict="0">
                <anchor moveWithCells="1">
                  <from>
                    <xdr:col>3</xdr:col>
                    <xdr:colOff>69850</xdr:colOff>
                    <xdr:row>33</xdr:row>
                    <xdr:rowOff>171450</xdr:rowOff>
                  </from>
                  <to>
                    <xdr:col>4</xdr:col>
                    <xdr:colOff>38100</xdr:colOff>
                    <xdr:row>33</xdr:row>
                    <xdr:rowOff>381000</xdr:rowOff>
                  </to>
                </anchor>
              </controlPr>
            </control>
          </mc:Choice>
        </mc:AlternateContent>
        <mc:AlternateContent xmlns:mc="http://schemas.openxmlformats.org/markup-compatibility/2006">
          <mc:Choice Requires="x14">
            <control shapeId="97300" r:id="rId23" name="Check Box 20">
              <controlPr locked="0" defaultSize="0" autoFill="0" autoLine="0" autoPict="0">
                <anchor moveWithCells="1">
                  <from>
                    <xdr:col>3</xdr:col>
                    <xdr:colOff>69850</xdr:colOff>
                    <xdr:row>35</xdr:row>
                    <xdr:rowOff>171450</xdr:rowOff>
                  </from>
                  <to>
                    <xdr:col>4</xdr:col>
                    <xdr:colOff>38100</xdr:colOff>
                    <xdr:row>35</xdr:row>
                    <xdr:rowOff>381000</xdr:rowOff>
                  </to>
                </anchor>
              </controlPr>
            </control>
          </mc:Choice>
        </mc:AlternateContent>
        <mc:AlternateContent xmlns:mc="http://schemas.openxmlformats.org/markup-compatibility/2006">
          <mc:Choice Requires="x14">
            <control shapeId="97301" r:id="rId24" name="Check Box 21">
              <controlPr locked="0" defaultSize="0" autoFill="0" autoLine="0" autoPict="0">
                <anchor moveWithCells="1">
                  <from>
                    <xdr:col>3</xdr:col>
                    <xdr:colOff>69850</xdr:colOff>
                    <xdr:row>36</xdr:row>
                    <xdr:rowOff>171450</xdr:rowOff>
                  </from>
                  <to>
                    <xdr:col>4</xdr:col>
                    <xdr:colOff>38100</xdr:colOff>
                    <xdr:row>36</xdr:row>
                    <xdr:rowOff>381000</xdr:rowOff>
                  </to>
                </anchor>
              </controlPr>
            </control>
          </mc:Choice>
        </mc:AlternateContent>
        <mc:AlternateContent xmlns:mc="http://schemas.openxmlformats.org/markup-compatibility/2006">
          <mc:Choice Requires="x14">
            <control shapeId="97302" r:id="rId25" name="Check Box 22">
              <controlPr locked="0" defaultSize="0" autoFill="0" autoLine="0" autoPict="0">
                <anchor moveWithCells="1">
                  <from>
                    <xdr:col>3</xdr:col>
                    <xdr:colOff>69850</xdr:colOff>
                    <xdr:row>41</xdr:row>
                    <xdr:rowOff>171450</xdr:rowOff>
                  </from>
                  <to>
                    <xdr:col>4</xdr:col>
                    <xdr:colOff>38100</xdr:colOff>
                    <xdr:row>41</xdr:row>
                    <xdr:rowOff>381000</xdr:rowOff>
                  </to>
                </anchor>
              </controlPr>
            </control>
          </mc:Choice>
        </mc:AlternateContent>
        <mc:AlternateContent xmlns:mc="http://schemas.openxmlformats.org/markup-compatibility/2006">
          <mc:Choice Requires="x14">
            <control shapeId="97303" r:id="rId26" name="Check Box 23">
              <controlPr locked="0" defaultSize="0" autoFill="0" autoLine="0" autoPict="0">
                <anchor moveWithCells="1">
                  <from>
                    <xdr:col>3</xdr:col>
                    <xdr:colOff>69850</xdr:colOff>
                    <xdr:row>42</xdr:row>
                    <xdr:rowOff>171450</xdr:rowOff>
                  </from>
                  <to>
                    <xdr:col>4</xdr:col>
                    <xdr:colOff>38100</xdr:colOff>
                    <xdr:row>42</xdr:row>
                    <xdr:rowOff>381000</xdr:rowOff>
                  </to>
                </anchor>
              </controlPr>
            </control>
          </mc:Choice>
        </mc:AlternateContent>
        <mc:AlternateContent xmlns:mc="http://schemas.openxmlformats.org/markup-compatibility/2006">
          <mc:Choice Requires="x14">
            <control shapeId="97304" r:id="rId27" name="Check Box 24">
              <controlPr locked="0" defaultSize="0" autoFill="0" autoLine="0" autoPict="0">
                <anchor moveWithCells="1">
                  <from>
                    <xdr:col>3</xdr:col>
                    <xdr:colOff>69850</xdr:colOff>
                    <xdr:row>43</xdr:row>
                    <xdr:rowOff>171450</xdr:rowOff>
                  </from>
                  <to>
                    <xdr:col>4</xdr:col>
                    <xdr:colOff>38100</xdr:colOff>
                    <xdr:row>43</xdr:row>
                    <xdr:rowOff>381000</xdr:rowOff>
                  </to>
                </anchor>
              </controlPr>
            </control>
          </mc:Choice>
        </mc:AlternateContent>
        <mc:AlternateContent xmlns:mc="http://schemas.openxmlformats.org/markup-compatibility/2006">
          <mc:Choice Requires="x14">
            <control shapeId="97305" r:id="rId28" name="Check Box 25">
              <controlPr locked="0" defaultSize="0" autoFill="0" autoLine="0" autoPict="0">
                <anchor moveWithCells="1">
                  <from>
                    <xdr:col>3</xdr:col>
                    <xdr:colOff>38100</xdr:colOff>
                    <xdr:row>54</xdr:row>
                    <xdr:rowOff>133350</xdr:rowOff>
                  </from>
                  <to>
                    <xdr:col>4</xdr:col>
                    <xdr:colOff>0</xdr:colOff>
                    <xdr:row>54</xdr:row>
                    <xdr:rowOff>342900</xdr:rowOff>
                  </to>
                </anchor>
              </controlPr>
            </control>
          </mc:Choice>
        </mc:AlternateContent>
        <mc:AlternateContent xmlns:mc="http://schemas.openxmlformats.org/markup-compatibility/2006">
          <mc:Choice Requires="x14">
            <control shapeId="97306" r:id="rId29" name="Check Box 26">
              <controlPr locked="0" defaultSize="0" autoFill="0" autoLine="0" autoPict="0">
                <anchor moveWithCells="1">
                  <from>
                    <xdr:col>3</xdr:col>
                    <xdr:colOff>38100</xdr:colOff>
                    <xdr:row>59</xdr:row>
                    <xdr:rowOff>133350</xdr:rowOff>
                  </from>
                  <to>
                    <xdr:col>4</xdr:col>
                    <xdr:colOff>0</xdr:colOff>
                    <xdr:row>59</xdr:row>
                    <xdr:rowOff>342900</xdr:rowOff>
                  </to>
                </anchor>
              </controlPr>
            </control>
          </mc:Choice>
        </mc:AlternateContent>
        <mc:AlternateContent xmlns:mc="http://schemas.openxmlformats.org/markup-compatibility/2006">
          <mc:Choice Requires="x14">
            <control shapeId="97307" r:id="rId30" name="Check Box 27">
              <controlPr locked="0" defaultSize="0" autoFill="0" autoLine="0" autoPict="0">
                <anchor moveWithCells="1">
                  <from>
                    <xdr:col>3</xdr:col>
                    <xdr:colOff>38100</xdr:colOff>
                    <xdr:row>56</xdr:row>
                    <xdr:rowOff>133350</xdr:rowOff>
                  </from>
                  <to>
                    <xdr:col>4</xdr:col>
                    <xdr:colOff>0</xdr:colOff>
                    <xdr:row>56</xdr:row>
                    <xdr:rowOff>342900</xdr:rowOff>
                  </to>
                </anchor>
              </controlPr>
            </control>
          </mc:Choice>
        </mc:AlternateContent>
        <mc:AlternateContent xmlns:mc="http://schemas.openxmlformats.org/markup-compatibility/2006">
          <mc:Choice Requires="x14">
            <control shapeId="97308" r:id="rId31" name="Check Box 28">
              <controlPr locked="0" defaultSize="0" autoFill="0" autoLine="0" autoPict="0">
                <anchor moveWithCells="1">
                  <from>
                    <xdr:col>3</xdr:col>
                    <xdr:colOff>38100</xdr:colOff>
                    <xdr:row>57</xdr:row>
                    <xdr:rowOff>133350</xdr:rowOff>
                  </from>
                  <to>
                    <xdr:col>4</xdr:col>
                    <xdr:colOff>0</xdr:colOff>
                    <xdr:row>57</xdr:row>
                    <xdr:rowOff>342900</xdr:rowOff>
                  </to>
                </anchor>
              </controlPr>
            </control>
          </mc:Choice>
        </mc:AlternateContent>
        <mc:AlternateContent xmlns:mc="http://schemas.openxmlformats.org/markup-compatibility/2006">
          <mc:Choice Requires="x14">
            <control shapeId="97309" r:id="rId32" name="Check Box 29">
              <controlPr locked="0" defaultSize="0" autoFill="0" autoLine="0" autoPict="0">
                <anchor moveWithCells="1">
                  <from>
                    <xdr:col>3</xdr:col>
                    <xdr:colOff>38100</xdr:colOff>
                    <xdr:row>58</xdr:row>
                    <xdr:rowOff>133350</xdr:rowOff>
                  </from>
                  <to>
                    <xdr:col>4</xdr:col>
                    <xdr:colOff>0</xdr:colOff>
                    <xdr:row>58</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0371-9EAC-43BB-A198-2179441689DB}">
  <sheetPr>
    <pageSetUpPr fitToPage="1"/>
  </sheetPr>
  <dimension ref="A1:AO219"/>
  <sheetViews>
    <sheetView showGridLines="0" tabSelected="1" topLeftCell="D1" zoomScale="70" zoomScaleNormal="70" workbookViewId="0">
      <pane ySplit="7" topLeftCell="A20" activePane="bottomLeft" state="frozen"/>
      <selection pane="bottomLeft" activeCell="H51" sqref="H51"/>
      <selection activeCell="D1" sqref="D1"/>
    </sheetView>
  </sheetViews>
  <sheetFormatPr defaultColWidth="9.140625" defaultRowHeight="14.45"/>
  <cols>
    <col min="1" max="1" width="13.42578125" style="718" hidden="1" customWidth="1"/>
    <col min="2" max="3" width="13.42578125" style="604" hidden="1" customWidth="1"/>
    <col min="4" max="4" width="13.42578125" style="604" customWidth="1"/>
    <col min="5" max="5" width="27.42578125" style="610" customWidth="1"/>
    <col min="6" max="6" width="55" style="610" customWidth="1"/>
    <col min="7" max="7" width="11" style="665" customWidth="1"/>
    <col min="8" max="8" width="53.28515625" style="610" customWidth="1"/>
    <col min="9" max="9" width="17.5703125" style="665" customWidth="1"/>
    <col min="10" max="10" width="16" style="989" customWidth="1"/>
    <col min="11" max="12" width="10.28515625" style="990" customWidth="1"/>
    <col min="13" max="13" width="52" style="990" customWidth="1"/>
    <col min="14" max="15" width="62.42578125" style="990" customWidth="1"/>
    <col min="16" max="17" width="15" style="192" hidden="1" customWidth="1"/>
    <col min="18" max="18" width="10.28515625" style="192" customWidth="1"/>
    <col min="19" max="19" width="24.5703125" style="192" hidden="1" customWidth="1"/>
    <col min="20" max="20" width="22.42578125" style="192" hidden="1" customWidth="1"/>
    <col min="21" max="21" width="26.5703125" style="192" hidden="1" customWidth="1"/>
    <col min="22" max="22" width="10.28515625" style="192" customWidth="1"/>
    <col min="23" max="23" width="45.7109375" style="192" customWidth="1"/>
    <col min="24" max="24" width="36.42578125" style="192" customWidth="1"/>
    <col min="25" max="25" width="10.28515625" style="192" customWidth="1"/>
    <col min="26" max="30" width="10.28515625" style="192" hidden="1" customWidth="1"/>
    <col min="31" max="34" width="10.28515625" style="192" customWidth="1"/>
    <col min="35" max="38" width="10.28515625" style="192" hidden="1" customWidth="1"/>
    <col min="39" max="41" width="10.28515625" style="192" customWidth="1"/>
    <col min="42" max="16384" width="9.140625" style="192"/>
  </cols>
  <sheetData>
    <row r="1" spans="1:36" ht="45" customHeight="1">
      <c r="A1" s="718" t="s">
        <v>14</v>
      </c>
      <c r="B1" s="604" t="s">
        <v>14</v>
      </c>
      <c r="E1" s="1201" t="s">
        <v>0</v>
      </c>
      <c r="F1" s="1202"/>
      <c r="G1" s="1202"/>
      <c r="H1" s="1202"/>
      <c r="I1" s="605"/>
      <c r="J1" s="995"/>
      <c r="K1" s="1112"/>
      <c r="P1" s="144" t="s">
        <v>14</v>
      </c>
      <c r="Q1" s="144" t="s">
        <v>14</v>
      </c>
      <c r="S1" s="144" t="s">
        <v>14</v>
      </c>
      <c r="T1" s="144" t="s">
        <v>14</v>
      </c>
      <c r="U1" s="144" t="s">
        <v>14</v>
      </c>
    </row>
    <row r="2" spans="1:36" ht="45" customHeight="1">
      <c r="E2" s="22" t="s">
        <v>227</v>
      </c>
      <c r="F2" s="1265" t="s">
        <v>228</v>
      </c>
      <c r="G2" s="1266"/>
      <c r="H2" s="6"/>
      <c r="I2" s="605"/>
      <c r="J2" s="995"/>
      <c r="K2" s="1112"/>
      <c r="S2" s="531"/>
      <c r="T2" s="531"/>
      <c r="U2" s="533" t="s">
        <v>488</v>
      </c>
    </row>
    <row r="3" spans="1:36" ht="30.75" customHeight="1">
      <c r="E3" s="23" t="s">
        <v>229</v>
      </c>
      <c r="F3" s="1267" t="s">
        <v>531</v>
      </c>
      <c r="G3" s="1268"/>
      <c r="H3" s="6"/>
      <c r="I3" s="719"/>
      <c r="J3" s="995"/>
      <c r="K3" s="1112"/>
      <c r="S3" s="531"/>
      <c r="T3" s="531"/>
      <c r="U3" s="840" t="s">
        <v>68</v>
      </c>
    </row>
    <row r="4" spans="1:36" ht="45" customHeight="1">
      <c r="E4" s="23" t="s">
        <v>234</v>
      </c>
      <c r="F4" s="1260" t="s">
        <v>235</v>
      </c>
      <c r="G4" s="1261"/>
      <c r="H4" s="9"/>
      <c r="I4" s="608" t="s">
        <v>485</v>
      </c>
      <c r="J4" s="971" t="s">
        <v>532</v>
      </c>
      <c r="S4" s="533" t="s">
        <v>235</v>
      </c>
      <c r="T4" s="531"/>
      <c r="U4" s="840" t="s">
        <v>533</v>
      </c>
    </row>
    <row r="5" spans="1:36" ht="45" customHeight="1">
      <c r="E5" s="24" t="s">
        <v>487</v>
      </c>
      <c r="F5" s="1262" t="s">
        <v>605</v>
      </c>
      <c r="G5" s="1263"/>
      <c r="H5" s="9"/>
      <c r="I5" s="720">
        <f>I106</f>
        <v>100</v>
      </c>
      <c r="J5" s="1113">
        <f>J109</f>
        <v>0</v>
      </c>
      <c r="S5" s="840" t="s">
        <v>256</v>
      </c>
      <c r="T5" s="531"/>
      <c r="U5" s="840" t="s">
        <v>535</v>
      </c>
    </row>
    <row r="6" spans="1:36" ht="17.25" customHeight="1">
      <c r="F6" s="611"/>
      <c r="G6" s="605"/>
      <c r="H6" s="611"/>
      <c r="I6" s="605"/>
      <c r="J6" s="995"/>
      <c r="K6" s="993"/>
      <c r="M6" s="1259" t="s">
        <v>255</v>
      </c>
      <c r="N6" s="1259"/>
      <c r="O6" s="1114" t="s">
        <v>241</v>
      </c>
      <c r="S6" s="840" t="s">
        <v>260</v>
      </c>
      <c r="T6" s="531"/>
      <c r="U6" s="534" t="s">
        <v>536</v>
      </c>
      <c r="AJ6" s="192" t="s">
        <v>537</v>
      </c>
    </row>
    <row r="7" spans="1:36" ht="45" customHeight="1">
      <c r="D7" s="721" t="s">
        <v>242</v>
      </c>
      <c r="E7" s="614" t="s">
        <v>243</v>
      </c>
      <c r="F7" s="614" t="s">
        <v>244</v>
      </c>
      <c r="G7" s="608" t="s">
        <v>245</v>
      </c>
      <c r="H7" s="614" t="s">
        <v>246</v>
      </c>
      <c r="I7" s="608" t="s">
        <v>247</v>
      </c>
      <c r="J7" s="971" t="s">
        <v>248</v>
      </c>
      <c r="K7" s="976"/>
      <c r="M7" s="1029" t="s">
        <v>249</v>
      </c>
      <c r="N7" s="1029" t="s">
        <v>250</v>
      </c>
      <c r="O7" s="1029" t="s">
        <v>251</v>
      </c>
      <c r="P7" s="7" t="s">
        <v>252</v>
      </c>
      <c r="Q7" s="7" t="s">
        <v>253</v>
      </c>
      <c r="S7" s="534" t="s">
        <v>269</v>
      </c>
      <c r="T7" s="531"/>
      <c r="U7" s="531"/>
      <c r="AI7" s="722" t="s">
        <v>273</v>
      </c>
      <c r="AJ7" s="192" t="s">
        <v>266</v>
      </c>
    </row>
    <row r="8" spans="1:36" ht="45" customHeight="1">
      <c r="D8" s="723"/>
      <c r="E8" s="1264" t="s">
        <v>254</v>
      </c>
      <c r="F8" s="1264"/>
      <c r="G8" s="1264"/>
      <c r="H8" s="1264"/>
      <c r="I8" s="723">
        <f>SUM(I9:I23)</f>
        <v>13</v>
      </c>
      <c r="J8" s="1115"/>
      <c r="K8" s="976"/>
      <c r="L8" s="976"/>
      <c r="M8" s="1116"/>
      <c r="N8" s="1116"/>
      <c r="O8" s="1116"/>
      <c r="P8" s="841"/>
      <c r="Q8" s="841"/>
      <c r="S8" s="533" t="s">
        <v>255</v>
      </c>
      <c r="T8" s="533" t="s">
        <v>241</v>
      </c>
      <c r="U8" s="533" t="s">
        <v>266</v>
      </c>
      <c r="AI8" s="722" t="s">
        <v>538</v>
      </c>
      <c r="AJ8" s="192" t="s">
        <v>274</v>
      </c>
    </row>
    <row r="9" spans="1:36" ht="45" customHeight="1">
      <c r="D9" s="724"/>
      <c r="E9" s="725" t="s">
        <v>257</v>
      </c>
      <c r="F9" s="726" t="s">
        <v>539</v>
      </c>
      <c r="G9" s="727">
        <v>1</v>
      </c>
      <c r="H9" s="726" t="s">
        <v>492</v>
      </c>
      <c r="I9" s="728">
        <v>1</v>
      </c>
      <c r="J9" s="1117"/>
      <c r="K9" s="976"/>
      <c r="L9" s="976"/>
      <c r="M9" s="1142"/>
      <c r="N9" s="1142"/>
      <c r="O9" s="1142"/>
      <c r="P9" s="729" t="str">
        <f>IF(M9=0,"no","yes")</f>
        <v>no</v>
      </c>
      <c r="Q9" s="729" t="str">
        <f>IF(N9=0,"no","yes")</f>
        <v>no</v>
      </c>
      <c r="S9" s="840" t="s">
        <v>240</v>
      </c>
      <c r="T9" s="840" t="s">
        <v>259</v>
      </c>
      <c r="U9" s="534" t="s">
        <v>274</v>
      </c>
      <c r="AI9" s="722" t="s">
        <v>540</v>
      </c>
    </row>
    <row r="10" spans="1:36" ht="45" customHeight="1">
      <c r="D10" s="724"/>
      <c r="E10" s="1269" t="s">
        <v>261</v>
      </c>
      <c r="F10" s="1271" t="s">
        <v>541</v>
      </c>
      <c r="G10" s="730">
        <v>2.1</v>
      </c>
      <c r="H10" s="731" t="s">
        <v>606</v>
      </c>
      <c r="I10" s="732">
        <v>2</v>
      </c>
      <c r="J10" s="1118"/>
      <c r="K10" s="976"/>
      <c r="L10" s="976"/>
      <c r="M10" s="1142"/>
      <c r="N10" s="1142"/>
      <c r="O10" s="1142"/>
      <c r="P10" s="729" t="str">
        <f t="shared" ref="P10:Q23" si="0">IF(M10=0,"no","yes")</f>
        <v>no</v>
      </c>
      <c r="Q10" s="729" t="str">
        <f t="shared" si="0"/>
        <v>no</v>
      </c>
      <c r="S10" s="534" t="s">
        <v>267</v>
      </c>
      <c r="T10" s="534" t="s">
        <v>268</v>
      </c>
      <c r="U10" s="531"/>
      <c r="AI10" s="722"/>
    </row>
    <row r="11" spans="1:36" ht="45" customHeight="1">
      <c r="D11" s="724"/>
      <c r="E11" s="1270"/>
      <c r="F11" s="1272"/>
      <c r="G11" s="733">
        <v>2.2000000000000002</v>
      </c>
      <c r="H11" s="734" t="s">
        <v>270</v>
      </c>
      <c r="I11" s="735">
        <v>1</v>
      </c>
      <c r="J11" s="1119"/>
      <c r="K11" s="976" t="str">
        <f t="shared" ref="K11:K12" si="1">IF(AND(J11&gt;0,$J$10&lt;&gt;$AJ$7),"!","")</f>
        <v/>
      </c>
      <c r="L11" s="976"/>
      <c r="M11" s="1142"/>
      <c r="N11" s="1142"/>
      <c r="O11" s="1142"/>
      <c r="P11" s="729" t="str">
        <f t="shared" si="0"/>
        <v>no</v>
      </c>
      <c r="Q11" s="729" t="str">
        <f t="shared" si="0"/>
        <v>no</v>
      </c>
      <c r="AI11" s="722"/>
    </row>
    <row r="12" spans="1:36" ht="45" customHeight="1">
      <c r="D12" s="724"/>
      <c r="E12" s="1270"/>
      <c r="F12" s="1272"/>
      <c r="G12" s="733">
        <v>2.2999999999999998</v>
      </c>
      <c r="H12" s="726" t="s">
        <v>281</v>
      </c>
      <c r="I12" s="735">
        <v>1</v>
      </c>
      <c r="J12" s="1119"/>
      <c r="K12" s="976" t="str">
        <f t="shared" si="1"/>
        <v/>
      </c>
      <c r="L12" s="976"/>
      <c r="M12" s="1142"/>
      <c r="N12" s="1142"/>
      <c r="O12" s="1142"/>
      <c r="P12" s="729" t="str">
        <f t="shared" si="0"/>
        <v>no</v>
      </c>
      <c r="Q12" s="729" t="str">
        <f t="shared" si="0"/>
        <v>no</v>
      </c>
      <c r="AI12" s="192" t="s">
        <v>272</v>
      </c>
    </row>
    <row r="13" spans="1:36" ht="78" customHeight="1">
      <c r="D13" s="724"/>
      <c r="E13" s="736" t="s">
        <v>544</v>
      </c>
      <c r="F13" s="737" t="s">
        <v>545</v>
      </c>
      <c r="G13" s="738">
        <v>3</v>
      </c>
      <c r="H13" s="726" t="s">
        <v>74</v>
      </c>
      <c r="I13" s="728">
        <v>1</v>
      </c>
      <c r="J13" s="1119"/>
      <c r="K13" s="976"/>
      <c r="L13" s="976"/>
      <c r="M13" s="1142"/>
      <c r="N13" s="1142"/>
      <c r="O13" s="1142"/>
      <c r="P13" s="729" t="str">
        <f t="shared" si="0"/>
        <v>no</v>
      </c>
      <c r="Q13" s="729" t="str">
        <f t="shared" si="0"/>
        <v>no</v>
      </c>
      <c r="AI13" s="192" t="s">
        <v>282</v>
      </c>
    </row>
    <row r="14" spans="1:36" ht="45" customHeight="1">
      <c r="D14" s="724"/>
      <c r="E14" s="1273" t="s">
        <v>288</v>
      </c>
      <c r="F14" s="1276" t="s">
        <v>289</v>
      </c>
      <c r="G14" s="739">
        <v>4.0999999999999996</v>
      </c>
      <c r="H14" s="726" t="s">
        <v>546</v>
      </c>
      <c r="I14" s="728">
        <v>1</v>
      </c>
      <c r="J14" s="1119"/>
      <c r="K14" s="976"/>
      <c r="L14" s="976"/>
      <c r="M14" s="1142"/>
      <c r="N14" s="1142"/>
      <c r="O14" s="1142"/>
      <c r="P14" s="729" t="str">
        <f t="shared" si="0"/>
        <v>no</v>
      </c>
      <c r="Q14" s="729" t="str">
        <f t="shared" si="0"/>
        <v>no</v>
      </c>
    </row>
    <row r="15" spans="1:36" ht="45" customHeight="1">
      <c r="D15" s="724"/>
      <c r="E15" s="1274"/>
      <c r="F15" s="1277"/>
      <c r="G15" s="739">
        <v>4.2</v>
      </c>
      <c r="H15" s="726" t="s">
        <v>291</v>
      </c>
      <c r="I15" s="728">
        <v>1</v>
      </c>
      <c r="J15" s="1119"/>
      <c r="K15" s="976"/>
      <c r="L15" s="976"/>
      <c r="M15" s="1142"/>
      <c r="N15" s="1142"/>
      <c r="O15" s="1142"/>
      <c r="P15" s="729" t="str">
        <f t="shared" si="0"/>
        <v>no</v>
      </c>
      <c r="Q15" s="729" t="str">
        <f t="shared" si="0"/>
        <v>no</v>
      </c>
    </row>
    <row r="16" spans="1:36" ht="45" customHeight="1">
      <c r="D16" s="724"/>
      <c r="E16" s="1275"/>
      <c r="F16" s="1278"/>
      <c r="G16" s="739">
        <v>4.3</v>
      </c>
      <c r="H16" s="726" t="s">
        <v>547</v>
      </c>
      <c r="I16" s="728">
        <v>1</v>
      </c>
      <c r="J16" s="1119"/>
      <c r="K16" s="976"/>
      <c r="L16" s="976"/>
      <c r="M16" s="1142"/>
      <c r="N16" s="1142"/>
      <c r="O16" s="1142"/>
      <c r="P16" s="729" t="str">
        <f t="shared" si="0"/>
        <v>no</v>
      </c>
      <c r="Q16" s="729" t="str">
        <f t="shared" si="0"/>
        <v>no</v>
      </c>
    </row>
    <row r="17" spans="1:17" ht="45" customHeight="1">
      <c r="D17" s="724"/>
      <c r="E17" s="1270" t="s">
        <v>292</v>
      </c>
      <c r="F17" s="1272" t="s">
        <v>293</v>
      </c>
      <c r="G17" s="739">
        <v>5.0999999999999996</v>
      </c>
      <c r="H17" s="726" t="s">
        <v>548</v>
      </c>
      <c r="I17" s="740" t="s">
        <v>264</v>
      </c>
      <c r="J17" s="1118"/>
      <c r="K17" s="976"/>
      <c r="L17" s="976"/>
      <c r="M17" s="1142"/>
      <c r="N17" s="1142"/>
      <c r="O17" s="1142"/>
      <c r="P17" s="729" t="str">
        <f t="shared" si="0"/>
        <v>no</v>
      </c>
      <c r="Q17" s="729" t="str">
        <f t="shared" si="0"/>
        <v>no</v>
      </c>
    </row>
    <row r="18" spans="1:17" ht="45" customHeight="1">
      <c r="D18" s="724"/>
      <c r="E18" s="1270"/>
      <c r="F18" s="1272"/>
      <c r="G18" s="739">
        <v>5.2</v>
      </c>
      <c r="H18" s="726" t="s">
        <v>549</v>
      </c>
      <c r="I18" s="728">
        <v>1</v>
      </c>
      <c r="J18" s="1119"/>
      <c r="K18" s="976" t="str">
        <f>IF(AND(J18&gt;0,$J$17&lt;&gt;$AJ$7),"!","")</f>
        <v/>
      </c>
      <c r="L18" s="976"/>
      <c r="M18" s="1142"/>
      <c r="N18" s="1142"/>
      <c r="O18" s="1142"/>
      <c r="P18" s="729" t="str">
        <f t="shared" si="0"/>
        <v>no</v>
      </c>
      <c r="Q18" s="729" t="str">
        <f t="shared" si="0"/>
        <v>no</v>
      </c>
    </row>
    <row r="19" spans="1:17" ht="45" customHeight="1">
      <c r="D19" s="724"/>
      <c r="E19" s="1273" t="s">
        <v>296</v>
      </c>
      <c r="F19" s="1276" t="s">
        <v>550</v>
      </c>
      <c r="G19" s="739">
        <v>6.1</v>
      </c>
      <c r="H19" s="726" t="s">
        <v>551</v>
      </c>
      <c r="I19" s="740" t="s">
        <v>264</v>
      </c>
      <c r="J19" s="1118"/>
      <c r="K19" s="976"/>
      <c r="L19" s="976"/>
      <c r="M19" s="1142"/>
      <c r="N19" s="1142"/>
      <c r="O19" s="1142"/>
      <c r="P19" s="729" t="str">
        <f t="shared" si="0"/>
        <v>no</v>
      </c>
      <c r="Q19" s="729" t="str">
        <f t="shared" si="0"/>
        <v>no</v>
      </c>
    </row>
    <row r="20" spans="1:17" ht="45" customHeight="1">
      <c r="D20" s="724"/>
      <c r="E20" s="1274"/>
      <c r="F20" s="1277"/>
      <c r="G20" s="739">
        <v>6.2</v>
      </c>
      <c r="H20" s="726" t="s">
        <v>552</v>
      </c>
      <c r="I20" s="741">
        <v>1</v>
      </c>
      <c r="J20" s="1120"/>
      <c r="K20" s="976" t="str">
        <f>IF(AND(J20&gt;0,$J$19&lt;&gt;$AJ$7),"!","")</f>
        <v/>
      </c>
      <c r="L20" s="976"/>
      <c r="M20" s="1142"/>
      <c r="N20" s="1142"/>
      <c r="O20" s="1142"/>
      <c r="P20" s="729" t="str">
        <f t="shared" si="0"/>
        <v>no</v>
      </c>
      <c r="Q20" s="729" t="str">
        <f t="shared" si="0"/>
        <v>no</v>
      </c>
    </row>
    <row r="21" spans="1:17" ht="45" customHeight="1">
      <c r="D21" s="724"/>
      <c r="E21" s="1269"/>
      <c r="F21" s="1271"/>
      <c r="G21" s="739">
        <v>6.3</v>
      </c>
      <c r="H21" s="726" t="s">
        <v>46</v>
      </c>
      <c r="I21" s="741">
        <v>1</v>
      </c>
      <c r="J21" s="1120"/>
      <c r="K21" s="976" t="str">
        <f>IF(AND(J21&gt;0,$J$19&lt;&gt;$AJ$7),"!","")</f>
        <v/>
      </c>
      <c r="L21" s="976"/>
      <c r="M21" s="1142"/>
      <c r="N21" s="1142"/>
      <c r="O21" s="1142"/>
      <c r="P21" s="729" t="str">
        <f t="shared" si="0"/>
        <v>no</v>
      </c>
      <c r="Q21" s="729" t="str">
        <f t="shared" si="0"/>
        <v>no</v>
      </c>
    </row>
    <row r="22" spans="1:17" ht="45" customHeight="1">
      <c r="D22" s="724"/>
      <c r="E22" s="1279" t="s">
        <v>300</v>
      </c>
      <c r="F22" s="1281" t="s">
        <v>499</v>
      </c>
      <c r="G22" s="742" t="s">
        <v>553</v>
      </c>
      <c r="H22" s="743" t="s">
        <v>554</v>
      </c>
      <c r="I22" s="744">
        <f>IF(F22=H22,1,0)</f>
        <v>0</v>
      </c>
      <c r="J22" s="1120"/>
      <c r="K22" s="976"/>
      <c r="L22" s="976"/>
      <c r="M22" s="1142"/>
      <c r="N22" s="1142"/>
      <c r="O22" s="1142"/>
      <c r="P22" s="729" t="str">
        <f t="shared" si="0"/>
        <v>no</v>
      </c>
      <c r="Q22" s="729" t="str">
        <f t="shared" si="0"/>
        <v>no</v>
      </c>
    </row>
    <row r="23" spans="1:17" ht="45" customHeight="1">
      <c r="D23" s="724"/>
      <c r="E23" s="1280"/>
      <c r="F23" s="1282"/>
      <c r="G23" s="742" t="s">
        <v>555</v>
      </c>
      <c r="H23" s="743" t="s">
        <v>499</v>
      </c>
      <c r="I23" s="744">
        <f>IF(F22=H23,1,0)</f>
        <v>1</v>
      </c>
      <c r="J23" s="1120"/>
      <c r="K23" s="976"/>
      <c r="L23" s="976"/>
      <c r="M23" s="1142"/>
      <c r="N23" s="1142"/>
      <c r="O23" s="1142"/>
      <c r="P23" s="729" t="str">
        <f t="shared" si="0"/>
        <v>no</v>
      </c>
      <c r="Q23" s="729" t="str">
        <f t="shared" si="0"/>
        <v>no</v>
      </c>
    </row>
    <row r="24" spans="1:17" ht="37.5" customHeight="1">
      <c r="D24" s="635"/>
      <c r="E24" s="635" t="s">
        <v>305</v>
      </c>
      <c r="F24" s="635"/>
      <c r="G24" s="636"/>
      <c r="H24" s="635"/>
      <c r="I24" s="636">
        <f>SUM(I9:I23)</f>
        <v>13</v>
      </c>
      <c r="J24" s="1121">
        <f>SUM(J9:J23)</f>
        <v>0</v>
      </c>
      <c r="K24" s="976"/>
      <c r="L24" s="976"/>
      <c r="M24" s="1143"/>
      <c r="N24" s="1143"/>
      <c r="O24" s="1143"/>
      <c r="P24" s="745"/>
      <c r="Q24" s="745"/>
    </row>
    <row r="25" spans="1:17" ht="45" customHeight="1">
      <c r="D25" s="192"/>
      <c r="E25" s="637"/>
      <c r="F25" s="640"/>
      <c r="G25" s="639"/>
      <c r="H25" s="640"/>
      <c r="I25" s="641"/>
      <c r="J25" s="1122"/>
      <c r="K25" s="976"/>
      <c r="L25" s="976"/>
      <c r="M25" s="992"/>
      <c r="N25" s="992"/>
      <c r="O25" s="992"/>
    </row>
    <row r="26" spans="1:17" ht="45" customHeight="1">
      <c r="D26" s="723"/>
      <c r="E26" s="1264" t="s">
        <v>306</v>
      </c>
      <c r="F26" s="1264"/>
      <c r="G26" s="1264"/>
      <c r="H26" s="1264"/>
      <c r="I26" s="723">
        <f>23-SUM(A27:A47)</f>
        <v>23</v>
      </c>
      <c r="J26" s="1123"/>
      <c r="K26" s="976"/>
      <c r="L26" s="976"/>
      <c r="M26" s="1144"/>
      <c r="N26" s="1144"/>
      <c r="O26" s="1144"/>
      <c r="P26" s="746"/>
      <c r="Q26" s="746"/>
    </row>
    <row r="27" spans="1:17" ht="45" customHeight="1">
      <c r="A27" s="747">
        <f>IF($B$27=TRUE,1,0)</f>
        <v>0</v>
      </c>
      <c r="B27" s="748" t="b">
        <v>0</v>
      </c>
      <c r="C27" s="749"/>
      <c r="D27" s="724"/>
      <c r="E27" s="1270" t="s">
        <v>307</v>
      </c>
      <c r="F27" s="1272" t="s">
        <v>500</v>
      </c>
      <c r="G27" s="735">
        <v>8.1</v>
      </c>
      <c r="H27" s="750" t="s">
        <v>309</v>
      </c>
      <c r="I27" s="735">
        <f>IF($B$27=FALSE,1,0)</f>
        <v>1</v>
      </c>
      <c r="J27" s="1124"/>
      <c r="K27" s="976"/>
      <c r="L27" s="976"/>
      <c r="M27" s="1142"/>
      <c r="N27" s="1142"/>
      <c r="O27" s="1142"/>
      <c r="P27" s="729" t="str">
        <f t="shared" ref="P27:Q47" si="2">IF(M27=0,"no","yes")</f>
        <v>no</v>
      </c>
      <c r="Q27" s="729" t="str">
        <f t="shared" si="2"/>
        <v>no</v>
      </c>
    </row>
    <row r="28" spans="1:17" ht="45" customHeight="1">
      <c r="A28" s="747">
        <f>IF($B$28=TRUE,2,0)</f>
        <v>0</v>
      </c>
      <c r="B28" s="748" t="b">
        <v>0</v>
      </c>
      <c r="C28" s="749"/>
      <c r="D28" s="724"/>
      <c r="E28" s="1270"/>
      <c r="F28" s="1272"/>
      <c r="G28" s="739">
        <v>8.1999999999999993</v>
      </c>
      <c r="H28" s="751" t="s">
        <v>310</v>
      </c>
      <c r="I28" s="752">
        <f>IF($B$28=FALSE,2,0)</f>
        <v>2</v>
      </c>
      <c r="J28" s="1124"/>
      <c r="K28" s="976"/>
      <c r="L28" s="976"/>
      <c r="M28" s="1142"/>
      <c r="N28" s="1142"/>
      <c r="O28" s="1142"/>
      <c r="P28" s="729" t="str">
        <f t="shared" si="2"/>
        <v>no</v>
      </c>
      <c r="Q28" s="729" t="str">
        <f t="shared" si="2"/>
        <v>no</v>
      </c>
    </row>
    <row r="29" spans="1:17" ht="45" customHeight="1">
      <c r="A29" s="747">
        <f>IF($B$29=TRUE,1,0)</f>
        <v>0</v>
      </c>
      <c r="B29" s="748" t="b">
        <v>0</v>
      </c>
      <c r="C29" s="749"/>
      <c r="D29" s="724"/>
      <c r="E29" s="1270"/>
      <c r="F29" s="1272"/>
      <c r="G29" s="739">
        <v>8.3000000000000007</v>
      </c>
      <c r="H29" s="751" t="s">
        <v>311</v>
      </c>
      <c r="I29" s="752">
        <f>IF($B$29=FALSE,1,0)</f>
        <v>1</v>
      </c>
      <c r="J29" s="1124"/>
      <c r="K29" s="976"/>
      <c r="L29" s="976"/>
      <c r="M29" s="1142"/>
      <c r="N29" s="1142"/>
      <c r="O29" s="1142"/>
      <c r="P29" s="729" t="str">
        <f t="shared" si="2"/>
        <v>no</v>
      </c>
      <c r="Q29" s="729" t="str">
        <f t="shared" si="2"/>
        <v>no</v>
      </c>
    </row>
    <row r="30" spans="1:17" ht="45" customHeight="1">
      <c r="A30" s="747">
        <f>IF($B$30=TRUE,1,0)</f>
        <v>0</v>
      </c>
      <c r="B30" s="748" t="b">
        <v>0</v>
      </c>
      <c r="C30" s="749"/>
      <c r="D30" s="724"/>
      <c r="E30" s="1270" t="s">
        <v>312</v>
      </c>
      <c r="F30" s="1272" t="s">
        <v>313</v>
      </c>
      <c r="G30" s="739">
        <v>9.1</v>
      </c>
      <c r="H30" s="751" t="s">
        <v>314</v>
      </c>
      <c r="I30" s="728">
        <f>IF($B$30=FALSE,1,0)</f>
        <v>1</v>
      </c>
      <c r="J30" s="1124"/>
      <c r="K30" s="976"/>
      <c r="L30" s="976"/>
      <c r="M30" s="1142"/>
      <c r="N30" s="1142"/>
      <c r="O30" s="1142"/>
      <c r="P30" s="729" t="str">
        <f t="shared" si="2"/>
        <v>no</v>
      </c>
      <c r="Q30" s="729" t="str">
        <f t="shared" si="2"/>
        <v>no</v>
      </c>
    </row>
    <row r="31" spans="1:17" ht="45" customHeight="1">
      <c r="A31" s="747">
        <f>IF($B$31=TRUE,1,0)</f>
        <v>0</v>
      </c>
      <c r="B31" s="748" t="b">
        <v>0</v>
      </c>
      <c r="C31" s="749"/>
      <c r="D31" s="724"/>
      <c r="E31" s="1270"/>
      <c r="F31" s="1272"/>
      <c r="G31" s="739">
        <v>9.1999999999999993</v>
      </c>
      <c r="H31" s="751" t="s">
        <v>315</v>
      </c>
      <c r="I31" s="728">
        <f>IF($B$31=FALSE,1,0)</f>
        <v>1</v>
      </c>
      <c r="J31" s="1124"/>
      <c r="K31" s="976"/>
      <c r="L31" s="976"/>
      <c r="M31" s="1142"/>
      <c r="N31" s="1142"/>
      <c r="O31" s="1142"/>
      <c r="P31" s="729" t="str">
        <f t="shared" si="2"/>
        <v>no</v>
      </c>
      <c r="Q31" s="729" t="str">
        <f t="shared" si="2"/>
        <v>no</v>
      </c>
    </row>
    <row r="32" spans="1:17" ht="45" customHeight="1">
      <c r="A32" s="747">
        <f>IF($B$32=TRUE,1,0)</f>
        <v>0</v>
      </c>
      <c r="B32" s="748" t="b">
        <v>0</v>
      </c>
      <c r="C32" s="749"/>
      <c r="D32" s="724"/>
      <c r="E32" s="1270"/>
      <c r="F32" s="1272"/>
      <c r="G32" s="739">
        <v>9.3000000000000007</v>
      </c>
      <c r="H32" s="751" t="s">
        <v>316</v>
      </c>
      <c r="I32" s="728">
        <f>IF($B$32=FALSE,1,0)</f>
        <v>1</v>
      </c>
      <c r="J32" s="1124"/>
      <c r="K32" s="976"/>
      <c r="L32" s="976"/>
      <c r="M32" s="1142"/>
      <c r="N32" s="1142"/>
      <c r="O32" s="1142"/>
      <c r="P32" s="729" t="str">
        <f t="shared" si="2"/>
        <v>no</v>
      </c>
      <c r="Q32" s="729" t="str">
        <f t="shared" si="2"/>
        <v>no</v>
      </c>
    </row>
    <row r="33" spans="1:17" ht="45" customHeight="1">
      <c r="B33" s="748"/>
      <c r="D33" s="724"/>
      <c r="E33" s="1270" t="s">
        <v>317</v>
      </c>
      <c r="F33" s="1272" t="s">
        <v>318</v>
      </c>
      <c r="G33" s="739">
        <v>10.1</v>
      </c>
      <c r="H33" s="751" t="s">
        <v>319</v>
      </c>
      <c r="I33" s="740" t="s">
        <v>264</v>
      </c>
      <c r="J33" s="1118"/>
      <c r="K33" s="976"/>
      <c r="L33" s="976"/>
      <c r="M33" s="1142"/>
      <c r="N33" s="1142"/>
      <c r="O33" s="1142"/>
      <c r="P33" s="729" t="str">
        <f t="shared" si="2"/>
        <v>no</v>
      </c>
      <c r="Q33" s="729" t="str">
        <f t="shared" si="2"/>
        <v>no</v>
      </c>
    </row>
    <row r="34" spans="1:17" ht="45" customHeight="1">
      <c r="A34" s="747">
        <f>IF($B$34=TRUE,1,0)</f>
        <v>0</v>
      </c>
      <c r="B34" s="748" t="b">
        <v>0</v>
      </c>
      <c r="C34" s="749"/>
      <c r="D34" s="724"/>
      <c r="E34" s="1270"/>
      <c r="F34" s="1272"/>
      <c r="G34" s="739">
        <v>10.199999999999999</v>
      </c>
      <c r="H34" s="751" t="s">
        <v>320</v>
      </c>
      <c r="I34" s="728">
        <f>IF($B$34=FALSE,1,0)</f>
        <v>1</v>
      </c>
      <c r="J34" s="1124"/>
      <c r="K34" s="976" t="str">
        <f>IF(AND(J34&gt;0,$J$33&lt;&gt;$AJ$7),"!","")</f>
        <v/>
      </c>
      <c r="L34" s="976"/>
      <c r="M34" s="1142"/>
      <c r="N34" s="1142"/>
      <c r="O34" s="1142"/>
      <c r="P34" s="729" t="str">
        <f t="shared" si="2"/>
        <v>no</v>
      </c>
      <c r="Q34" s="729" t="str">
        <f t="shared" si="2"/>
        <v>no</v>
      </c>
    </row>
    <row r="35" spans="1:17" ht="45" customHeight="1">
      <c r="A35" s="747">
        <f>IF($B$35=TRUE,1,0)</f>
        <v>0</v>
      </c>
      <c r="B35" s="748" t="b">
        <v>0</v>
      </c>
      <c r="C35" s="749"/>
      <c r="D35" s="724"/>
      <c r="E35" s="1270"/>
      <c r="F35" s="1272"/>
      <c r="G35" s="739">
        <v>10.3</v>
      </c>
      <c r="H35" s="751" t="s">
        <v>321</v>
      </c>
      <c r="I35" s="728">
        <f>IF($B$35=FALSE,1,0)</f>
        <v>1</v>
      </c>
      <c r="J35" s="1124"/>
      <c r="K35" s="976" t="str">
        <f>IF(AND(J35&gt;0,$J$33&lt;&gt;$AJ$7),"!","")</f>
        <v/>
      </c>
      <c r="L35" s="976"/>
      <c r="M35" s="1142"/>
      <c r="N35" s="1142"/>
      <c r="O35" s="1142"/>
      <c r="P35" s="729" t="str">
        <f t="shared" si="2"/>
        <v>no</v>
      </c>
      <c r="Q35" s="729" t="str">
        <f t="shared" si="2"/>
        <v>no</v>
      </c>
    </row>
    <row r="36" spans="1:17" ht="45" customHeight="1">
      <c r="A36" s="747">
        <f>IF($B$36=TRUE,1,0)</f>
        <v>0</v>
      </c>
      <c r="B36" s="748" t="b">
        <v>0</v>
      </c>
      <c r="D36" s="724"/>
      <c r="E36" s="1270"/>
      <c r="F36" s="1272"/>
      <c r="G36" s="739">
        <v>10.4</v>
      </c>
      <c r="H36" s="751" t="s">
        <v>322</v>
      </c>
      <c r="I36" s="728">
        <f>IF($B$36=FALSE,1,0)</f>
        <v>1</v>
      </c>
      <c r="J36" s="1124"/>
      <c r="K36" s="976" t="str">
        <f>IF(AND(J36&gt;0,$J$33&lt;&gt;$AJ$7),"!","")</f>
        <v/>
      </c>
      <c r="L36" s="976"/>
      <c r="M36" s="1142"/>
      <c r="N36" s="1142"/>
      <c r="O36" s="1142"/>
      <c r="P36" s="729" t="str">
        <f t="shared" si="2"/>
        <v>no</v>
      </c>
      <c r="Q36" s="729" t="str">
        <f t="shared" si="2"/>
        <v>no</v>
      </c>
    </row>
    <row r="37" spans="1:17" ht="45" customHeight="1">
      <c r="A37" s="747"/>
      <c r="B37" s="748"/>
      <c r="D37" s="724"/>
      <c r="E37" s="1270" t="s">
        <v>323</v>
      </c>
      <c r="F37" s="1272" t="s">
        <v>324</v>
      </c>
      <c r="G37" s="739">
        <v>11.1</v>
      </c>
      <c r="H37" s="751" t="s">
        <v>325</v>
      </c>
      <c r="I37" s="740" t="s">
        <v>264</v>
      </c>
      <c r="J37" s="1118"/>
      <c r="K37" s="976"/>
      <c r="L37" s="976"/>
      <c r="M37" s="1142"/>
      <c r="N37" s="1142"/>
      <c r="O37" s="1142"/>
      <c r="P37" s="729" t="str">
        <f t="shared" si="2"/>
        <v>no</v>
      </c>
      <c r="Q37" s="729" t="str">
        <f t="shared" si="2"/>
        <v>no</v>
      </c>
    </row>
    <row r="38" spans="1:17" ht="45" customHeight="1">
      <c r="A38" s="747">
        <f>IF($B$38=TRUE,2,0)</f>
        <v>0</v>
      </c>
      <c r="B38" s="748" t="b">
        <v>0</v>
      </c>
      <c r="C38" s="749"/>
      <c r="D38" s="724"/>
      <c r="E38" s="1270"/>
      <c r="F38" s="1272"/>
      <c r="G38" s="739">
        <v>11.2</v>
      </c>
      <c r="H38" s="751" t="s">
        <v>326</v>
      </c>
      <c r="I38" s="728">
        <f>IF($B$38=FALSE,2,0)</f>
        <v>2</v>
      </c>
      <c r="J38" s="1124"/>
      <c r="K38" s="976" t="str">
        <f>IF(AND(J38&gt;0,$J$37&lt;&gt;$AJ$7),"!","")</f>
        <v/>
      </c>
      <c r="L38" s="976"/>
      <c r="M38" s="1142"/>
      <c r="N38" s="1142"/>
      <c r="O38" s="1142"/>
      <c r="P38" s="729" t="str">
        <f t="shared" si="2"/>
        <v>no</v>
      </c>
      <c r="Q38" s="729" t="str">
        <f t="shared" si="2"/>
        <v>no</v>
      </c>
    </row>
    <row r="39" spans="1:17" ht="45" customHeight="1">
      <c r="A39" s="747">
        <f>IF($B$39=TRUE,1,0)</f>
        <v>0</v>
      </c>
      <c r="B39" s="748" t="b">
        <v>0</v>
      </c>
      <c r="C39" s="749"/>
      <c r="D39" s="724"/>
      <c r="E39" s="1270"/>
      <c r="F39" s="1272"/>
      <c r="G39" s="739">
        <v>11.3</v>
      </c>
      <c r="H39" s="751" t="s">
        <v>327</v>
      </c>
      <c r="I39" s="728">
        <f>IF($B$39=FALSE,1,0)</f>
        <v>1</v>
      </c>
      <c r="J39" s="1124"/>
      <c r="K39" s="976" t="str">
        <f>IF(AND(J39&gt;0,$J$37&lt;&gt;$AJ$7),"!","")</f>
        <v/>
      </c>
      <c r="L39" s="976"/>
      <c r="M39" s="1142"/>
      <c r="N39" s="1142"/>
      <c r="O39" s="1142"/>
      <c r="P39" s="729" t="str">
        <f t="shared" si="2"/>
        <v>no</v>
      </c>
      <c r="Q39" s="729" t="str">
        <f t="shared" si="2"/>
        <v>no</v>
      </c>
    </row>
    <row r="40" spans="1:17" ht="45" customHeight="1">
      <c r="A40" s="747">
        <f>IF($B$40=TRUE,2,0)</f>
        <v>0</v>
      </c>
      <c r="B40" s="748" t="b">
        <v>0</v>
      </c>
      <c r="C40" s="749"/>
      <c r="D40" s="724"/>
      <c r="E40" s="1273" t="s">
        <v>328</v>
      </c>
      <c r="F40" s="1276" t="s">
        <v>329</v>
      </c>
      <c r="G40" s="739">
        <v>12.1</v>
      </c>
      <c r="H40" s="751" t="s">
        <v>330</v>
      </c>
      <c r="I40" s="728">
        <f>IF($B$40=FALSE,2,0)</f>
        <v>2</v>
      </c>
      <c r="J40" s="1124"/>
      <c r="K40" s="976"/>
      <c r="L40" s="976"/>
      <c r="M40" s="1142"/>
      <c r="N40" s="1142"/>
      <c r="O40" s="1142"/>
      <c r="P40" s="729" t="str">
        <f t="shared" si="2"/>
        <v>no</v>
      </c>
      <c r="Q40" s="729" t="str">
        <f t="shared" si="2"/>
        <v>no</v>
      </c>
    </row>
    <row r="41" spans="1:17" ht="45" customHeight="1">
      <c r="A41" s="747">
        <f>IF($B$41=TRUE,2,0)</f>
        <v>0</v>
      </c>
      <c r="B41" s="748" t="b">
        <v>0</v>
      </c>
      <c r="C41" s="749"/>
      <c r="D41" s="724"/>
      <c r="E41" s="1274"/>
      <c r="F41" s="1277"/>
      <c r="G41" s="739">
        <v>12.2</v>
      </c>
      <c r="H41" s="751" t="s">
        <v>331</v>
      </c>
      <c r="I41" s="728">
        <f>IF($B$41=FALSE,2,0)</f>
        <v>2</v>
      </c>
      <c r="J41" s="1124"/>
      <c r="K41" s="976"/>
      <c r="L41" s="976"/>
      <c r="M41" s="1142"/>
      <c r="N41" s="1142"/>
      <c r="O41" s="1142"/>
      <c r="P41" s="729" t="str">
        <f t="shared" si="2"/>
        <v>no</v>
      </c>
      <c r="Q41" s="729" t="str">
        <f t="shared" si="2"/>
        <v>no</v>
      </c>
    </row>
    <row r="42" spans="1:17" ht="45" customHeight="1">
      <c r="A42" s="747">
        <f>IF($B$42=TRUE,2,0)</f>
        <v>0</v>
      </c>
      <c r="B42" s="748" t="b">
        <v>0</v>
      </c>
      <c r="C42" s="749"/>
      <c r="D42" s="724"/>
      <c r="E42" s="1275"/>
      <c r="F42" s="1278"/>
      <c r="G42" s="739">
        <v>12.3</v>
      </c>
      <c r="H42" s="751" t="s">
        <v>556</v>
      </c>
      <c r="I42" s="728">
        <f>IF($B$42=FALSE,2,0)</f>
        <v>2</v>
      </c>
      <c r="J42" s="1124"/>
      <c r="K42" s="976"/>
      <c r="L42" s="976"/>
      <c r="M42" s="1142"/>
      <c r="N42" s="1142"/>
      <c r="O42" s="1142"/>
      <c r="P42" s="729" t="str">
        <f t="shared" si="2"/>
        <v>no</v>
      </c>
      <c r="Q42" s="729" t="str">
        <f t="shared" si="2"/>
        <v>no</v>
      </c>
    </row>
    <row r="43" spans="1:17" ht="45" customHeight="1">
      <c r="B43" s="748"/>
      <c r="D43" s="724"/>
      <c r="E43" s="1270" t="s">
        <v>332</v>
      </c>
      <c r="F43" s="1272" t="s">
        <v>501</v>
      </c>
      <c r="G43" s="739">
        <v>13.1</v>
      </c>
      <c r="H43" s="751" t="s">
        <v>332</v>
      </c>
      <c r="I43" s="728">
        <v>1</v>
      </c>
      <c r="J43" s="1124"/>
      <c r="K43" s="976"/>
      <c r="L43" s="976"/>
      <c r="M43" s="1145"/>
      <c r="N43" s="1145"/>
      <c r="O43" s="1145"/>
      <c r="P43" s="729" t="str">
        <f t="shared" si="2"/>
        <v>no</v>
      </c>
      <c r="Q43" s="729" t="str">
        <f t="shared" si="2"/>
        <v>no</v>
      </c>
    </row>
    <row r="44" spans="1:17" ht="45" customHeight="1">
      <c r="A44" s="747">
        <f>IF(B44=TRUE,1,0)</f>
        <v>0</v>
      </c>
      <c r="B44" s="748" t="b">
        <v>0</v>
      </c>
      <c r="D44" s="724"/>
      <c r="E44" s="1273"/>
      <c r="F44" s="1276"/>
      <c r="G44" s="739">
        <v>13.2</v>
      </c>
      <c r="H44" s="751" t="s">
        <v>334</v>
      </c>
      <c r="I44" s="728">
        <f>IF(B44=FALSE,1,0)</f>
        <v>1</v>
      </c>
      <c r="J44" s="1124"/>
      <c r="K44" s="976"/>
      <c r="L44" s="976"/>
      <c r="M44" s="1142"/>
      <c r="N44" s="1142"/>
      <c r="O44" s="1142"/>
      <c r="P44" s="729" t="str">
        <f t="shared" si="2"/>
        <v>no</v>
      </c>
      <c r="Q44" s="729" t="str">
        <f t="shared" si="2"/>
        <v>no</v>
      </c>
    </row>
    <row r="45" spans="1:17" ht="45" customHeight="1">
      <c r="D45" s="724"/>
      <c r="E45" s="1273" t="s">
        <v>557</v>
      </c>
      <c r="F45" s="1290" t="s">
        <v>558</v>
      </c>
      <c r="G45" s="742" t="s">
        <v>559</v>
      </c>
      <c r="H45" s="743" t="s">
        <v>560</v>
      </c>
      <c r="I45" s="744">
        <f>IF(F45=H45,1,0)</f>
        <v>0</v>
      </c>
      <c r="J45" s="1125"/>
      <c r="K45" s="976"/>
      <c r="L45" s="976"/>
      <c r="M45" s="1142"/>
      <c r="N45" s="1142"/>
      <c r="O45" s="1142"/>
      <c r="P45" s="729" t="str">
        <f t="shared" si="2"/>
        <v>no</v>
      </c>
      <c r="Q45" s="729" t="str">
        <f t="shared" si="2"/>
        <v>no</v>
      </c>
    </row>
    <row r="46" spans="1:17" ht="45" customHeight="1">
      <c r="D46" s="724"/>
      <c r="E46" s="1275"/>
      <c r="F46" s="1193"/>
      <c r="G46" s="742" t="s">
        <v>561</v>
      </c>
      <c r="H46" s="743" t="s">
        <v>558</v>
      </c>
      <c r="I46" s="744">
        <f>IF(F45=H46,1,0)</f>
        <v>1</v>
      </c>
      <c r="J46" s="1124"/>
      <c r="K46" s="976"/>
      <c r="L46" s="976"/>
      <c r="M46" s="1142"/>
      <c r="N46" s="1142"/>
      <c r="O46" s="1142"/>
      <c r="P46" s="729" t="str">
        <f t="shared" si="2"/>
        <v>no</v>
      </c>
      <c r="Q46" s="729" t="str">
        <f t="shared" si="2"/>
        <v>no</v>
      </c>
    </row>
    <row r="47" spans="1:17" ht="45" customHeight="1">
      <c r="D47" s="724"/>
      <c r="E47" s="725" t="s">
        <v>562</v>
      </c>
      <c r="F47" s="753" t="s">
        <v>563</v>
      </c>
      <c r="G47" s="754">
        <v>15</v>
      </c>
      <c r="H47" s="743" t="s">
        <v>564</v>
      </c>
      <c r="I47" s="755">
        <v>1</v>
      </c>
      <c r="J47" s="1124"/>
      <c r="K47" s="976"/>
      <c r="L47" s="976"/>
      <c r="M47" s="1142"/>
      <c r="N47" s="1142"/>
      <c r="O47" s="1142"/>
      <c r="P47" s="729" t="str">
        <f t="shared" si="2"/>
        <v>no</v>
      </c>
      <c r="Q47" s="729" t="str">
        <f t="shared" si="2"/>
        <v>no</v>
      </c>
    </row>
    <row r="48" spans="1:17" ht="45" customHeight="1">
      <c r="D48" s="635"/>
      <c r="E48" s="635" t="s">
        <v>305</v>
      </c>
      <c r="F48" s="635"/>
      <c r="G48" s="636"/>
      <c r="H48" s="635"/>
      <c r="I48" s="636">
        <f>SUM(I27:I47)</f>
        <v>23</v>
      </c>
      <c r="J48" s="1121">
        <f>SUM(J27:J47)</f>
        <v>0</v>
      </c>
      <c r="K48" s="976"/>
      <c r="L48" s="976"/>
      <c r="M48" s="1143"/>
      <c r="N48" s="1143"/>
      <c r="O48" s="1143"/>
      <c r="P48" s="745"/>
      <c r="Q48" s="745"/>
    </row>
    <row r="49" spans="1:26" ht="45" customHeight="1">
      <c r="E49" s="653"/>
      <c r="F49" s="653"/>
      <c r="G49" s="605"/>
      <c r="H49" s="653"/>
      <c r="I49" s="605"/>
      <c r="J49" s="1126"/>
      <c r="K49" s="976"/>
      <c r="L49" s="976"/>
      <c r="M49" s="992"/>
      <c r="N49" s="992"/>
      <c r="O49" s="992"/>
    </row>
    <row r="50" spans="1:26" ht="45" customHeight="1">
      <c r="D50" s="756"/>
      <c r="E50" s="1264" t="s">
        <v>335</v>
      </c>
      <c r="F50" s="1264"/>
      <c r="G50" s="1264"/>
      <c r="H50" s="1264"/>
      <c r="I50" s="756">
        <f>20-SUM(A51:A51)</f>
        <v>20</v>
      </c>
      <c r="J50" s="1123"/>
      <c r="K50" s="976"/>
      <c r="L50" s="976"/>
      <c r="M50" s="1144"/>
      <c r="N50" s="1144"/>
      <c r="O50" s="1144"/>
      <c r="P50" s="746"/>
      <c r="Q50" s="746"/>
    </row>
    <row r="51" spans="1:26" ht="45" customHeight="1">
      <c r="D51" s="724"/>
      <c r="E51" s="1297" t="s">
        <v>336</v>
      </c>
      <c r="F51" s="753" t="s">
        <v>337</v>
      </c>
      <c r="G51" s="751">
        <v>16.100000000000001</v>
      </c>
      <c r="H51" s="751" t="s">
        <v>565</v>
      </c>
      <c r="I51" s="740" t="s">
        <v>264</v>
      </c>
      <c r="J51" s="1118"/>
      <c r="K51" s="976"/>
      <c r="L51" s="976"/>
      <c r="M51" s="1142"/>
      <c r="N51" s="1142"/>
      <c r="O51" s="1142"/>
      <c r="P51" s="729" t="str">
        <f t="shared" ref="P51:Q51" si="3">IF(M51=0,"no","yes")</f>
        <v>no</v>
      </c>
      <c r="Q51" s="729" t="str">
        <f t="shared" si="3"/>
        <v>no</v>
      </c>
      <c r="Z51" t="s">
        <v>566</v>
      </c>
    </row>
    <row r="52" spans="1:26" ht="45" customHeight="1">
      <c r="D52" s="724"/>
      <c r="E52" s="1298"/>
      <c r="F52" s="1295" t="s">
        <v>607</v>
      </c>
      <c r="G52" s="751" t="s">
        <v>608</v>
      </c>
      <c r="H52" s="751" t="s">
        <v>607</v>
      </c>
      <c r="I52" s="740">
        <v>14</v>
      </c>
      <c r="J52" s="1127"/>
      <c r="K52" s="976"/>
      <c r="L52" s="976"/>
      <c r="M52" s="1142"/>
      <c r="N52" s="1142"/>
      <c r="O52" s="1142"/>
      <c r="P52" s="1151"/>
      <c r="Q52" s="1151"/>
      <c r="Z52"/>
    </row>
    <row r="53" spans="1:26" ht="45" customHeight="1">
      <c r="D53" s="724"/>
      <c r="E53" s="1299"/>
      <c r="F53" s="1296"/>
      <c r="G53" s="751" t="s">
        <v>609</v>
      </c>
      <c r="H53" s="751" t="s">
        <v>610</v>
      </c>
      <c r="I53" s="740">
        <v>20</v>
      </c>
      <c r="J53" s="1127"/>
      <c r="K53" s="976"/>
      <c r="L53" s="976"/>
      <c r="M53" s="1142"/>
      <c r="N53" s="1142"/>
      <c r="O53" s="1142"/>
      <c r="P53" s="1151"/>
      <c r="Q53" s="1151"/>
      <c r="Z53"/>
    </row>
    <row r="54" spans="1:26" ht="45" customHeight="1">
      <c r="D54" s="635"/>
      <c r="E54" s="635" t="s">
        <v>305</v>
      </c>
      <c r="F54" s="635"/>
      <c r="G54" s="636"/>
      <c r="H54" s="635"/>
      <c r="I54" s="759">
        <f>SUM(20)</f>
        <v>20</v>
      </c>
      <c r="J54" s="1128">
        <f>SUM(J51:J53)</f>
        <v>0</v>
      </c>
      <c r="K54" s="976"/>
      <c r="L54" s="976"/>
      <c r="M54" s="1146"/>
      <c r="N54" s="1146"/>
      <c r="O54" s="1146"/>
      <c r="P54" s="759"/>
      <c r="Q54" s="759"/>
    </row>
    <row r="55" spans="1:26" ht="78.95" customHeight="1">
      <c r="J55" s="1126"/>
      <c r="K55" s="976"/>
      <c r="L55" s="976"/>
      <c r="M55" s="1147"/>
      <c r="N55" s="992"/>
      <c r="O55" s="992"/>
    </row>
    <row r="56" spans="1:26" ht="45" customHeight="1">
      <c r="D56" s="761"/>
      <c r="E56" s="761" t="s">
        <v>345</v>
      </c>
      <c r="F56" s="762"/>
      <c r="G56" s="763"/>
      <c r="H56" s="762"/>
      <c r="I56" s="756">
        <f>SUM(I58:I61)</f>
        <v>7</v>
      </c>
      <c r="J56" s="1123"/>
      <c r="K56" s="976"/>
      <c r="L56" s="976"/>
      <c r="M56" s="1148"/>
      <c r="N56" s="1144"/>
      <c r="O56" s="1144"/>
      <c r="P56" s="746"/>
      <c r="Q56" s="746"/>
      <c r="Z56" s="764" t="s">
        <v>579</v>
      </c>
    </row>
    <row r="57" spans="1:26" ht="45" customHeight="1">
      <c r="D57" s="724"/>
      <c r="E57" s="1297" t="s">
        <v>346</v>
      </c>
      <c r="F57" s="1300" t="s">
        <v>469</v>
      </c>
      <c r="G57" s="765" t="s">
        <v>611</v>
      </c>
      <c r="H57" s="765" t="s">
        <v>466</v>
      </c>
      <c r="I57" s="724">
        <v>0</v>
      </c>
      <c r="J57" s="1127"/>
      <c r="K57" s="976"/>
      <c r="L57" s="976"/>
      <c r="M57" s="1142"/>
      <c r="N57" s="1142"/>
      <c r="O57" s="1142"/>
      <c r="P57" s="746"/>
      <c r="Q57" s="746"/>
      <c r="Z57" s="764"/>
    </row>
    <row r="58" spans="1:26" ht="45" customHeight="1">
      <c r="D58" s="724"/>
      <c r="E58" s="1298"/>
      <c r="F58" s="1301"/>
      <c r="G58" s="751" t="s">
        <v>467</v>
      </c>
      <c r="H58" s="765" t="s">
        <v>581</v>
      </c>
      <c r="I58" s="728">
        <v>4</v>
      </c>
      <c r="J58" s="1127"/>
      <c r="K58" s="976"/>
      <c r="L58" s="976"/>
      <c r="M58" s="1142"/>
      <c r="N58" s="1142"/>
      <c r="O58" s="1142"/>
      <c r="P58" s="729" t="str">
        <f t="shared" ref="P58:Q61" si="4">IF(M58=0,"no","yes")</f>
        <v>no</v>
      </c>
      <c r="Q58" s="729" t="str">
        <f t="shared" si="4"/>
        <v>no</v>
      </c>
      <c r="W58" s="192" t="s">
        <v>469</v>
      </c>
      <c r="X58" s="192" t="s">
        <v>581</v>
      </c>
      <c r="Z58" s="760" t="s">
        <v>581</v>
      </c>
    </row>
    <row r="59" spans="1:26" ht="45" customHeight="1">
      <c r="A59" s="747">
        <f>IF(B59=TRUE,1,0)</f>
        <v>0</v>
      </c>
      <c r="B59" s="604" t="b">
        <v>0</v>
      </c>
      <c r="D59" s="724"/>
      <c r="E59" s="1298"/>
      <c r="F59" s="1301"/>
      <c r="G59" s="751" t="s">
        <v>470</v>
      </c>
      <c r="H59" s="757" t="s">
        <v>350</v>
      </c>
      <c r="I59" s="738">
        <f>IF(B59=FALSE,1,0)</f>
        <v>1</v>
      </c>
      <c r="J59" s="1127"/>
      <c r="K59" s="976"/>
      <c r="L59" s="976"/>
      <c r="M59" s="1142"/>
      <c r="N59" s="1142"/>
      <c r="O59" s="1142"/>
      <c r="P59" s="729" t="str">
        <f t="shared" si="4"/>
        <v>no</v>
      </c>
      <c r="Q59" s="729" t="str">
        <f t="shared" si="4"/>
        <v>no</v>
      </c>
      <c r="W59" s="192" t="s">
        <v>612</v>
      </c>
      <c r="X59" s="192" t="s">
        <v>613</v>
      </c>
    </row>
    <row r="60" spans="1:26" ht="45" customHeight="1">
      <c r="D60" s="724"/>
      <c r="E60" s="1298"/>
      <c r="F60" s="1301"/>
      <c r="G60" s="751" t="s">
        <v>472</v>
      </c>
      <c r="H60" s="751" t="s">
        <v>351</v>
      </c>
      <c r="I60" s="728">
        <v>1</v>
      </c>
      <c r="J60" s="1127"/>
      <c r="K60" s="976"/>
      <c r="L60" s="976"/>
      <c r="M60" s="1142"/>
      <c r="N60" s="1142"/>
      <c r="O60" s="1142"/>
      <c r="P60" s="729" t="str">
        <f t="shared" si="4"/>
        <v>no</v>
      </c>
      <c r="Q60" s="729" t="str">
        <f t="shared" si="4"/>
        <v>no</v>
      </c>
    </row>
    <row r="61" spans="1:26" ht="45" customHeight="1">
      <c r="D61" s="724"/>
      <c r="E61" s="1299"/>
      <c r="F61" s="1302"/>
      <c r="G61" s="751" t="s">
        <v>474</v>
      </c>
      <c r="H61" s="751" t="s">
        <v>352</v>
      </c>
      <c r="I61" s="728">
        <v>1</v>
      </c>
      <c r="J61" s="1127"/>
      <c r="K61" s="976"/>
      <c r="L61" s="976"/>
      <c r="M61" s="1142"/>
      <c r="N61" s="1142"/>
      <c r="O61" s="1142"/>
      <c r="P61" s="729" t="str">
        <f t="shared" si="4"/>
        <v>no</v>
      </c>
      <c r="Q61" s="729" t="str">
        <f t="shared" si="4"/>
        <v>no</v>
      </c>
    </row>
    <row r="62" spans="1:26" ht="45" customHeight="1">
      <c r="D62" s="635"/>
      <c r="E62" s="635" t="s">
        <v>305</v>
      </c>
      <c r="F62" s="635"/>
      <c r="G62" s="636"/>
      <c r="H62" s="635"/>
      <c r="I62" s="636">
        <f>SUM(I58:I61)</f>
        <v>7</v>
      </c>
      <c r="J62" s="1121">
        <f>SUM(J58:J61)</f>
        <v>0</v>
      </c>
      <c r="K62" s="976"/>
      <c r="L62" s="976"/>
      <c r="M62" s="1143"/>
      <c r="N62" s="1143"/>
      <c r="O62" s="1143"/>
      <c r="P62" s="745"/>
      <c r="Q62" s="745"/>
    </row>
    <row r="63" spans="1:26" ht="45" customHeight="1">
      <c r="J63" s="1126"/>
      <c r="K63" s="976"/>
      <c r="L63" s="976"/>
      <c r="M63" s="1147"/>
      <c r="N63" s="992"/>
      <c r="O63" s="992"/>
    </row>
    <row r="64" spans="1:26" ht="45" customHeight="1">
      <c r="D64" s="761"/>
      <c r="E64" s="761" t="s">
        <v>353</v>
      </c>
      <c r="F64" s="762"/>
      <c r="G64" s="763"/>
      <c r="H64" s="762"/>
      <c r="I64" s="756">
        <f>5-SUM(A65:A69)</f>
        <v>5</v>
      </c>
      <c r="J64" s="1123"/>
      <c r="K64" s="976"/>
      <c r="L64" s="976"/>
      <c r="M64" s="1148"/>
      <c r="N64" s="1144"/>
      <c r="O64" s="1144"/>
      <c r="P64" s="746"/>
      <c r="Q64" s="746"/>
    </row>
    <row r="65" spans="1:26" ht="45" customHeight="1">
      <c r="D65" s="724"/>
      <c r="E65" s="1269" t="s">
        <v>354</v>
      </c>
      <c r="F65" s="1191" t="s">
        <v>265</v>
      </c>
      <c r="G65" s="766" t="s">
        <v>355</v>
      </c>
      <c r="H65" s="767" t="s">
        <v>265</v>
      </c>
      <c r="I65" s="768">
        <f>IF($F$65=Z65,5,0)</f>
        <v>5</v>
      </c>
      <c r="J65" s="1129"/>
      <c r="K65" s="976"/>
      <c r="L65" s="976"/>
      <c r="M65" s="1142"/>
      <c r="N65" s="1142"/>
      <c r="O65" s="1142"/>
      <c r="P65" s="729" t="str">
        <f t="shared" ref="P65:Q69" si="5">IF(M65=0,"no","yes")</f>
        <v>no</v>
      </c>
      <c r="Q65" s="729" t="str">
        <f t="shared" si="5"/>
        <v>no</v>
      </c>
      <c r="Z65" s="764" t="s">
        <v>265</v>
      </c>
    </row>
    <row r="66" spans="1:26" ht="45" customHeight="1">
      <c r="A66" s="769">
        <f>IF(AND($F$65=$Z$66,B66=TRUE),1,0)</f>
        <v>0</v>
      </c>
      <c r="B66" s="770" t="b">
        <v>0</v>
      </c>
      <c r="D66" s="724"/>
      <c r="E66" s="1270"/>
      <c r="F66" s="1192"/>
      <c r="G66" s="766" t="s">
        <v>357</v>
      </c>
      <c r="H66" s="771" t="s">
        <v>358</v>
      </c>
      <c r="I66" s="772">
        <f>IF(AND($F$65=$Z$66,B66=FALSE),1,0)</f>
        <v>0</v>
      </c>
      <c r="J66" s="1129"/>
      <c r="K66" s="976"/>
      <c r="L66" s="976"/>
      <c r="M66" s="1142"/>
      <c r="N66" s="1142"/>
      <c r="O66" s="1142"/>
      <c r="P66" s="729" t="str">
        <f t="shared" si="5"/>
        <v>no</v>
      </c>
      <c r="Q66" s="729" t="str">
        <f t="shared" si="5"/>
        <v>no</v>
      </c>
      <c r="Z66" s="764" t="s">
        <v>271</v>
      </c>
    </row>
    <row r="67" spans="1:26" ht="45" customHeight="1">
      <c r="A67" s="769">
        <f>IF(AND($F$65=$Z$66,B67=TRUE),1,0)</f>
        <v>0</v>
      </c>
      <c r="B67" s="604" t="b">
        <v>0</v>
      </c>
      <c r="D67" s="724"/>
      <c r="E67" s="1270"/>
      <c r="F67" s="1192"/>
      <c r="G67" s="766" t="s">
        <v>359</v>
      </c>
      <c r="H67" s="771" t="s">
        <v>582</v>
      </c>
      <c r="I67" s="772">
        <f>IF(AND($F$65=$Z$66,B67=FALSE),1,0)</f>
        <v>0</v>
      </c>
      <c r="J67" s="1129"/>
      <c r="K67" s="976"/>
      <c r="L67" s="976"/>
      <c r="M67" s="1149"/>
      <c r="N67" s="1142"/>
      <c r="O67" s="1142"/>
      <c r="P67" s="729" t="str">
        <f t="shared" si="5"/>
        <v>no</v>
      </c>
      <c r="Q67" s="729" t="str">
        <f t="shared" si="5"/>
        <v>no</v>
      </c>
    </row>
    <row r="68" spans="1:26" ht="45" customHeight="1">
      <c r="A68" s="769">
        <f>IF(AND($F$65=$Z$66,B68=TRUE),1,0)</f>
        <v>0</v>
      </c>
      <c r="B68" s="604" t="b">
        <v>0</v>
      </c>
      <c r="D68" s="724"/>
      <c r="E68" s="1270"/>
      <c r="F68" s="1192"/>
      <c r="G68" s="766" t="s">
        <v>361</v>
      </c>
      <c r="H68" s="771" t="s">
        <v>583</v>
      </c>
      <c r="I68" s="772">
        <f>IF(AND($F$65=$Z$66,B68=FALSE),1,0)</f>
        <v>0</v>
      </c>
      <c r="J68" s="1129"/>
      <c r="K68" s="976"/>
      <c r="L68" s="976"/>
      <c r="M68" s="1142"/>
      <c r="N68" s="1142"/>
      <c r="O68" s="1142"/>
      <c r="P68" s="729" t="str">
        <f t="shared" si="5"/>
        <v>no</v>
      </c>
      <c r="Q68" s="729" t="str">
        <f t="shared" si="5"/>
        <v>no</v>
      </c>
    </row>
    <row r="69" spans="1:26" ht="45" customHeight="1">
      <c r="D69" s="724"/>
      <c r="E69" s="1270"/>
      <c r="F69" s="1193"/>
      <c r="G69" s="766" t="s">
        <v>363</v>
      </c>
      <c r="H69" s="771" t="s">
        <v>584</v>
      </c>
      <c r="I69" s="772">
        <f>IF($F$65=Z66,2,0)</f>
        <v>0</v>
      </c>
      <c r="J69" s="1129"/>
      <c r="K69" s="976"/>
      <c r="L69" s="976"/>
      <c r="M69" s="1142"/>
      <c r="N69" s="1142"/>
      <c r="O69" s="1142"/>
      <c r="P69" s="729" t="str">
        <f t="shared" si="5"/>
        <v>no</v>
      </c>
      <c r="Q69" s="729" t="str">
        <f t="shared" si="5"/>
        <v>no</v>
      </c>
    </row>
    <row r="70" spans="1:26" ht="45" customHeight="1">
      <c r="D70" s="635"/>
      <c r="E70" s="635" t="s">
        <v>305</v>
      </c>
      <c r="F70" s="635"/>
      <c r="G70" s="636"/>
      <c r="H70" s="635"/>
      <c r="I70" s="636">
        <f>SUM(I65:I69)</f>
        <v>5</v>
      </c>
      <c r="J70" s="1121">
        <f>SUM(J65:J69)</f>
        <v>0</v>
      </c>
      <c r="K70" s="976"/>
      <c r="L70" s="976"/>
      <c r="M70" s="1143"/>
      <c r="N70" s="1143"/>
      <c r="O70" s="1143"/>
      <c r="P70" s="745"/>
      <c r="Q70" s="745"/>
    </row>
    <row r="71" spans="1:26" ht="45" customHeight="1">
      <c r="J71" s="1126"/>
      <c r="K71" s="976"/>
      <c r="L71" s="976"/>
      <c r="M71" s="992"/>
      <c r="N71" s="992"/>
      <c r="O71" s="992"/>
    </row>
    <row r="72" spans="1:26" ht="45" customHeight="1">
      <c r="D72" s="761"/>
      <c r="E72" s="761" t="s">
        <v>367</v>
      </c>
      <c r="F72" s="773"/>
      <c r="G72" s="756"/>
      <c r="H72" s="762"/>
      <c r="I72" s="756">
        <f>24-SUM(A73:A80)</f>
        <v>24</v>
      </c>
      <c r="J72" s="1123"/>
      <c r="K72" s="976"/>
      <c r="L72" s="976"/>
      <c r="M72" s="1144"/>
      <c r="N72" s="1144"/>
      <c r="O72" s="1144"/>
      <c r="P72" s="746"/>
      <c r="Q72" s="746"/>
    </row>
    <row r="73" spans="1:26" ht="45" hidden="1" customHeight="1">
      <c r="D73" s="724"/>
      <c r="E73" s="1273" t="s">
        <v>585</v>
      </c>
      <c r="F73" s="1276" t="s">
        <v>586</v>
      </c>
      <c r="G73" s="774">
        <v>19.100000000000001</v>
      </c>
      <c r="H73" s="726" t="s">
        <v>371</v>
      </c>
      <c r="I73" s="774">
        <f>IF($F$72=$Z$74,18,0)</f>
        <v>0</v>
      </c>
      <c r="J73" s="1120"/>
      <c r="K73" s="976"/>
      <c r="L73" s="976"/>
      <c r="M73" s="1142"/>
      <c r="N73" s="1142"/>
      <c r="O73" s="1142"/>
    </row>
    <row r="74" spans="1:26" ht="45" hidden="1" customHeight="1">
      <c r="D74" s="724"/>
      <c r="E74" s="1274"/>
      <c r="F74" s="1287"/>
      <c r="G74" s="774">
        <v>19.2</v>
      </c>
      <c r="H74" s="734" t="s">
        <v>587</v>
      </c>
      <c r="I74" s="774">
        <f>IF($F$72=$Z$74,7,0)</f>
        <v>0</v>
      </c>
      <c r="J74" s="1120"/>
      <c r="K74" s="976"/>
      <c r="L74" s="976"/>
      <c r="M74" s="1142"/>
      <c r="N74" s="1142"/>
      <c r="O74" s="1142"/>
      <c r="Z74" s="192" t="s">
        <v>585</v>
      </c>
    </row>
    <row r="75" spans="1:26" ht="45" customHeight="1">
      <c r="A75" s="718">
        <f>IF(B75=TRUE,1,0)</f>
        <v>0</v>
      </c>
      <c r="B75" s="604" t="b">
        <v>0</v>
      </c>
      <c r="D75" s="724"/>
      <c r="E75" s="1273" t="s">
        <v>383</v>
      </c>
      <c r="F75" s="1276" t="s">
        <v>588</v>
      </c>
      <c r="G75" s="739">
        <v>20.100000000000001</v>
      </c>
      <c r="H75" s="750" t="s">
        <v>589</v>
      </c>
      <c r="I75" s="728">
        <f>IF(B75=FALSE,1,0)</f>
        <v>1</v>
      </c>
      <c r="J75" s="1124"/>
      <c r="K75" s="976"/>
      <c r="L75" s="976"/>
      <c r="M75" s="1142"/>
      <c r="N75" s="1142"/>
      <c r="O75" s="1142"/>
      <c r="P75" s="729" t="str">
        <f t="shared" ref="P75:Q79" si="6">IF(M75=0,"no","yes")</f>
        <v>no</v>
      </c>
      <c r="Q75" s="729" t="str">
        <f t="shared" si="6"/>
        <v>no</v>
      </c>
      <c r="Z75" s="612" t="s">
        <v>590</v>
      </c>
    </row>
    <row r="76" spans="1:26" ht="45" customHeight="1">
      <c r="A76" s="718">
        <f>IF(B76=TRUE,1,0)</f>
        <v>0</v>
      </c>
      <c r="B76" s="604" t="b">
        <v>0</v>
      </c>
      <c r="D76" s="724"/>
      <c r="E76" s="1275"/>
      <c r="F76" s="1287"/>
      <c r="G76" s="735">
        <v>20.2</v>
      </c>
      <c r="H76" s="750" t="s">
        <v>591</v>
      </c>
      <c r="I76" s="728">
        <f>IF(B76=FALSE,1,0)</f>
        <v>1</v>
      </c>
      <c r="J76" s="1120"/>
      <c r="K76" s="976"/>
      <c r="L76" s="976"/>
      <c r="M76" s="1142"/>
      <c r="N76" s="1142"/>
      <c r="O76" s="1142"/>
      <c r="P76" s="729" t="str">
        <f t="shared" si="6"/>
        <v>no</v>
      </c>
      <c r="Q76" s="729" t="str">
        <f t="shared" si="6"/>
        <v>no</v>
      </c>
    </row>
    <row r="77" spans="1:26" ht="45" customHeight="1">
      <c r="D77" s="724"/>
      <c r="E77" s="775" t="s">
        <v>388</v>
      </c>
      <c r="F77" s="734" t="s">
        <v>389</v>
      </c>
      <c r="G77" s="776">
        <v>21.1</v>
      </c>
      <c r="H77" s="750" t="s">
        <v>390</v>
      </c>
      <c r="I77" s="735">
        <v>19</v>
      </c>
      <c r="J77" s="1120"/>
      <c r="K77" s="976"/>
      <c r="L77" s="976"/>
      <c r="M77" s="1142"/>
      <c r="N77" s="1142"/>
      <c r="O77" s="1142"/>
      <c r="P77" s="729" t="str">
        <f t="shared" si="6"/>
        <v>no</v>
      </c>
      <c r="Q77" s="729" t="str">
        <f t="shared" si="6"/>
        <v>no</v>
      </c>
    </row>
    <row r="78" spans="1:26" ht="45" customHeight="1">
      <c r="D78" s="724"/>
      <c r="E78" s="1273" t="s">
        <v>391</v>
      </c>
      <c r="F78" s="1276" t="s">
        <v>592</v>
      </c>
      <c r="G78" s="739">
        <v>22.1</v>
      </c>
      <c r="H78" s="726" t="s">
        <v>481</v>
      </c>
      <c r="I78" s="732" t="s">
        <v>264</v>
      </c>
      <c r="J78" s="1118"/>
      <c r="K78" s="976"/>
      <c r="L78" s="976"/>
      <c r="M78" s="1142"/>
      <c r="N78" s="1142"/>
      <c r="O78" s="1142"/>
      <c r="P78" s="729" t="str">
        <f t="shared" si="6"/>
        <v>no</v>
      </c>
      <c r="Q78" s="729" t="str">
        <f t="shared" si="6"/>
        <v>no</v>
      </c>
    </row>
    <row r="79" spans="1:26" ht="45" customHeight="1">
      <c r="D79" s="724"/>
      <c r="E79" s="1274"/>
      <c r="F79" s="1277"/>
      <c r="G79" s="739">
        <v>22.2</v>
      </c>
      <c r="H79" s="777" t="s">
        <v>394</v>
      </c>
      <c r="I79" s="735">
        <f>IF(H79=Z81,3,2)</f>
        <v>3</v>
      </c>
      <c r="J79" s="1130"/>
      <c r="K79" s="976" t="str">
        <f>IF(AND(J79&gt;0,$J$78&lt;&gt;$AJ$7),"!","")</f>
        <v/>
      </c>
      <c r="L79" s="976"/>
      <c r="M79" s="1142"/>
      <c r="N79" s="1142"/>
      <c r="O79" s="1142"/>
      <c r="P79" s="729" t="str">
        <f t="shared" si="6"/>
        <v>no</v>
      </c>
      <c r="Q79" s="729" t="str">
        <f t="shared" si="6"/>
        <v>no</v>
      </c>
      <c r="Z79" s="192" t="s">
        <v>392</v>
      </c>
    </row>
    <row r="80" spans="1:26" ht="45" hidden="1" customHeight="1">
      <c r="D80" s="778"/>
      <c r="E80" s="1269"/>
      <c r="F80" s="1271"/>
      <c r="G80" s="738" t="s">
        <v>395</v>
      </c>
      <c r="H80" s="726" t="s">
        <v>593</v>
      </c>
      <c r="I80" s="735">
        <f>IF(F78=M80,1,0)</f>
        <v>0</v>
      </c>
      <c r="J80" s="1131"/>
      <c r="K80" s="976"/>
      <c r="L80" s="976"/>
      <c r="M80" s="992" t="s">
        <v>392</v>
      </c>
      <c r="N80" s="992"/>
      <c r="O80" s="992"/>
    </row>
    <row r="81" spans="1:26" ht="45" customHeight="1">
      <c r="D81" s="635"/>
      <c r="E81" s="635" t="s">
        <v>305</v>
      </c>
      <c r="F81" s="635"/>
      <c r="G81" s="636"/>
      <c r="H81" s="635"/>
      <c r="I81" s="636">
        <f>SUM(I75+I76+I77+I79)</f>
        <v>24</v>
      </c>
      <c r="J81" s="1121">
        <f>SUM(J73:J80)</f>
        <v>0</v>
      </c>
      <c r="K81" s="976"/>
      <c r="L81" s="976"/>
      <c r="M81" s="1143"/>
      <c r="N81" s="1143"/>
      <c r="O81" s="1143"/>
      <c r="P81" s="745"/>
      <c r="Q81" s="745"/>
      <c r="Z81" s="192" t="s">
        <v>394</v>
      </c>
    </row>
    <row r="82" spans="1:26" ht="45" customHeight="1">
      <c r="J82" s="1126"/>
      <c r="K82" s="976"/>
      <c r="L82" s="976"/>
      <c r="M82" s="992"/>
      <c r="N82" s="992"/>
      <c r="O82" s="992"/>
    </row>
    <row r="83" spans="1:26" ht="45" customHeight="1">
      <c r="D83" s="756"/>
      <c r="E83" s="1264" t="s">
        <v>396</v>
      </c>
      <c r="F83" s="1264"/>
      <c r="G83" s="1264"/>
      <c r="H83" s="1264"/>
      <c r="I83" s="756">
        <f>5-SUM(A84:A86)</f>
        <v>5</v>
      </c>
      <c r="J83" s="1123"/>
      <c r="K83" s="976"/>
      <c r="L83" s="976"/>
      <c r="M83" s="1144"/>
      <c r="N83" s="1144"/>
      <c r="O83" s="1144"/>
      <c r="P83" s="746"/>
      <c r="Q83" s="746"/>
    </row>
    <row r="84" spans="1:26" ht="45" customHeight="1">
      <c r="D84" s="724"/>
      <c r="E84" s="1279" t="s">
        <v>399</v>
      </c>
      <c r="F84" s="1276" t="s">
        <v>594</v>
      </c>
      <c r="G84" s="733">
        <v>23.1</v>
      </c>
      <c r="H84" s="751" t="s">
        <v>595</v>
      </c>
      <c r="I84" s="728">
        <v>5</v>
      </c>
      <c r="J84" s="1132"/>
      <c r="K84" s="1292" t="str">
        <f>IF(SUM(J84:J86)&gt;5,"ERROR: Please enter a total points score less than or equal to 5 for this credit.","")</f>
        <v/>
      </c>
      <c r="L84" s="1293"/>
      <c r="M84" s="1142"/>
      <c r="N84" s="1142"/>
      <c r="O84" s="1142"/>
      <c r="P84" s="729" t="str">
        <f t="shared" ref="P84:Q87" si="7">IF(M84=0,"no","yes")</f>
        <v>no</v>
      </c>
      <c r="Q84" s="729" t="str">
        <f t="shared" si="7"/>
        <v>no</v>
      </c>
    </row>
    <row r="85" spans="1:26" ht="45" customHeight="1">
      <c r="D85" s="724"/>
      <c r="E85" s="1283"/>
      <c r="F85" s="1277"/>
      <c r="G85" s="733">
        <v>23.2</v>
      </c>
      <c r="H85" s="750" t="s">
        <v>596</v>
      </c>
      <c r="I85" s="728">
        <v>2</v>
      </c>
      <c r="J85" s="1120"/>
      <c r="K85" s="1292"/>
      <c r="L85" s="1293"/>
      <c r="M85" s="1142"/>
      <c r="N85" s="1142"/>
      <c r="O85" s="1142"/>
      <c r="P85" s="729" t="str">
        <f t="shared" si="7"/>
        <v>no</v>
      </c>
      <c r="Q85" s="729" t="str">
        <f t="shared" si="7"/>
        <v>no</v>
      </c>
    </row>
    <row r="86" spans="1:26" ht="45" customHeight="1">
      <c r="A86" s="747"/>
      <c r="D86" s="724"/>
      <c r="E86" s="1283"/>
      <c r="F86" s="1277"/>
      <c r="G86" s="733">
        <v>23.3</v>
      </c>
      <c r="H86" s="757" t="s">
        <v>597</v>
      </c>
      <c r="I86" s="728">
        <v>2</v>
      </c>
      <c r="J86" s="1120"/>
      <c r="K86" s="1292"/>
      <c r="L86" s="1293"/>
      <c r="M86" s="1142"/>
      <c r="N86" s="1142"/>
      <c r="O86" s="1142"/>
      <c r="P86" s="729" t="str">
        <f t="shared" si="7"/>
        <v>no</v>
      </c>
      <c r="Q86" s="729" t="str">
        <f t="shared" si="7"/>
        <v>no</v>
      </c>
    </row>
    <row r="87" spans="1:26" ht="45" customHeight="1">
      <c r="A87" s="747"/>
      <c r="D87" s="724"/>
      <c r="E87" s="1280"/>
      <c r="F87" s="1271"/>
      <c r="G87" s="733">
        <v>23.4</v>
      </c>
      <c r="H87" s="757" t="s">
        <v>598</v>
      </c>
      <c r="I87" s="728">
        <v>1</v>
      </c>
      <c r="J87" s="1120"/>
      <c r="K87" s="976"/>
      <c r="L87" s="976"/>
      <c r="M87" s="1142"/>
      <c r="N87" s="1142"/>
      <c r="O87" s="1142"/>
      <c r="P87" s="729" t="str">
        <f t="shared" si="7"/>
        <v>no</v>
      </c>
      <c r="Q87" s="729" t="str">
        <f t="shared" si="7"/>
        <v>no</v>
      </c>
    </row>
    <row r="88" spans="1:26" ht="45" customHeight="1">
      <c r="D88" s="635"/>
      <c r="E88" s="635" t="s">
        <v>305</v>
      </c>
      <c r="F88" s="635"/>
      <c r="G88" s="636"/>
      <c r="H88" s="635"/>
      <c r="I88" s="636">
        <f>IF(SUM(I84:I87)&gt;5,5,SUM(I84:I87))</f>
        <v>5</v>
      </c>
      <c r="J88" s="1121">
        <f>IF(SUM(J84:J87)&gt;5,5,SUM(J84:J87))</f>
        <v>0</v>
      </c>
      <c r="K88" s="976"/>
      <c r="L88" s="976"/>
      <c r="M88" s="1143"/>
      <c r="N88" s="1143"/>
      <c r="O88" s="1143"/>
      <c r="P88" s="745"/>
      <c r="Q88" s="745"/>
    </row>
    <row r="89" spans="1:26" ht="45" customHeight="1">
      <c r="J89" s="1126"/>
      <c r="K89" s="976"/>
      <c r="L89" s="976"/>
      <c r="M89" s="992"/>
      <c r="N89" s="992"/>
      <c r="O89" s="992"/>
    </row>
    <row r="90" spans="1:26" ht="45" customHeight="1">
      <c r="D90" s="756"/>
      <c r="E90" s="1264" t="s">
        <v>404</v>
      </c>
      <c r="F90" s="1264"/>
      <c r="G90" s="1264"/>
      <c r="H90" s="1264"/>
      <c r="I90" s="756">
        <f>3-SUM(A91:A94)</f>
        <v>3</v>
      </c>
      <c r="J90" s="1123"/>
      <c r="K90" s="976"/>
      <c r="L90" s="976"/>
      <c r="M90" s="1144"/>
      <c r="N90" s="1144"/>
      <c r="O90" s="1144"/>
      <c r="P90" s="746"/>
      <c r="Q90" s="746"/>
    </row>
    <row r="91" spans="1:26" ht="45" customHeight="1">
      <c r="D91" s="724"/>
      <c r="E91" s="1270" t="s">
        <v>409</v>
      </c>
      <c r="F91" s="1276" t="s">
        <v>410</v>
      </c>
      <c r="G91" s="733">
        <v>24.1</v>
      </c>
      <c r="H91" s="751" t="s">
        <v>411</v>
      </c>
      <c r="I91" s="732" t="s">
        <v>264</v>
      </c>
      <c r="J91" s="1118"/>
      <c r="K91" s="976"/>
      <c r="L91" s="976"/>
      <c r="M91" s="1142"/>
      <c r="N91" s="1142"/>
      <c r="O91" s="1142"/>
      <c r="P91" s="729" t="str">
        <f t="shared" ref="P91:Q94" si="8">IF(M91=0,"no","yes")</f>
        <v>no</v>
      </c>
      <c r="Q91" s="729" t="str">
        <f t="shared" si="8"/>
        <v>no</v>
      </c>
    </row>
    <row r="92" spans="1:26" ht="45" customHeight="1">
      <c r="A92" s="747">
        <f>IF(B92=TRUE,1,0)</f>
        <v>0</v>
      </c>
      <c r="B92" s="748" t="b">
        <v>0</v>
      </c>
      <c r="D92" s="724"/>
      <c r="E92" s="1270"/>
      <c r="F92" s="1271"/>
      <c r="G92" s="735">
        <v>24.2</v>
      </c>
      <c r="H92" s="750" t="s">
        <v>412</v>
      </c>
      <c r="I92" s="728">
        <f>IF(B92=FALSE,1,0)</f>
        <v>1</v>
      </c>
      <c r="J92" s="1132"/>
      <c r="K92" s="976" t="str">
        <f>IF(AND(J92&gt;0,$J91&lt;&gt;$AJ$7),"!","")</f>
        <v/>
      </c>
      <c r="L92" s="976"/>
      <c r="M92" s="1142"/>
      <c r="N92" s="1142"/>
      <c r="O92" s="1142"/>
      <c r="P92" s="729" t="str">
        <f t="shared" si="8"/>
        <v>no</v>
      </c>
      <c r="Q92" s="729" t="str">
        <f t="shared" si="8"/>
        <v>no</v>
      </c>
    </row>
    <row r="93" spans="1:26" ht="45" customHeight="1">
      <c r="A93" s="747">
        <f>IF(B93=TRUE,1,0)</f>
        <v>0</v>
      </c>
      <c r="B93" s="748" t="b">
        <v>0</v>
      </c>
      <c r="D93" s="724"/>
      <c r="E93" s="725" t="s">
        <v>413</v>
      </c>
      <c r="F93" s="726" t="s">
        <v>519</v>
      </c>
      <c r="G93" s="776">
        <v>25.1</v>
      </c>
      <c r="H93" s="726" t="s">
        <v>415</v>
      </c>
      <c r="I93" s="728">
        <f>IF(B93=FALSE,1,0)</f>
        <v>1</v>
      </c>
      <c r="J93" s="1132"/>
      <c r="K93" s="976"/>
      <c r="L93" s="976"/>
      <c r="M93" s="1142"/>
      <c r="N93" s="1142"/>
      <c r="O93" s="1142"/>
      <c r="P93" s="729" t="str">
        <f t="shared" si="8"/>
        <v>no</v>
      </c>
      <c r="Q93" s="729" t="str">
        <f t="shared" si="8"/>
        <v>no</v>
      </c>
    </row>
    <row r="94" spans="1:26" ht="45" customHeight="1">
      <c r="A94" s="747">
        <f>IF(B94=TRUE,1,0)</f>
        <v>0</v>
      </c>
      <c r="B94" s="748" t="b">
        <v>0</v>
      </c>
      <c r="D94" s="724"/>
      <c r="E94" s="779" t="s">
        <v>416</v>
      </c>
      <c r="F94" s="753" t="s">
        <v>520</v>
      </c>
      <c r="G94" s="780">
        <v>26.1</v>
      </c>
      <c r="H94" s="781" t="s">
        <v>416</v>
      </c>
      <c r="I94" s="755">
        <f>IF(B94=FALSE,1,0)</f>
        <v>1</v>
      </c>
      <c r="J94" s="1133"/>
      <c r="K94" s="976"/>
      <c r="L94" s="976"/>
      <c r="M94" s="1142"/>
      <c r="N94" s="1142"/>
      <c r="O94" s="1142"/>
      <c r="P94" s="729" t="str">
        <f t="shared" si="8"/>
        <v>no</v>
      </c>
      <c r="Q94" s="729" t="str">
        <f t="shared" si="8"/>
        <v>no</v>
      </c>
    </row>
    <row r="95" spans="1:26" ht="45" customHeight="1">
      <c r="D95" s="635"/>
      <c r="E95" s="635" t="s">
        <v>305</v>
      </c>
      <c r="F95" s="635"/>
      <c r="G95" s="636"/>
      <c r="H95" s="635"/>
      <c r="I95" s="636">
        <f>SUM(I91:I94)</f>
        <v>3</v>
      </c>
      <c r="J95" s="1121">
        <f>SUM(J91:J94)</f>
        <v>0</v>
      </c>
      <c r="K95" s="976"/>
      <c r="L95" s="976"/>
      <c r="M95" s="1143"/>
      <c r="N95" s="1143"/>
      <c r="O95" s="1143"/>
      <c r="P95" s="745"/>
      <c r="Q95" s="745"/>
    </row>
    <row r="96" spans="1:26" ht="45" customHeight="1">
      <c r="D96" s="192"/>
      <c r="E96" s="653"/>
      <c r="F96" s="653"/>
      <c r="G96" s="605"/>
      <c r="H96" s="653"/>
      <c r="I96" s="605"/>
      <c r="J96" s="1126"/>
      <c r="K96" s="976"/>
      <c r="L96" s="976"/>
      <c r="M96" s="992"/>
      <c r="N96" s="992"/>
      <c r="O96" s="992"/>
    </row>
    <row r="97" spans="1:17" ht="45" customHeight="1">
      <c r="D97" s="782"/>
      <c r="E97" s="1264" t="s">
        <v>419</v>
      </c>
      <c r="F97" s="1264"/>
      <c r="G97" s="1264"/>
      <c r="H97" s="1264"/>
      <c r="I97" s="782">
        <v>10</v>
      </c>
      <c r="J97" s="1123"/>
      <c r="K97" s="976"/>
      <c r="L97" s="976"/>
      <c r="M97" s="1144"/>
      <c r="N97" s="1144"/>
      <c r="O97" s="1144"/>
      <c r="P97" s="746"/>
      <c r="Q97" s="746"/>
    </row>
    <row r="98" spans="1:17" ht="45" customHeight="1">
      <c r="D98" s="724"/>
      <c r="E98" s="783" t="s">
        <v>420</v>
      </c>
      <c r="F98" s="784" t="s">
        <v>521</v>
      </c>
      <c r="G98" s="785">
        <v>27.1</v>
      </c>
      <c r="H98" s="786" t="s">
        <v>420</v>
      </c>
      <c r="I98" s="1291">
        <v>10</v>
      </c>
      <c r="J98" s="1134"/>
      <c r="K98" s="976" t="str">
        <f>IF(SUM(J98:J102)&gt;10,"ERROR: the total number of points available in the Innovation category is 10. Please enter a points score less than or equal to 10.","")</f>
        <v/>
      </c>
      <c r="L98" s="976"/>
      <c r="M98" s="1142"/>
      <c r="N98" s="1142"/>
      <c r="O98" s="1142"/>
      <c r="P98" s="729" t="str">
        <f t="shared" ref="P98:Q102" si="9">IF(M98=0,"no","yes")</f>
        <v>no</v>
      </c>
      <c r="Q98" s="729" t="str">
        <f t="shared" si="9"/>
        <v>no</v>
      </c>
    </row>
    <row r="99" spans="1:17" ht="45" customHeight="1">
      <c r="D99" s="724"/>
      <c r="E99" s="725" t="s">
        <v>422</v>
      </c>
      <c r="F99" s="787" t="s">
        <v>523</v>
      </c>
      <c r="G99" s="728">
        <v>27.2</v>
      </c>
      <c r="H99" s="734" t="s">
        <v>422</v>
      </c>
      <c r="I99" s="1291"/>
      <c r="J99" s="1134"/>
      <c r="K99" s="976"/>
      <c r="L99" s="976"/>
      <c r="M99" s="1142"/>
      <c r="N99" s="1142"/>
      <c r="O99" s="1142"/>
      <c r="P99" s="729" t="str">
        <f t="shared" si="9"/>
        <v>no</v>
      </c>
      <c r="Q99" s="729" t="str">
        <f t="shared" si="9"/>
        <v>no</v>
      </c>
    </row>
    <row r="100" spans="1:17" ht="45" customHeight="1">
      <c r="D100" s="724"/>
      <c r="E100" s="725" t="s">
        <v>424</v>
      </c>
      <c r="F100" s="787" t="s">
        <v>525</v>
      </c>
      <c r="G100" s="728">
        <v>27.3</v>
      </c>
      <c r="H100" s="734" t="s">
        <v>424</v>
      </c>
      <c r="I100" s="1291"/>
      <c r="J100" s="1134"/>
      <c r="K100" s="976"/>
      <c r="L100" s="976"/>
      <c r="M100" s="1142"/>
      <c r="N100" s="1142"/>
      <c r="O100" s="1142"/>
      <c r="P100" s="729" t="str">
        <f t="shared" si="9"/>
        <v>no</v>
      </c>
      <c r="Q100" s="729" t="str">
        <f t="shared" si="9"/>
        <v>no</v>
      </c>
    </row>
    <row r="101" spans="1:17" ht="45" customHeight="1">
      <c r="D101" s="724"/>
      <c r="E101" s="725" t="s">
        <v>426</v>
      </c>
      <c r="F101" s="787" t="s">
        <v>527</v>
      </c>
      <c r="G101" s="728">
        <v>27.4</v>
      </c>
      <c r="H101" s="734" t="s">
        <v>426</v>
      </c>
      <c r="I101" s="1291"/>
      <c r="J101" s="1134"/>
      <c r="K101" s="976"/>
      <c r="L101" s="976"/>
      <c r="M101" s="1142"/>
      <c r="N101" s="1142"/>
      <c r="O101" s="1142"/>
      <c r="P101" s="729" t="str">
        <f t="shared" si="9"/>
        <v>no</v>
      </c>
      <c r="Q101" s="729" t="str">
        <f t="shared" si="9"/>
        <v>no</v>
      </c>
    </row>
    <row r="102" spans="1:17" ht="45" customHeight="1">
      <c r="D102" s="724"/>
      <c r="E102" s="788" t="s">
        <v>428</v>
      </c>
      <c r="F102" s="789" t="s">
        <v>529</v>
      </c>
      <c r="G102" s="755">
        <v>27.5</v>
      </c>
      <c r="H102" s="790" t="s">
        <v>428</v>
      </c>
      <c r="I102" s="1291"/>
      <c r="J102" s="1134"/>
      <c r="K102" s="976"/>
      <c r="L102" s="976"/>
      <c r="M102" s="1142"/>
      <c r="N102" s="1142"/>
      <c r="O102" s="1142"/>
      <c r="P102" s="729" t="str">
        <f t="shared" si="9"/>
        <v>no</v>
      </c>
      <c r="Q102" s="729" t="str">
        <f t="shared" si="9"/>
        <v>no</v>
      </c>
    </row>
    <row r="103" spans="1:17" ht="45" customHeight="1">
      <c r="D103" s="635"/>
      <c r="E103" s="635" t="s">
        <v>305</v>
      </c>
      <c r="F103" s="635"/>
      <c r="G103" s="636"/>
      <c r="H103" s="635"/>
      <c r="I103" s="636">
        <f>SUM(I98)</f>
        <v>10</v>
      </c>
      <c r="J103" s="1121">
        <f>IF(SUM(J98:J102)&gt;10,10,SUM(J98:J102))</f>
        <v>0</v>
      </c>
      <c r="K103" s="976" t="str">
        <f>IF(J103&gt;10,"!","")</f>
        <v/>
      </c>
      <c r="L103" s="976"/>
      <c r="M103" s="1143"/>
      <c r="N103" s="1143"/>
      <c r="O103" s="1143"/>
      <c r="P103" s="745"/>
      <c r="Q103" s="745"/>
    </row>
    <row r="104" spans="1:17" ht="45" customHeight="1">
      <c r="E104" s="653"/>
      <c r="F104" s="653"/>
      <c r="G104" s="605"/>
      <c r="H104" s="653"/>
      <c r="I104" s="605"/>
      <c r="J104" s="995"/>
      <c r="K104" s="976"/>
      <c r="L104" s="976"/>
    </row>
    <row r="105" spans="1:17" ht="45" customHeight="1">
      <c r="A105" s="791" t="s">
        <v>430</v>
      </c>
      <c r="E105" s="792"/>
      <c r="F105" s="710"/>
      <c r="G105" s="711"/>
      <c r="H105" s="712" t="s">
        <v>431</v>
      </c>
      <c r="I105" s="608" t="s">
        <v>432</v>
      </c>
      <c r="J105" s="971" t="s">
        <v>433</v>
      </c>
      <c r="K105" s="976"/>
      <c r="L105" s="976"/>
      <c r="M105" s="1135" t="s">
        <v>599</v>
      </c>
      <c r="N105" s="1135" t="s">
        <v>600</v>
      </c>
    </row>
    <row r="106" spans="1:17" ht="45" customHeight="1">
      <c r="A106" s="791">
        <f>SUM(A27:A94)</f>
        <v>0</v>
      </c>
      <c r="E106" s="792"/>
      <c r="F106" s="710"/>
      <c r="G106" s="711"/>
      <c r="H106" s="614" t="s">
        <v>434</v>
      </c>
      <c r="I106" s="720">
        <f>100-A106</f>
        <v>100</v>
      </c>
      <c r="J106" s="1113">
        <f>J24+J48+J54+J62+J70+J81+J88+J95</f>
        <v>0</v>
      </c>
      <c r="K106" s="976"/>
      <c r="L106" s="976"/>
      <c r="M106" s="1136">
        <f>SUMIF(P9:P102,"Yes",M9:M102)</f>
        <v>0</v>
      </c>
      <c r="N106" s="1136">
        <f>SUMIF(Q9:Q102,"Yes",N9:N102)</f>
        <v>0</v>
      </c>
    </row>
    <row r="107" spans="1:17" ht="45" customHeight="1">
      <c r="E107" s="611"/>
      <c r="F107" s="611"/>
      <c r="G107" s="605"/>
      <c r="H107" s="614" t="s">
        <v>601</v>
      </c>
      <c r="I107" s="715"/>
      <c r="J107" s="1137">
        <f>J106/I106*100</f>
        <v>0</v>
      </c>
      <c r="K107" s="976"/>
      <c r="L107" s="976"/>
    </row>
    <row r="108" spans="1:17" ht="45" customHeight="1">
      <c r="E108" s="611"/>
      <c r="F108" s="611"/>
      <c r="G108" s="605"/>
      <c r="H108" s="614" t="s">
        <v>436</v>
      </c>
      <c r="I108" s="720">
        <v>10</v>
      </c>
      <c r="J108" s="1113">
        <f>J103</f>
        <v>0</v>
      </c>
      <c r="K108" s="976"/>
      <c r="L108" s="976"/>
    </row>
    <row r="109" spans="1:17" ht="45" customHeight="1">
      <c r="H109" s="614" t="s">
        <v>237</v>
      </c>
      <c r="I109" s="716"/>
      <c r="J109" s="1137">
        <f>(J107)+J108</f>
        <v>0</v>
      </c>
      <c r="K109" s="976"/>
      <c r="L109" s="976"/>
    </row>
    <row r="110" spans="1:17">
      <c r="K110" s="976"/>
      <c r="L110" s="976"/>
    </row>
    <row r="111" spans="1:17">
      <c r="K111" s="976"/>
      <c r="L111" s="976"/>
    </row>
    <row r="112" spans="1:17" ht="45" customHeight="1">
      <c r="K112" s="976"/>
      <c r="L112" s="976"/>
    </row>
    <row r="113" spans="1:15" ht="45" customHeight="1">
      <c r="H113" s="82" t="s">
        <v>437</v>
      </c>
      <c r="I113" s="82"/>
      <c r="J113" s="1138"/>
      <c r="K113" s="580"/>
      <c r="L113" s="976"/>
    </row>
    <row r="114" spans="1:15" ht="37.5" customHeight="1">
      <c r="H114" s="842" t="s">
        <v>440</v>
      </c>
      <c r="I114" s="843"/>
      <c r="J114" s="983"/>
      <c r="K114" s="580"/>
      <c r="L114" s="976"/>
    </row>
    <row r="115" spans="1:15" ht="37.5" customHeight="1">
      <c r="H115" s="842" t="s">
        <v>441</v>
      </c>
      <c r="I115" s="843"/>
      <c r="J115" s="983"/>
      <c r="K115" s="580"/>
      <c r="L115" s="976"/>
    </row>
    <row r="116" spans="1:15" ht="37.5" customHeight="1">
      <c r="H116" s="167" t="s">
        <v>442</v>
      </c>
      <c r="I116" s="84"/>
      <c r="J116" s="1139">
        <f>J114+J115</f>
        <v>0</v>
      </c>
      <c r="K116" s="580"/>
      <c r="L116" s="976"/>
    </row>
    <row r="117" spans="1:15" ht="37.5" customHeight="1">
      <c r="H117" s="842" t="s">
        <v>443</v>
      </c>
      <c r="I117" s="843"/>
      <c r="J117" s="983"/>
      <c r="K117" s="580"/>
      <c r="L117" s="976"/>
    </row>
    <row r="118" spans="1:15" ht="37.5" customHeight="1">
      <c r="H118" s="167" t="s">
        <v>107</v>
      </c>
      <c r="I118" s="843"/>
      <c r="J118" s="1139">
        <f>M106</f>
        <v>0</v>
      </c>
      <c r="K118" s="580"/>
      <c r="L118" s="976"/>
    </row>
    <row r="119" spans="1:15" ht="37.5" customHeight="1">
      <c r="H119" s="167" t="s">
        <v>444</v>
      </c>
      <c r="I119" s="843"/>
      <c r="J119" s="1139">
        <f>N106</f>
        <v>0</v>
      </c>
      <c r="K119" s="580"/>
      <c r="L119" s="976"/>
    </row>
    <row r="120" spans="1:15" ht="37.5" customHeight="1">
      <c r="H120" s="167" t="s">
        <v>445</v>
      </c>
      <c r="I120" s="84"/>
      <c r="J120" s="1139">
        <f>SUM(J117:J119)</f>
        <v>0</v>
      </c>
      <c r="K120" s="580"/>
      <c r="L120" s="976"/>
    </row>
    <row r="121" spans="1:15" ht="37.5" customHeight="1">
      <c r="H121" s="167" t="s">
        <v>112</v>
      </c>
      <c r="I121" s="84"/>
      <c r="J121" s="1140">
        <f>IFERROR(J120/J116,0)</f>
        <v>0</v>
      </c>
      <c r="K121" s="580"/>
      <c r="L121" s="976"/>
    </row>
    <row r="122" spans="1:15" s="796" customFormat="1" ht="37.5" customHeight="1">
      <c r="A122" s="793"/>
      <c r="B122" s="793"/>
      <c r="C122" s="793"/>
      <c r="D122" s="793"/>
      <c r="E122" s="794"/>
      <c r="F122" s="794"/>
      <c r="G122" s="795"/>
      <c r="H122" s="164"/>
      <c r="I122" s="164"/>
      <c r="J122" s="580"/>
      <c r="K122" s="580"/>
      <c r="L122" s="976"/>
      <c r="M122" s="1141"/>
      <c r="N122" s="1141"/>
      <c r="O122" s="1141"/>
    </row>
    <row r="123" spans="1:15" s="796" customFormat="1" ht="37.5" customHeight="1">
      <c r="A123" s="793"/>
      <c r="B123" s="793"/>
      <c r="C123" s="793"/>
      <c r="D123" s="793"/>
      <c r="E123" s="794"/>
      <c r="F123" s="794"/>
      <c r="G123" s="795"/>
      <c r="H123" s="230" t="s">
        <v>101</v>
      </c>
      <c r="I123" s="243"/>
      <c r="J123" s="1067" t="s">
        <v>602</v>
      </c>
      <c r="K123" s="981"/>
      <c r="L123" s="976"/>
      <c r="M123" s="1141"/>
      <c r="N123" s="1141"/>
      <c r="O123" s="1141"/>
    </row>
    <row r="124" spans="1:15" s="796" customFormat="1" ht="37.5" customHeight="1">
      <c r="A124" s="793"/>
      <c r="B124" s="793"/>
      <c r="C124" s="793"/>
      <c r="D124" s="793"/>
      <c r="E124" s="794"/>
      <c r="F124" s="794"/>
      <c r="G124" s="795"/>
      <c r="H124" s="117" t="s">
        <v>447</v>
      </c>
      <c r="I124" s="797" t="s">
        <v>603</v>
      </c>
      <c r="J124" s="1179" t="str">
        <f>IF(I124="Yes","No Issues", IF(I124="No","Contact project team","Check scorecard points"))</f>
        <v>No Issues</v>
      </c>
      <c r="K124" s="1179"/>
      <c r="L124" s="976"/>
      <c r="M124" s="1141"/>
      <c r="N124" s="1141"/>
      <c r="O124" s="1141"/>
    </row>
    <row r="125" spans="1:15" s="796" customFormat="1" ht="37.5" customHeight="1">
      <c r="A125" s="793"/>
      <c r="B125" s="793"/>
      <c r="C125" s="793"/>
      <c r="D125" s="793"/>
      <c r="E125" s="794"/>
      <c r="F125" s="794"/>
      <c r="G125" s="795"/>
      <c r="H125" s="117" t="s">
        <v>604</v>
      </c>
      <c r="I125" s="797">
        <f>COUNTA(J9:J23,J27:J47,J51:J51,#REF!,J58:J61,J65:J69,J75:J79,J84:J87,J91:J94,J98:J102)+COUNTIF(B9:B102,"TRUE")</f>
        <v>1</v>
      </c>
      <c r="J125" s="1179" t="str">
        <f>IF(I125=0,"No credits entered","No Issues")</f>
        <v>No Issues</v>
      </c>
      <c r="K125" s="1179"/>
      <c r="L125" s="976"/>
      <c r="M125" s="1141"/>
      <c r="N125" s="1141"/>
      <c r="O125" s="1141"/>
    </row>
    <row r="126" spans="1:15" s="796" customFormat="1" ht="37.5" customHeight="1">
      <c r="A126" s="793"/>
      <c r="B126" s="793"/>
      <c r="C126" s="793"/>
      <c r="D126" s="793"/>
      <c r="E126" s="794"/>
      <c r="F126" s="794"/>
      <c r="G126" s="795"/>
      <c r="H126" s="117" t="s">
        <v>450</v>
      </c>
      <c r="I126" s="797">
        <f>COUNTIF(B9:B102,"TRUE")</f>
        <v>0</v>
      </c>
      <c r="J126" s="1294" t="str">
        <f>IF(I126=0,"No Issues - No NA credits claimed",CONCATENATE("No Issues - ",I126," Implementation Costs not needed"))</f>
        <v>No Issues - No NA credits claimed</v>
      </c>
      <c r="K126" s="1294"/>
      <c r="L126" s="976"/>
      <c r="M126" s="1141"/>
      <c r="N126" s="1141"/>
      <c r="O126" s="1141"/>
    </row>
    <row r="127" spans="1:15" s="796" customFormat="1" ht="37.5" customHeight="1">
      <c r="A127" s="793"/>
      <c r="B127" s="793"/>
      <c r="C127" s="793"/>
      <c r="D127" s="793"/>
      <c r="E127" s="794"/>
      <c r="F127" s="794"/>
      <c r="G127" s="795"/>
      <c r="H127" s="117" t="s">
        <v>451</v>
      </c>
      <c r="I127" s="797">
        <f>COUNTIF(P9:P102,"Yes")</f>
        <v>0</v>
      </c>
      <c r="J127" s="1179" t="str">
        <f>IF(I127&lt;I125,CONCATENATE(I125-I127," documentation cost missing"),IF(I127=0,"No credits entered",IF(COUNTIF(M9:M102,0)&gt;0,CONCATENATE(COUNTIF(M9:M102,0),"$0 cost(s) provided. Enter a value or explain the $0 value in the Comments column."),"No Issues")))</f>
        <v>1 documentation cost missing</v>
      </c>
      <c r="K127" s="1179"/>
      <c r="L127" s="976"/>
      <c r="M127" s="1141"/>
      <c r="N127" s="1141"/>
      <c r="O127" s="1141"/>
    </row>
    <row r="128" spans="1:15" ht="37.5" customHeight="1">
      <c r="H128" s="117" t="s">
        <v>452</v>
      </c>
      <c r="I128" s="797">
        <f>COUNTIF(Q9:Q102,"Yes")</f>
        <v>0</v>
      </c>
      <c r="J128" s="1179" t="str">
        <f>IF(I128&lt;(I125-I126),CONCATENATE(I125-I128-I126," implementation cost missing"),IF(I128=0,"No credits entered",IF(COUNTIF(N9:N102,0)&gt;ROUND(0.25*I125,0),CONCATENATE(COUNTIF(N9:N102,0)," $0 cost(s) provided.  Enter a value or explain the $0 value in the Comments column."),"No Issues")))</f>
        <v>1 implementation cost missing</v>
      </c>
      <c r="K128" s="1179"/>
      <c r="L128" s="976"/>
    </row>
    <row r="129" spans="8:12" ht="37.5" customHeight="1">
      <c r="H129" s="117" t="s">
        <v>453</v>
      </c>
      <c r="I129" s="797" t="str">
        <f>IF(J114&gt;0,"Yes","No")</f>
        <v>No</v>
      </c>
      <c r="J129" s="1179" t="str">
        <f>IF(I129="No","Total Design Cost missing","No Issues")</f>
        <v>Total Design Cost missing</v>
      </c>
      <c r="K129" s="1179"/>
      <c r="L129" s="976"/>
    </row>
    <row r="130" spans="8:12" ht="37.5" customHeight="1">
      <c r="H130" s="117" t="s">
        <v>454</v>
      </c>
      <c r="I130" s="797" t="str">
        <f>IF(J115&gt;0,"Yes","No")</f>
        <v>No</v>
      </c>
      <c r="J130" s="1179" t="str">
        <f>IF(I130="No","Total Construction Cost missing","No Issues")</f>
        <v>Total Construction Cost missing</v>
      </c>
      <c r="K130" s="1179"/>
      <c r="L130" s="976"/>
    </row>
    <row r="131" spans="8:12" ht="37.5" customHeight="1">
      <c r="H131" s="117" t="s">
        <v>455</v>
      </c>
      <c r="I131" s="797" t="str">
        <f>IF(J117&gt;0,"Yes","No")</f>
        <v>No</v>
      </c>
      <c r="J131" s="1179" t="str">
        <f>IF(I131="No","Green Star Certification Fees missing","No Issues")</f>
        <v>Green Star Certification Fees missing</v>
      </c>
      <c r="K131" s="1179"/>
      <c r="L131" s="976"/>
    </row>
    <row r="132" spans="8:12" ht="37.5" customHeight="1">
      <c r="H132" s="117" t="s">
        <v>112</v>
      </c>
      <c r="I132" s="845">
        <f>J121</f>
        <v>0</v>
      </c>
      <c r="J132" s="1179" t="str">
        <f>IF(I132=0,"Additional Costs have not been entered yet",IF(I132&gt;=0.1,"Implementing Green Star cost is unusually high. Check that only additional costs incurred as a result of pursuing a rating were included in the Green Star Certification Fees.","No Issues"))</f>
        <v>Additional Costs have not been entered yet</v>
      </c>
      <c r="K132" s="1179"/>
      <c r="L132" s="976"/>
    </row>
    <row r="133" spans="8:12">
      <c r="K133" s="976"/>
      <c r="L133" s="976"/>
    </row>
    <row r="134" spans="8:12">
      <c r="K134" s="976"/>
      <c r="L134" s="976"/>
    </row>
    <row r="135" spans="8:12">
      <c r="K135" s="976"/>
      <c r="L135" s="976"/>
    </row>
    <row r="136" spans="8:12">
      <c r="K136" s="976"/>
      <c r="L136" s="976"/>
    </row>
    <row r="137" spans="8:12">
      <c r="K137" s="976"/>
      <c r="L137" s="976"/>
    </row>
    <row r="138" spans="8:12">
      <c r="K138" s="976"/>
      <c r="L138" s="976"/>
    </row>
    <row r="139" spans="8:12">
      <c r="K139" s="976"/>
      <c r="L139" s="976"/>
    </row>
    <row r="140" spans="8:12">
      <c r="K140" s="976"/>
      <c r="L140" s="976"/>
    </row>
    <row r="141" spans="8:12">
      <c r="K141" s="976"/>
      <c r="L141" s="976"/>
    </row>
    <row r="142" spans="8:12">
      <c r="K142" s="976"/>
      <c r="L142" s="976"/>
    </row>
    <row r="143" spans="8:12">
      <c r="K143" s="976"/>
      <c r="L143" s="976"/>
    </row>
    <row r="144" spans="8:12">
      <c r="K144" s="976"/>
      <c r="L144" s="976"/>
    </row>
    <row r="145" spans="11:12">
      <c r="K145" s="976"/>
      <c r="L145" s="976"/>
    </row>
    <row r="146" spans="11:12">
      <c r="K146" s="976"/>
      <c r="L146" s="976"/>
    </row>
    <row r="147" spans="11:12">
      <c r="K147" s="976"/>
      <c r="L147" s="976"/>
    </row>
    <row r="148" spans="11:12">
      <c r="K148" s="976"/>
      <c r="L148" s="976"/>
    </row>
    <row r="149" spans="11:12">
      <c r="K149" s="976"/>
      <c r="L149" s="976"/>
    </row>
    <row r="150" spans="11:12">
      <c r="K150" s="976"/>
      <c r="L150" s="976"/>
    </row>
    <row r="151" spans="11:12">
      <c r="K151" s="976"/>
      <c r="L151" s="976"/>
    </row>
    <row r="152" spans="11:12">
      <c r="K152" s="976"/>
      <c r="L152" s="976"/>
    </row>
    <row r="153" spans="11:12">
      <c r="K153" s="976"/>
      <c r="L153" s="976"/>
    </row>
    <row r="154" spans="11:12">
      <c r="K154" s="976"/>
      <c r="L154" s="976"/>
    </row>
    <row r="155" spans="11:12">
      <c r="K155" s="976"/>
      <c r="L155" s="976"/>
    </row>
    <row r="156" spans="11:12">
      <c r="K156" s="976"/>
      <c r="L156" s="976"/>
    </row>
    <row r="157" spans="11:12">
      <c r="K157" s="976"/>
      <c r="L157" s="976"/>
    </row>
    <row r="158" spans="11:12">
      <c r="K158" s="976"/>
      <c r="L158" s="976"/>
    </row>
    <row r="218" spans="1:41" s="604" customFormat="1">
      <c r="A218" s="718"/>
      <c r="B218" s="604" t="b">
        <v>0</v>
      </c>
      <c r="E218" s="610"/>
      <c r="F218" s="610"/>
      <c r="G218" s="665"/>
      <c r="H218" s="610"/>
      <c r="I218" s="665"/>
      <c r="J218" s="989"/>
      <c r="K218" s="990"/>
      <c r="L218" s="990"/>
      <c r="M218" s="990"/>
      <c r="N218" s="990"/>
      <c r="O218" s="990"/>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row>
    <row r="219" spans="1:41" s="604" customFormat="1">
      <c r="A219" s="718"/>
      <c r="B219" s="604" t="b">
        <v>1</v>
      </c>
      <c r="E219" s="610"/>
      <c r="F219" s="610"/>
      <c r="G219" s="665"/>
      <c r="H219" s="610"/>
      <c r="I219" s="665"/>
      <c r="J219" s="989"/>
      <c r="K219" s="990"/>
      <c r="L219" s="990"/>
      <c r="M219" s="990"/>
      <c r="N219" s="990"/>
      <c r="O219" s="990"/>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row>
  </sheetData>
  <sheetProtection algorithmName="SHA-512" hashValue="PUhqSA/HOpqjl+zg1GQHJ2JtjEMB0um43GClLLIyVNWbuTq2F+oCNESXzzcSySjocA5nesRWSLXITr8q9mHHJA==" saltValue="jzshFAwjexpcF8NIIV2y9Q==" spinCount="100000" sheet="1" objects="1" scenarios="1"/>
  <dataConsolidate/>
  <mergeCells count="63">
    <mergeCell ref="J131:K131"/>
    <mergeCell ref="J132:K132"/>
    <mergeCell ref="J125:K125"/>
    <mergeCell ref="J126:K126"/>
    <mergeCell ref="J127:K127"/>
    <mergeCell ref="J128:K128"/>
    <mergeCell ref="J129:K129"/>
    <mergeCell ref="J130:K130"/>
    <mergeCell ref="J124:K124"/>
    <mergeCell ref="E78:E80"/>
    <mergeCell ref="F78:F80"/>
    <mergeCell ref="E83:H83"/>
    <mergeCell ref="E84:E87"/>
    <mergeCell ref="F84:F87"/>
    <mergeCell ref="K84:L86"/>
    <mergeCell ref="E90:H90"/>
    <mergeCell ref="E91:E92"/>
    <mergeCell ref="F91:F92"/>
    <mergeCell ref="E97:H97"/>
    <mergeCell ref="I98:I102"/>
    <mergeCell ref="E65:E69"/>
    <mergeCell ref="F65:F69"/>
    <mergeCell ref="E73:E74"/>
    <mergeCell ref="F73:F74"/>
    <mergeCell ref="E75:E76"/>
    <mergeCell ref="F75:F76"/>
    <mergeCell ref="E43:E44"/>
    <mergeCell ref="F43:F44"/>
    <mergeCell ref="E45:E46"/>
    <mergeCell ref="F45:F46"/>
    <mergeCell ref="E50:H50"/>
    <mergeCell ref="E33:E36"/>
    <mergeCell ref="F33:F36"/>
    <mergeCell ref="E37:E39"/>
    <mergeCell ref="F37:F39"/>
    <mergeCell ref="E40:E42"/>
    <mergeCell ref="F40:F42"/>
    <mergeCell ref="E22:E23"/>
    <mergeCell ref="F22:F23"/>
    <mergeCell ref="E26:H26"/>
    <mergeCell ref="E30:E32"/>
    <mergeCell ref="F30:F32"/>
    <mergeCell ref="E1:H1"/>
    <mergeCell ref="F2:G2"/>
    <mergeCell ref="F3:G3"/>
    <mergeCell ref="F4:G4"/>
    <mergeCell ref="F5:G5"/>
    <mergeCell ref="M6:N6"/>
    <mergeCell ref="F52:F53"/>
    <mergeCell ref="E51:E53"/>
    <mergeCell ref="F57:F61"/>
    <mergeCell ref="E57:E61"/>
    <mergeCell ref="E27:E29"/>
    <mergeCell ref="F27:F29"/>
    <mergeCell ref="E8:H8"/>
    <mergeCell ref="E10:E12"/>
    <mergeCell ref="F10:F12"/>
    <mergeCell ref="E14:E16"/>
    <mergeCell ref="F14:F16"/>
    <mergeCell ref="E17:E18"/>
    <mergeCell ref="F17:F18"/>
    <mergeCell ref="E19:E21"/>
    <mergeCell ref="F19:F21"/>
  </mergeCells>
  <conditionalFormatting sqref="G25:I25">
    <cfRule type="expression" dxfId="229" priority="51">
      <formula>#REF!=0</formula>
    </cfRule>
  </conditionalFormatting>
  <conditionalFormatting sqref="F54">
    <cfRule type="expression" dxfId="228" priority="50">
      <formula>#REF!=0</formula>
    </cfRule>
  </conditionalFormatting>
  <conditionalFormatting sqref="J22:J23">
    <cfRule type="expression" dxfId="227" priority="49">
      <formula>$F$22=$H$22</formula>
    </cfRule>
  </conditionalFormatting>
  <conditionalFormatting sqref="J20:J21">
    <cfRule type="expression" dxfId="226" priority="48">
      <formula>$F$19=$H$20</formula>
    </cfRule>
  </conditionalFormatting>
  <conditionalFormatting sqref="J84">
    <cfRule type="expression" dxfId="225" priority="47">
      <formula>$F$51=#REF!</formula>
    </cfRule>
  </conditionalFormatting>
  <conditionalFormatting sqref="F25">
    <cfRule type="expression" dxfId="224" priority="46">
      <formula>#REF!=0</formula>
    </cfRule>
  </conditionalFormatting>
  <conditionalFormatting sqref="G45:J45">
    <cfRule type="expression" dxfId="223" priority="45">
      <formula>$F$45=$H$46</formula>
    </cfRule>
  </conditionalFormatting>
  <conditionalFormatting sqref="G46:J46">
    <cfRule type="expression" dxfId="222" priority="44">
      <formula>$F$45=$H$45</formula>
    </cfRule>
  </conditionalFormatting>
  <conditionalFormatting sqref="G36:J36">
    <cfRule type="expression" dxfId="221" priority="43">
      <formula>$B$36=TRUE</formula>
    </cfRule>
  </conditionalFormatting>
  <conditionalFormatting sqref="G38:J38">
    <cfRule type="expression" dxfId="220" priority="42">
      <formula>$B$38=TRUE</formula>
    </cfRule>
  </conditionalFormatting>
  <conditionalFormatting sqref="G39:J39">
    <cfRule type="expression" dxfId="219" priority="41">
      <formula>$B$39=TRUE</formula>
    </cfRule>
  </conditionalFormatting>
  <conditionalFormatting sqref="G44:J44">
    <cfRule type="expression" dxfId="218" priority="40">
      <formula>$B$44=TRUE</formula>
    </cfRule>
  </conditionalFormatting>
  <conditionalFormatting sqref="E92:J92 E91:I91">
    <cfRule type="expression" dxfId="217" priority="39">
      <formula>$B$92=TRUE</formula>
    </cfRule>
  </conditionalFormatting>
  <conditionalFormatting sqref="E93:J93">
    <cfRule type="expression" dxfId="216" priority="38">
      <formula>$B$93=TRUE</formula>
    </cfRule>
  </conditionalFormatting>
  <conditionalFormatting sqref="E94:J94">
    <cfRule type="expression" dxfId="215" priority="37">
      <formula>$B$94=TRUE</formula>
    </cfRule>
  </conditionalFormatting>
  <conditionalFormatting sqref="I67">
    <cfRule type="expression" dxfId="214" priority="36">
      <formula>$B$67=TRUE</formula>
    </cfRule>
  </conditionalFormatting>
  <conditionalFormatting sqref="G68:I68">
    <cfRule type="expression" dxfId="213" priority="35">
      <formula>$B$68=TRUE</formula>
    </cfRule>
  </conditionalFormatting>
  <conditionalFormatting sqref="G76:J76">
    <cfRule type="expression" dxfId="212" priority="34">
      <formula>$B$76=TRUE</formula>
    </cfRule>
  </conditionalFormatting>
  <conditionalFormatting sqref="G75:J75">
    <cfRule type="expression" dxfId="211" priority="33">
      <formula>$B$75=TRUE</formula>
    </cfRule>
  </conditionalFormatting>
  <conditionalFormatting sqref="G86:J86 G87 I87:J87">
    <cfRule type="expression" dxfId="210" priority="32">
      <formula>$B$86=TRUE</formula>
    </cfRule>
  </conditionalFormatting>
  <conditionalFormatting sqref="G27:J27">
    <cfRule type="expression" dxfId="209" priority="31">
      <formula>$B$27=TRUE</formula>
    </cfRule>
  </conditionalFormatting>
  <conditionalFormatting sqref="G28:J28">
    <cfRule type="expression" dxfId="208" priority="30">
      <formula>$B$28=TRUE</formula>
    </cfRule>
  </conditionalFormatting>
  <conditionalFormatting sqref="G29:J29">
    <cfRule type="expression" dxfId="207" priority="29">
      <formula>$B$29=TRUE</formula>
    </cfRule>
  </conditionalFormatting>
  <conditionalFormatting sqref="G30:J30">
    <cfRule type="expression" dxfId="206" priority="28">
      <formula>$B$30=TRUE</formula>
    </cfRule>
  </conditionalFormatting>
  <conditionalFormatting sqref="G31:J31">
    <cfRule type="expression" dxfId="205" priority="27">
      <formula>$B$31=TRUE</formula>
    </cfRule>
  </conditionalFormatting>
  <conditionalFormatting sqref="G32:J32">
    <cfRule type="expression" dxfId="204" priority="26">
      <formula>$B$32=TRUE</formula>
    </cfRule>
  </conditionalFormatting>
  <conditionalFormatting sqref="G34:J34">
    <cfRule type="expression" dxfId="203" priority="25">
      <formula>$B$34=TRUE</formula>
    </cfRule>
  </conditionalFormatting>
  <conditionalFormatting sqref="G35:J35">
    <cfRule type="expression" dxfId="202" priority="24">
      <formula>$B$35=TRUE</formula>
    </cfRule>
  </conditionalFormatting>
  <conditionalFormatting sqref="G40:J40">
    <cfRule type="expression" dxfId="201" priority="23">
      <formula>$B$40=TRUE</formula>
    </cfRule>
  </conditionalFormatting>
  <conditionalFormatting sqref="G41:J41">
    <cfRule type="expression" dxfId="200" priority="22">
      <formula>$B$41=TRUE</formula>
    </cfRule>
  </conditionalFormatting>
  <conditionalFormatting sqref="G42:J42">
    <cfRule type="expression" dxfId="199" priority="21">
      <formula>$B$42=TRUE</formula>
    </cfRule>
  </conditionalFormatting>
  <conditionalFormatting sqref="G23:I23">
    <cfRule type="expression" dxfId="198" priority="20">
      <formula>$F$22=$H$22</formula>
    </cfRule>
  </conditionalFormatting>
  <conditionalFormatting sqref="G22:I22">
    <cfRule type="expression" dxfId="197" priority="19">
      <formula>$F$22=$H$23</formula>
    </cfRule>
  </conditionalFormatting>
  <conditionalFormatting sqref="H87">
    <cfRule type="expression" dxfId="196" priority="18">
      <formula>$B$85=TRUE</formula>
    </cfRule>
  </conditionalFormatting>
  <conditionalFormatting sqref="I59">
    <cfRule type="expression" dxfId="195" priority="14">
      <formula>$B$59=TRUE</formula>
    </cfRule>
  </conditionalFormatting>
  <conditionalFormatting sqref="G59:H59">
    <cfRule type="expression" dxfId="194" priority="13">
      <formula>$B$59=TRUE</formula>
    </cfRule>
  </conditionalFormatting>
  <conditionalFormatting sqref="G67:I67">
    <cfRule type="expression" dxfId="193" priority="52">
      <formula>$B$67=TRUE</formula>
    </cfRule>
  </conditionalFormatting>
  <conditionalFormatting sqref="G66:I66">
    <cfRule type="expression" dxfId="192" priority="53">
      <formula>$B$66=TRUE</formula>
    </cfRule>
  </conditionalFormatting>
  <conditionalFormatting sqref="G79 I79:J79 G78:H78">
    <cfRule type="expression" dxfId="191" priority="54">
      <formula>$F$78=$M$80</formula>
    </cfRule>
  </conditionalFormatting>
  <conditionalFormatting sqref="G58:I58 G60:I61 G59">
    <cfRule type="expression" dxfId="190" priority="55">
      <formula>$F$51=$Z$51</formula>
    </cfRule>
  </conditionalFormatting>
  <conditionalFormatting sqref="G58:I58 G60:I61 G59">
    <cfRule type="expression" dxfId="189" priority="56">
      <formula>$F$51=#REF!</formula>
    </cfRule>
    <cfRule type="expression" dxfId="188" priority="57">
      <formula>$F$51=#REF!</formula>
    </cfRule>
    <cfRule type="expression" dxfId="187" priority="58">
      <formula>$F$51=#REF!</formula>
    </cfRule>
  </conditionalFormatting>
  <conditionalFormatting sqref="G65:I65">
    <cfRule type="expression" dxfId="186" priority="59">
      <formula>$F$65=$Z$66</formula>
    </cfRule>
  </conditionalFormatting>
  <conditionalFormatting sqref="E77:J77">
    <cfRule type="expression" dxfId="185" priority="60">
      <formula>$F$72=$Z$74</formula>
    </cfRule>
  </conditionalFormatting>
  <conditionalFormatting sqref="E73:J74">
    <cfRule type="expression" dxfId="184" priority="61">
      <formula>$F$72=$Z$75</formula>
    </cfRule>
  </conditionalFormatting>
  <conditionalFormatting sqref="G80:J80">
    <cfRule type="expression" dxfId="183" priority="62">
      <formula>$F$78=$Z$81</formula>
    </cfRule>
  </conditionalFormatting>
  <conditionalFormatting sqref="G66:I69">
    <cfRule type="expression" dxfId="182" priority="63">
      <formula>$F$65=$Z$65</formula>
    </cfRule>
  </conditionalFormatting>
  <conditionalFormatting sqref="F2:G5">
    <cfRule type="containsText" dxfId="181" priority="9" operator="containsText" text="Please">
      <formula>NOT(ISERROR(SEARCH("Please",F2)))</formula>
    </cfRule>
  </conditionalFormatting>
  <conditionalFormatting sqref="M6:O6">
    <cfRule type="containsText" dxfId="180" priority="8" operator="containsText" text="Select">
      <formula>NOT(ISERROR(SEARCH("Select",M6)))</formula>
    </cfRule>
  </conditionalFormatting>
  <conditionalFormatting sqref="J124:K132">
    <cfRule type="containsText" dxfId="179" priority="6" operator="containsText" text="No Issues">
      <formula>NOT(ISERROR(SEARCH("No Issues",J124)))</formula>
    </cfRule>
    <cfRule type="containsText" dxfId="178" priority="7" operator="containsText" text="No Issues">
      <formula>NOT(ISERROR(SEARCH("No Issues",J124)))</formula>
    </cfRule>
  </conditionalFormatting>
  <conditionalFormatting sqref="G52:J52">
    <cfRule type="expression" dxfId="177" priority="3">
      <formula>$F$52=$H$53</formula>
    </cfRule>
  </conditionalFormatting>
  <conditionalFormatting sqref="G53:J53">
    <cfRule type="expression" dxfId="176" priority="2">
      <formula>$F$52=$H52</formula>
    </cfRule>
  </conditionalFormatting>
  <conditionalFormatting sqref="G57:J57">
    <cfRule type="expression" dxfId="175" priority="1">
      <formula>$F$57=$H$57</formula>
    </cfRule>
  </conditionalFormatting>
  <dataValidations count="23">
    <dataValidation type="list" allowBlank="1" showInputMessage="1" showErrorMessage="1" sqref="I124" xr:uid="{5C3CBF82-7D08-44EB-B2FA-9B7484762113}">
      <formula1>"Please select, Yes, No"</formula1>
    </dataValidation>
    <dataValidation type="decimal" operator="greaterThanOrEqual" allowBlank="1" showInputMessage="1" showErrorMessage="1" sqref="J117 J114:J115" xr:uid="{EB961568-4536-492F-8F31-C5936128062F}">
      <formula1>0</formula1>
    </dataValidation>
    <dataValidation type="list" allowBlank="1" showInputMessage="1" showErrorMessage="1" sqref="M6:N6" xr:uid="{A8575DCE-BB46-4263-9E1B-3E1C46A065BB}">
      <formula1>$S$8:$S$10</formula1>
    </dataValidation>
    <dataValidation type="list" allowBlank="1" showInputMessage="1" showErrorMessage="1" sqref="O6" xr:uid="{BB735D97-78F5-4199-A790-DF1BD9041983}">
      <formula1>$T$8:$T$10</formula1>
    </dataValidation>
    <dataValidation type="list" allowBlank="1" showInputMessage="1" showErrorMessage="1" promptTitle="Green Star Rating" prompt="Please select the project's targeted rating" sqref="F4:G4" xr:uid="{4022C205-0A48-4901-8367-1A6DF8B97382}">
      <formula1>$S$4:$S$7</formula1>
    </dataValidation>
    <dataValidation allowBlank="1" showInputMessage="1" showErrorMessage="1" promptTitle="Project Number" prompt="Please enter the Green Star number " sqref="F2:G2" xr:uid="{767045A0-B547-46E5-B966-1C1CB46C759A}"/>
    <dataValidation allowBlank="1" showInputMessage="1" showErrorMessage="1" promptTitle="Project Name" prompt="Please enter the project name" sqref="F3:G3" xr:uid="{926CC909-74D2-4FD3-830A-8F883B8219BC}"/>
    <dataValidation type="list" allowBlank="1" showInputMessage="1" showErrorMessage="1" sqref="J10 J17 J19 J33 J37 J91 J78 J51" xr:uid="{D2132060-50E8-4C34-8F88-E74CF7E27784}">
      <formula1>$AJ$7:$AJ$8</formula1>
    </dataValidation>
    <dataValidation type="list" allowBlank="1" showInputMessage="1" showErrorMessage="1" promptTitle="Selection required" prompt="Please indicate the project's desired pathway." sqref="H79" xr:uid="{38D7FC0B-33B3-4EA2-A3DA-41E6BB9E9944}">
      <formula1>"Percentage Benchmark,Fixed Benchmark"</formula1>
    </dataValidation>
    <dataValidation allowBlank="1" showInputMessage="1" showErrorMessage="1" promptTitle="Selection Required" prompt="For the Materials category, either the 'Life Cycle Assessment' OR 'Sustainable Products' pathway must be selected." sqref="F72" xr:uid="{0A359733-1EAC-47FA-9E13-9E91863BA09A}"/>
    <dataValidation type="list" allowBlank="1" showInputMessage="1" showErrorMessage="1" promptTitle="Selection Required" prompt="Please indicate the project's desired pathway." sqref="F65:F69" xr:uid="{6577D55A-E604-431E-8F3A-3272BEA8F13C}">
      <formula1>$Z$65:$Z$66</formula1>
    </dataValidation>
    <dataValidation type="list" allowBlank="1" showInputMessage="1" showErrorMessage="1" promptTitle="Selection required " prompt="Please indicate the project's desired pathway." sqref="H58" xr:uid="{D3C66B87-8235-43ED-A021-9EF46C359D23}">
      <formula1>$Z$56:$Z$58</formula1>
    </dataValidation>
    <dataValidation type="list" allowBlank="1" showInputMessage="1" showErrorMessage="1" sqref="F63" xr:uid="{02E37744-A92D-4388-8E47-BE3BBB13BC7A}">
      <formula1>$Z$56:$Z$56</formula1>
    </dataValidation>
    <dataValidation type="list" allowBlank="1" showInputMessage="1" showErrorMessage="1" promptTitle="Selection Required" prompt="Please indicate the project's desired pathway." sqref="F22:F23" xr:uid="{B869B74E-9BB4-4191-B294-2F1B190D0A2E}">
      <formula1>$H$22:$H$23</formula1>
    </dataValidation>
    <dataValidation type="list" allowBlank="1" showInputMessage="1" showErrorMessage="1" sqref="E22:E23" xr:uid="{3CAC0AE9-F431-4CB2-8ECC-B2F96DB15F78}">
      <formula1>$H$22:$H$23</formula1>
    </dataValidation>
    <dataValidation type="list" allowBlank="1" showInputMessage="1" showErrorMessage="1" promptTitle="Selection Required" prompt="Please indicate the project's desired pathway." sqref="F45:F46" xr:uid="{9E9652A9-5667-4A3A-B6A1-19DD3B0969B5}">
      <formula1>$H$45:$H$46</formula1>
    </dataValidation>
    <dataValidation type="decimal" operator="lessThanOrEqual" allowBlank="1" showInputMessage="1" showErrorMessage="1" sqref="J98:J102" xr:uid="{A86E55A0-06A9-43D8-8A26-C19BF622B975}">
      <formula1>10</formula1>
    </dataValidation>
    <dataValidation type="decimal" allowBlank="1" showInputMessage="1" showErrorMessage="1" sqref="J18 J9 J20:J23 J11:J16" xr:uid="{19B13E5C-FB48-4CCC-85CD-442ECE821DC5}">
      <formula1>0</formula1>
      <formula2>I9</formula2>
    </dataValidation>
    <dataValidation type="decimal" operator="lessThanOrEqual" allowBlank="1" showInputMessage="1" showErrorMessage="1" sqref="J27:J32 J34:J36 J103 J92:J94 J38:J47 J58:J61 J65:J69 J84:J87 J79:J80 J73:J77" xr:uid="{3A929F4F-4EFA-477A-AD4D-8EB13ACB907A}">
      <formula1>I27</formula1>
    </dataValidation>
    <dataValidation allowBlank="1" showErrorMessage="1" promptTitle="Selection Required" prompt="Please indicate the project's desired pathway." sqref="F78:F80 F51" xr:uid="{C9F36ED9-FDEC-445B-B2FF-62F139114C8E}"/>
    <dataValidation type="list" allowBlank="1" showInputMessage="1" showErrorMessage="1" sqref="F71 F55" xr:uid="{50A260DD-CE66-4AF3-BB8B-516EEC129C0D}">
      <formula1>#REF!</formula1>
    </dataValidation>
    <dataValidation type="list" allowBlank="1" showErrorMessage="1" promptTitle="Selection Required" prompt="Please indicate the project's desired pathway." sqref="F52:F53" xr:uid="{AFB265F9-6E07-487B-A471-5693C63448B0}">
      <formula1>$H$52:$H$53</formula1>
    </dataValidation>
    <dataValidation type="list" allowBlank="1" showErrorMessage="1" promptTitle="Selection Required" prompt="Please indicate the project's desired pathway." sqref="F57" xr:uid="{03848E2E-51E9-4EB0-9463-808E841382C6}">
      <formula1>$W$58:$W$59</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locked="0" defaultSize="0" autoFill="0" autoLine="0" autoPict="0">
                <anchor moveWithCells="1">
                  <from>
                    <xdr:col>3</xdr:col>
                    <xdr:colOff>69850</xdr:colOff>
                    <xdr:row>35</xdr:row>
                    <xdr:rowOff>171450</xdr:rowOff>
                  </from>
                  <to>
                    <xdr:col>4</xdr:col>
                    <xdr:colOff>38100</xdr:colOff>
                    <xdr:row>35</xdr:row>
                    <xdr:rowOff>381000</xdr:rowOff>
                  </to>
                </anchor>
              </controlPr>
            </control>
          </mc:Choice>
        </mc:AlternateContent>
        <mc:AlternateContent xmlns:mc="http://schemas.openxmlformats.org/markup-compatibility/2006">
          <mc:Choice Requires="x14">
            <control shapeId="112642" r:id="rId5" name="Check Box 2">
              <controlPr locked="0" defaultSize="0" autoFill="0" autoLine="0" autoPict="0">
                <anchor moveWithCells="1">
                  <from>
                    <xdr:col>3</xdr:col>
                    <xdr:colOff>69850</xdr:colOff>
                    <xdr:row>37</xdr:row>
                    <xdr:rowOff>171450</xdr:rowOff>
                  </from>
                  <to>
                    <xdr:col>4</xdr:col>
                    <xdr:colOff>38100</xdr:colOff>
                    <xdr:row>37</xdr:row>
                    <xdr:rowOff>381000</xdr:rowOff>
                  </to>
                </anchor>
              </controlPr>
            </control>
          </mc:Choice>
        </mc:AlternateContent>
        <mc:AlternateContent xmlns:mc="http://schemas.openxmlformats.org/markup-compatibility/2006">
          <mc:Choice Requires="x14">
            <control shapeId="112643" r:id="rId6" name="Check Box 3">
              <controlPr locked="0" defaultSize="0" autoFill="0" autoLine="0" autoPict="0">
                <anchor moveWithCells="1">
                  <from>
                    <xdr:col>3</xdr:col>
                    <xdr:colOff>69850</xdr:colOff>
                    <xdr:row>38</xdr:row>
                    <xdr:rowOff>171450</xdr:rowOff>
                  </from>
                  <to>
                    <xdr:col>4</xdr:col>
                    <xdr:colOff>12700</xdr:colOff>
                    <xdr:row>38</xdr:row>
                    <xdr:rowOff>381000</xdr:rowOff>
                  </to>
                </anchor>
              </controlPr>
            </control>
          </mc:Choice>
        </mc:AlternateContent>
        <mc:AlternateContent xmlns:mc="http://schemas.openxmlformats.org/markup-compatibility/2006">
          <mc:Choice Requires="x14">
            <control shapeId="112644" r:id="rId7" name="Check Box 4">
              <controlPr locked="0" defaultSize="0" autoFill="0" autoLine="0" autoPict="0">
                <anchor moveWithCells="1">
                  <from>
                    <xdr:col>3</xdr:col>
                    <xdr:colOff>38100</xdr:colOff>
                    <xdr:row>43</xdr:row>
                    <xdr:rowOff>133350</xdr:rowOff>
                  </from>
                  <to>
                    <xdr:col>4</xdr:col>
                    <xdr:colOff>12700</xdr:colOff>
                    <xdr:row>43</xdr:row>
                    <xdr:rowOff>342900</xdr:rowOff>
                  </to>
                </anchor>
              </controlPr>
            </control>
          </mc:Choice>
        </mc:AlternateContent>
        <mc:AlternateContent xmlns:mc="http://schemas.openxmlformats.org/markup-compatibility/2006">
          <mc:Choice Requires="x14">
            <control shapeId="112645" r:id="rId8" name="Check Box 5">
              <controlPr locked="0" defaultSize="0" autoFill="0" autoLine="0" autoPict="0">
                <anchor moveWithCells="1">
                  <from>
                    <xdr:col>3</xdr:col>
                    <xdr:colOff>69850</xdr:colOff>
                    <xdr:row>74</xdr:row>
                    <xdr:rowOff>171450</xdr:rowOff>
                  </from>
                  <to>
                    <xdr:col>4</xdr:col>
                    <xdr:colOff>31750</xdr:colOff>
                    <xdr:row>74</xdr:row>
                    <xdr:rowOff>381000</xdr:rowOff>
                  </to>
                </anchor>
              </controlPr>
            </control>
          </mc:Choice>
        </mc:AlternateContent>
        <mc:AlternateContent xmlns:mc="http://schemas.openxmlformats.org/markup-compatibility/2006">
          <mc:Choice Requires="x14">
            <control shapeId="112646" r:id="rId9" name="Check Box 6">
              <controlPr locked="0" defaultSize="0" autoFill="0" autoLine="0" autoPict="0">
                <anchor moveWithCells="1">
                  <from>
                    <xdr:col>3</xdr:col>
                    <xdr:colOff>69850</xdr:colOff>
                    <xdr:row>92</xdr:row>
                    <xdr:rowOff>171450</xdr:rowOff>
                  </from>
                  <to>
                    <xdr:col>4</xdr:col>
                    <xdr:colOff>31750</xdr:colOff>
                    <xdr:row>92</xdr:row>
                    <xdr:rowOff>381000</xdr:rowOff>
                  </to>
                </anchor>
              </controlPr>
            </control>
          </mc:Choice>
        </mc:AlternateContent>
        <mc:AlternateContent xmlns:mc="http://schemas.openxmlformats.org/markup-compatibility/2006">
          <mc:Choice Requires="x14">
            <control shapeId="112647" r:id="rId10" name="Check Box 7">
              <controlPr locked="0" defaultSize="0" autoFill="0" autoLine="0" autoPict="0">
                <anchor moveWithCells="1">
                  <from>
                    <xdr:col>3</xdr:col>
                    <xdr:colOff>69850</xdr:colOff>
                    <xdr:row>91</xdr:row>
                    <xdr:rowOff>171450</xdr:rowOff>
                  </from>
                  <to>
                    <xdr:col>4</xdr:col>
                    <xdr:colOff>31750</xdr:colOff>
                    <xdr:row>91</xdr:row>
                    <xdr:rowOff>381000</xdr:rowOff>
                  </to>
                </anchor>
              </controlPr>
            </control>
          </mc:Choice>
        </mc:AlternateContent>
        <mc:AlternateContent xmlns:mc="http://schemas.openxmlformats.org/markup-compatibility/2006">
          <mc:Choice Requires="x14">
            <control shapeId="112648" r:id="rId11" name="Check Box 8">
              <controlPr locked="0" defaultSize="0" autoFill="0" autoLine="0" autoPict="0">
                <anchor moveWithCells="1">
                  <from>
                    <xdr:col>3</xdr:col>
                    <xdr:colOff>69850</xdr:colOff>
                    <xdr:row>93</xdr:row>
                    <xdr:rowOff>171450</xdr:rowOff>
                  </from>
                  <to>
                    <xdr:col>4</xdr:col>
                    <xdr:colOff>31750</xdr:colOff>
                    <xdr:row>93</xdr:row>
                    <xdr:rowOff>381000</xdr:rowOff>
                  </to>
                </anchor>
              </controlPr>
            </control>
          </mc:Choice>
        </mc:AlternateContent>
        <mc:AlternateContent xmlns:mc="http://schemas.openxmlformats.org/markup-compatibility/2006">
          <mc:Choice Requires="x14">
            <control shapeId="112649" r:id="rId12" name="Check Box 9">
              <controlPr locked="0" defaultSize="0" autoFill="0" autoLine="0" autoPict="0">
                <anchor moveWithCells="1">
                  <from>
                    <xdr:col>3</xdr:col>
                    <xdr:colOff>69850</xdr:colOff>
                    <xdr:row>65</xdr:row>
                    <xdr:rowOff>171450</xdr:rowOff>
                  </from>
                  <to>
                    <xdr:col>4</xdr:col>
                    <xdr:colOff>31750</xdr:colOff>
                    <xdr:row>65</xdr:row>
                    <xdr:rowOff>381000</xdr:rowOff>
                  </to>
                </anchor>
              </controlPr>
            </control>
          </mc:Choice>
        </mc:AlternateContent>
        <mc:AlternateContent xmlns:mc="http://schemas.openxmlformats.org/markup-compatibility/2006">
          <mc:Choice Requires="x14">
            <control shapeId="112650" r:id="rId13" name="Check Box 10">
              <controlPr locked="0" defaultSize="0" autoFill="0" autoLine="0" autoPict="0">
                <anchor moveWithCells="1">
                  <from>
                    <xdr:col>3</xdr:col>
                    <xdr:colOff>69850</xdr:colOff>
                    <xdr:row>66</xdr:row>
                    <xdr:rowOff>171450</xdr:rowOff>
                  </from>
                  <to>
                    <xdr:col>4</xdr:col>
                    <xdr:colOff>31750</xdr:colOff>
                    <xdr:row>66</xdr:row>
                    <xdr:rowOff>381000</xdr:rowOff>
                  </to>
                </anchor>
              </controlPr>
            </control>
          </mc:Choice>
        </mc:AlternateContent>
        <mc:AlternateContent xmlns:mc="http://schemas.openxmlformats.org/markup-compatibility/2006">
          <mc:Choice Requires="x14">
            <control shapeId="112651" r:id="rId14" name="Check Box 11">
              <controlPr locked="0" defaultSize="0" autoFill="0" autoLine="0" autoPict="0">
                <anchor moveWithCells="1">
                  <from>
                    <xdr:col>3</xdr:col>
                    <xdr:colOff>69850</xdr:colOff>
                    <xdr:row>67</xdr:row>
                    <xdr:rowOff>171450</xdr:rowOff>
                  </from>
                  <to>
                    <xdr:col>4</xdr:col>
                    <xdr:colOff>31750</xdr:colOff>
                    <xdr:row>67</xdr:row>
                    <xdr:rowOff>381000</xdr:rowOff>
                  </to>
                </anchor>
              </controlPr>
            </control>
          </mc:Choice>
        </mc:AlternateContent>
        <mc:AlternateContent xmlns:mc="http://schemas.openxmlformats.org/markup-compatibility/2006">
          <mc:Choice Requires="x14">
            <control shapeId="112652" r:id="rId15" name="Check Box 12">
              <controlPr locked="0" defaultSize="0" autoFill="0" autoLine="0" autoPict="0">
                <anchor moveWithCells="1">
                  <from>
                    <xdr:col>3</xdr:col>
                    <xdr:colOff>69850</xdr:colOff>
                    <xdr:row>75</xdr:row>
                    <xdr:rowOff>171450</xdr:rowOff>
                  </from>
                  <to>
                    <xdr:col>4</xdr:col>
                    <xdr:colOff>31750</xdr:colOff>
                    <xdr:row>75</xdr:row>
                    <xdr:rowOff>381000</xdr:rowOff>
                  </to>
                </anchor>
              </controlPr>
            </control>
          </mc:Choice>
        </mc:AlternateContent>
        <mc:AlternateContent xmlns:mc="http://schemas.openxmlformats.org/markup-compatibility/2006">
          <mc:Choice Requires="x14">
            <control shapeId="112653" r:id="rId16" name="Check Box 13">
              <controlPr locked="0" defaultSize="0" autoFill="0" autoLine="0" autoPict="0">
                <anchor moveWithCells="1">
                  <from>
                    <xdr:col>3</xdr:col>
                    <xdr:colOff>69850</xdr:colOff>
                    <xdr:row>58</xdr:row>
                    <xdr:rowOff>171450</xdr:rowOff>
                  </from>
                  <to>
                    <xdr:col>4</xdr:col>
                    <xdr:colOff>31750</xdr:colOff>
                    <xdr:row>58</xdr:row>
                    <xdr:rowOff>381000</xdr:rowOff>
                  </to>
                </anchor>
              </controlPr>
            </control>
          </mc:Choice>
        </mc:AlternateContent>
        <mc:AlternateContent xmlns:mc="http://schemas.openxmlformats.org/markup-compatibility/2006">
          <mc:Choice Requires="x14">
            <control shapeId="112654" r:id="rId17" name="Check Box 14">
              <controlPr locked="0" defaultSize="0" autoFill="0" autoLine="0" autoPict="0">
                <anchor moveWithCells="1">
                  <from>
                    <xdr:col>3</xdr:col>
                    <xdr:colOff>69850</xdr:colOff>
                    <xdr:row>26</xdr:row>
                    <xdr:rowOff>171450</xdr:rowOff>
                  </from>
                  <to>
                    <xdr:col>4</xdr:col>
                    <xdr:colOff>38100</xdr:colOff>
                    <xdr:row>26</xdr:row>
                    <xdr:rowOff>381000</xdr:rowOff>
                  </to>
                </anchor>
              </controlPr>
            </control>
          </mc:Choice>
        </mc:AlternateContent>
        <mc:AlternateContent xmlns:mc="http://schemas.openxmlformats.org/markup-compatibility/2006">
          <mc:Choice Requires="x14">
            <control shapeId="112655" r:id="rId18" name="Check Box 15">
              <controlPr locked="0" defaultSize="0" autoFill="0" autoLine="0" autoPict="0">
                <anchor moveWithCells="1">
                  <from>
                    <xdr:col>3</xdr:col>
                    <xdr:colOff>69850</xdr:colOff>
                    <xdr:row>27</xdr:row>
                    <xdr:rowOff>171450</xdr:rowOff>
                  </from>
                  <to>
                    <xdr:col>4</xdr:col>
                    <xdr:colOff>38100</xdr:colOff>
                    <xdr:row>27</xdr:row>
                    <xdr:rowOff>381000</xdr:rowOff>
                  </to>
                </anchor>
              </controlPr>
            </control>
          </mc:Choice>
        </mc:AlternateContent>
        <mc:AlternateContent xmlns:mc="http://schemas.openxmlformats.org/markup-compatibility/2006">
          <mc:Choice Requires="x14">
            <control shapeId="112656" r:id="rId19" name="Check Box 16">
              <controlPr locked="0" defaultSize="0" autoFill="0" autoLine="0" autoPict="0">
                <anchor moveWithCells="1">
                  <from>
                    <xdr:col>3</xdr:col>
                    <xdr:colOff>69850</xdr:colOff>
                    <xdr:row>28</xdr:row>
                    <xdr:rowOff>171450</xdr:rowOff>
                  </from>
                  <to>
                    <xdr:col>4</xdr:col>
                    <xdr:colOff>38100</xdr:colOff>
                    <xdr:row>28</xdr:row>
                    <xdr:rowOff>381000</xdr:rowOff>
                  </to>
                </anchor>
              </controlPr>
            </control>
          </mc:Choice>
        </mc:AlternateContent>
        <mc:AlternateContent xmlns:mc="http://schemas.openxmlformats.org/markup-compatibility/2006">
          <mc:Choice Requires="x14">
            <control shapeId="112657" r:id="rId20" name="Check Box 17">
              <controlPr locked="0" defaultSize="0" autoFill="0" autoLine="0" autoPict="0">
                <anchor moveWithCells="1">
                  <from>
                    <xdr:col>3</xdr:col>
                    <xdr:colOff>69850</xdr:colOff>
                    <xdr:row>29</xdr:row>
                    <xdr:rowOff>171450</xdr:rowOff>
                  </from>
                  <to>
                    <xdr:col>4</xdr:col>
                    <xdr:colOff>38100</xdr:colOff>
                    <xdr:row>29</xdr:row>
                    <xdr:rowOff>381000</xdr:rowOff>
                  </to>
                </anchor>
              </controlPr>
            </control>
          </mc:Choice>
        </mc:AlternateContent>
        <mc:AlternateContent xmlns:mc="http://schemas.openxmlformats.org/markup-compatibility/2006">
          <mc:Choice Requires="x14">
            <control shapeId="112658" r:id="rId21" name="Check Box 18">
              <controlPr locked="0" defaultSize="0" autoFill="0" autoLine="0" autoPict="0">
                <anchor moveWithCells="1">
                  <from>
                    <xdr:col>3</xdr:col>
                    <xdr:colOff>69850</xdr:colOff>
                    <xdr:row>30</xdr:row>
                    <xdr:rowOff>171450</xdr:rowOff>
                  </from>
                  <to>
                    <xdr:col>4</xdr:col>
                    <xdr:colOff>38100</xdr:colOff>
                    <xdr:row>30</xdr:row>
                    <xdr:rowOff>381000</xdr:rowOff>
                  </to>
                </anchor>
              </controlPr>
            </control>
          </mc:Choice>
        </mc:AlternateContent>
        <mc:AlternateContent xmlns:mc="http://schemas.openxmlformats.org/markup-compatibility/2006">
          <mc:Choice Requires="x14">
            <control shapeId="112659" r:id="rId22" name="Check Box 19">
              <controlPr locked="0" defaultSize="0" autoFill="0" autoLine="0" autoPict="0">
                <anchor moveWithCells="1">
                  <from>
                    <xdr:col>3</xdr:col>
                    <xdr:colOff>69850</xdr:colOff>
                    <xdr:row>31</xdr:row>
                    <xdr:rowOff>171450</xdr:rowOff>
                  </from>
                  <to>
                    <xdr:col>4</xdr:col>
                    <xdr:colOff>38100</xdr:colOff>
                    <xdr:row>31</xdr:row>
                    <xdr:rowOff>381000</xdr:rowOff>
                  </to>
                </anchor>
              </controlPr>
            </control>
          </mc:Choice>
        </mc:AlternateContent>
        <mc:AlternateContent xmlns:mc="http://schemas.openxmlformats.org/markup-compatibility/2006">
          <mc:Choice Requires="x14">
            <control shapeId="112660" r:id="rId23" name="Check Box 20">
              <controlPr locked="0" defaultSize="0" autoFill="0" autoLine="0" autoPict="0">
                <anchor moveWithCells="1">
                  <from>
                    <xdr:col>3</xdr:col>
                    <xdr:colOff>69850</xdr:colOff>
                    <xdr:row>33</xdr:row>
                    <xdr:rowOff>171450</xdr:rowOff>
                  </from>
                  <to>
                    <xdr:col>4</xdr:col>
                    <xdr:colOff>38100</xdr:colOff>
                    <xdr:row>33</xdr:row>
                    <xdr:rowOff>381000</xdr:rowOff>
                  </to>
                </anchor>
              </controlPr>
            </control>
          </mc:Choice>
        </mc:AlternateContent>
        <mc:AlternateContent xmlns:mc="http://schemas.openxmlformats.org/markup-compatibility/2006">
          <mc:Choice Requires="x14">
            <control shapeId="112661" r:id="rId24" name="Check Box 21">
              <controlPr locked="0" defaultSize="0" autoFill="0" autoLine="0" autoPict="0">
                <anchor moveWithCells="1">
                  <from>
                    <xdr:col>3</xdr:col>
                    <xdr:colOff>69850</xdr:colOff>
                    <xdr:row>34</xdr:row>
                    <xdr:rowOff>171450</xdr:rowOff>
                  </from>
                  <to>
                    <xdr:col>4</xdr:col>
                    <xdr:colOff>38100</xdr:colOff>
                    <xdr:row>34</xdr:row>
                    <xdr:rowOff>381000</xdr:rowOff>
                  </to>
                </anchor>
              </controlPr>
            </control>
          </mc:Choice>
        </mc:AlternateContent>
        <mc:AlternateContent xmlns:mc="http://schemas.openxmlformats.org/markup-compatibility/2006">
          <mc:Choice Requires="x14">
            <control shapeId="112662" r:id="rId25" name="Check Box 22">
              <controlPr locked="0" defaultSize="0" autoFill="0" autoLine="0" autoPict="0">
                <anchor moveWithCells="1">
                  <from>
                    <xdr:col>3</xdr:col>
                    <xdr:colOff>69850</xdr:colOff>
                    <xdr:row>39</xdr:row>
                    <xdr:rowOff>171450</xdr:rowOff>
                  </from>
                  <to>
                    <xdr:col>4</xdr:col>
                    <xdr:colOff>38100</xdr:colOff>
                    <xdr:row>39</xdr:row>
                    <xdr:rowOff>381000</xdr:rowOff>
                  </to>
                </anchor>
              </controlPr>
            </control>
          </mc:Choice>
        </mc:AlternateContent>
        <mc:AlternateContent xmlns:mc="http://schemas.openxmlformats.org/markup-compatibility/2006">
          <mc:Choice Requires="x14">
            <control shapeId="112663" r:id="rId26" name="Check Box 23">
              <controlPr locked="0" defaultSize="0" autoFill="0" autoLine="0" autoPict="0">
                <anchor moveWithCells="1">
                  <from>
                    <xdr:col>3</xdr:col>
                    <xdr:colOff>69850</xdr:colOff>
                    <xdr:row>40</xdr:row>
                    <xdr:rowOff>171450</xdr:rowOff>
                  </from>
                  <to>
                    <xdr:col>4</xdr:col>
                    <xdr:colOff>38100</xdr:colOff>
                    <xdr:row>40</xdr:row>
                    <xdr:rowOff>381000</xdr:rowOff>
                  </to>
                </anchor>
              </controlPr>
            </control>
          </mc:Choice>
        </mc:AlternateContent>
        <mc:AlternateContent xmlns:mc="http://schemas.openxmlformats.org/markup-compatibility/2006">
          <mc:Choice Requires="x14">
            <control shapeId="112664" r:id="rId27" name="Check Box 24">
              <controlPr locked="0" defaultSize="0" autoFill="0" autoLine="0" autoPict="0">
                <anchor moveWithCells="1">
                  <from>
                    <xdr:col>3</xdr:col>
                    <xdr:colOff>69850</xdr:colOff>
                    <xdr:row>41</xdr:row>
                    <xdr:rowOff>171450</xdr:rowOff>
                  </from>
                  <to>
                    <xdr:col>4</xdr:col>
                    <xdr:colOff>38100</xdr:colOff>
                    <xdr:row>41</xdr:row>
                    <xdr:rowOff>381000</xdr:rowOff>
                  </to>
                </anchor>
              </controlPr>
            </control>
          </mc:Choice>
        </mc:AlternateContent>
        <mc:AlternateContent xmlns:mc="http://schemas.openxmlformats.org/markup-compatibility/2006">
          <mc:Choice Requires="x14">
            <control shapeId="112665" r:id="rId28" name="Check Box 25">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6" r:id="rId29" name="Check Box 26">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7" r:id="rId30" name="Check Box 27">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8" r:id="rId31" name="Check Box 28">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mc:AlternateContent xmlns:mc="http://schemas.openxmlformats.org/markup-compatibility/2006">
          <mc:Choice Requires="x14">
            <control shapeId="112669" r:id="rId32" name="Check Box 29">
              <controlPr locked="0" defaultSize="0" autoFill="0" autoLine="0" autoPict="0">
                <anchor moveWithCells="1">
                  <from>
                    <xdr:col>3</xdr:col>
                    <xdr:colOff>38100</xdr:colOff>
                    <xdr:row>53</xdr:row>
                    <xdr:rowOff>0</xdr:rowOff>
                  </from>
                  <to>
                    <xdr:col>4</xdr:col>
                    <xdr:colOff>0</xdr:colOff>
                    <xdr:row>53</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rgb="FFFFB70E"/>
    <pageSetUpPr fitToPage="1"/>
  </sheetPr>
  <dimension ref="A1:U153"/>
  <sheetViews>
    <sheetView showGridLines="0" topLeftCell="D144" zoomScale="80" zoomScaleNormal="80" workbookViewId="0">
      <selection activeCell="J144" sqref="J144:K144"/>
    </sheetView>
  </sheetViews>
  <sheetFormatPr defaultColWidth="9.140625" defaultRowHeight="14.1"/>
  <cols>
    <col min="1" max="2" width="10.28515625" style="73" hidden="1" customWidth="1"/>
    <col min="3" max="3" width="2.5703125" style="3" hidden="1" customWidth="1"/>
    <col min="4" max="4" width="4.7109375" style="3" customWidth="1"/>
    <col min="5" max="5" width="30.7109375" style="10" customWidth="1"/>
    <col min="6" max="6" width="55.7109375" style="10" customWidth="1"/>
    <col min="7" max="7" width="10.7109375" style="5" customWidth="1"/>
    <col min="8" max="8" width="50.7109375" style="10" customWidth="1"/>
    <col min="9" max="10" width="15.7109375" style="5" customWidth="1"/>
    <col min="11" max="11" width="15.7109375" style="3" customWidth="1"/>
    <col min="12" max="13" width="26.7109375" style="3" customWidth="1"/>
    <col min="14" max="14" width="45.7109375" style="3" customWidth="1"/>
    <col min="15" max="16" width="19.7109375" style="3" customWidth="1"/>
    <col min="17" max="17" width="10.28515625" style="3" customWidth="1"/>
    <col min="18" max="18" width="48" style="460" customWidth="1"/>
    <col min="19" max="19" width="25.140625" style="460" customWidth="1"/>
    <col min="20" max="20" width="29.28515625" style="460" customWidth="1"/>
    <col min="21" max="21" width="8.85546875" style="178" customWidth="1"/>
    <col min="22" max="23" width="10.28515625" style="3" customWidth="1"/>
    <col min="24" max="25" width="9.140625" style="3" customWidth="1"/>
    <col min="26" max="16384" width="9.140625" style="3"/>
  </cols>
  <sheetData>
    <row r="1" spans="1:21" s="5" customFormat="1" ht="45" customHeight="1">
      <c r="A1" s="142" t="s">
        <v>14</v>
      </c>
      <c r="B1" s="142" t="s">
        <v>14</v>
      </c>
      <c r="C1" s="538"/>
      <c r="D1" s="538"/>
      <c r="E1" s="1201" t="s">
        <v>0</v>
      </c>
      <c r="F1" s="1202"/>
      <c r="G1" s="1202"/>
      <c r="H1" s="1202"/>
      <c r="I1" s="817"/>
      <c r="J1" s="817"/>
      <c r="K1" s="2"/>
      <c r="L1" s="817"/>
      <c r="M1" s="817"/>
      <c r="N1" s="817"/>
      <c r="O1" s="144" t="s">
        <v>14</v>
      </c>
      <c r="P1" s="144" t="s">
        <v>14</v>
      </c>
      <c r="Q1" s="538"/>
      <c r="R1" s="144" t="s">
        <v>14</v>
      </c>
      <c r="S1" s="144" t="s">
        <v>14</v>
      </c>
      <c r="T1" s="144" t="s">
        <v>14</v>
      </c>
      <c r="U1" s="143"/>
    </row>
    <row r="2" spans="1:21" ht="37.5" customHeight="1">
      <c r="A2" s="846"/>
      <c r="B2" s="846"/>
      <c r="C2" s="164"/>
      <c r="D2" s="164"/>
      <c r="E2" s="22" t="s">
        <v>227</v>
      </c>
      <c r="F2" s="1265" t="s">
        <v>228</v>
      </c>
      <c r="G2" s="1266"/>
      <c r="H2" s="6"/>
      <c r="I2" s="7" t="s">
        <v>485</v>
      </c>
      <c r="J2" s="7" t="s">
        <v>532</v>
      </c>
      <c r="K2" s="2"/>
      <c r="L2" s="531"/>
      <c r="M2" s="531"/>
      <c r="N2" s="531"/>
      <c r="O2" s="531"/>
      <c r="P2" s="531"/>
      <c r="Q2" s="164"/>
      <c r="R2" s="531"/>
      <c r="S2" s="531"/>
      <c r="T2" s="533" t="s">
        <v>488</v>
      </c>
      <c r="U2" s="496"/>
    </row>
    <row r="3" spans="1:21" ht="37.5" customHeight="1">
      <c r="A3" s="846"/>
      <c r="B3" s="846"/>
      <c r="C3" s="164"/>
      <c r="D3" s="164"/>
      <c r="E3" s="23" t="s">
        <v>229</v>
      </c>
      <c r="F3" s="1267" t="s">
        <v>531</v>
      </c>
      <c r="G3" s="1268"/>
      <c r="H3" s="6"/>
      <c r="I3" s="49">
        <f>I127</f>
        <v>100</v>
      </c>
      <c r="J3" s="69">
        <f>J130</f>
        <v>0</v>
      </c>
      <c r="K3" s="2"/>
      <c r="L3" s="531"/>
      <c r="M3" s="531"/>
      <c r="N3" s="531"/>
      <c r="O3" s="531"/>
      <c r="P3" s="531"/>
      <c r="Q3" s="164"/>
      <c r="R3" s="531"/>
      <c r="S3" s="531"/>
      <c r="T3" s="840" t="s">
        <v>68</v>
      </c>
      <c r="U3" s="496"/>
    </row>
    <row r="4" spans="1:21" ht="37.5" customHeight="1">
      <c r="A4" s="846"/>
      <c r="B4" s="846"/>
      <c r="C4" s="164"/>
      <c r="D4" s="164"/>
      <c r="E4" s="23" t="s">
        <v>234</v>
      </c>
      <c r="F4" s="1260" t="s">
        <v>235</v>
      </c>
      <c r="G4" s="1261"/>
      <c r="H4" s="9"/>
      <c r="I4" s="164"/>
      <c r="J4" s="164"/>
      <c r="K4" s="164"/>
      <c r="L4" s="48"/>
      <c r="M4" s="48"/>
      <c r="N4" s="48"/>
      <c r="O4" s="48"/>
      <c r="P4" s="48"/>
      <c r="Q4" s="164"/>
      <c r="R4" s="533" t="s">
        <v>235</v>
      </c>
      <c r="S4" s="531"/>
      <c r="T4" s="840" t="s">
        <v>533</v>
      </c>
      <c r="U4" s="496"/>
    </row>
    <row r="5" spans="1:21" ht="37.5" customHeight="1">
      <c r="A5" s="846"/>
      <c r="B5" s="846"/>
      <c r="C5" s="164"/>
      <c r="D5" s="164"/>
      <c r="E5" s="24" t="s">
        <v>487</v>
      </c>
      <c r="F5" s="1262" t="s">
        <v>488</v>
      </c>
      <c r="G5" s="1263"/>
      <c r="H5" s="9"/>
      <c r="I5" s="538"/>
      <c r="J5" s="538"/>
      <c r="K5" s="164"/>
      <c r="L5" s="48"/>
      <c r="M5" s="48"/>
      <c r="N5" s="48"/>
      <c r="O5" s="48"/>
      <c r="P5" s="48"/>
      <c r="Q5" s="164"/>
      <c r="R5" s="840" t="s">
        <v>256</v>
      </c>
      <c r="S5" s="531"/>
      <c r="T5" s="840" t="s">
        <v>535</v>
      </c>
      <c r="U5" s="496"/>
    </row>
    <row r="6" spans="1:21" ht="24.95" customHeight="1">
      <c r="A6" s="846"/>
      <c r="B6" s="846"/>
      <c r="C6" s="164"/>
      <c r="D6" s="164"/>
      <c r="E6" s="814"/>
      <c r="F6" s="823"/>
      <c r="G6" s="817"/>
      <c r="H6" s="823"/>
      <c r="I6" s="817"/>
      <c r="J6" s="817"/>
      <c r="K6" s="8"/>
      <c r="L6" s="1317" t="s">
        <v>255</v>
      </c>
      <c r="M6" s="1317"/>
      <c r="N6" s="170" t="s">
        <v>241</v>
      </c>
      <c r="O6" s="164"/>
      <c r="P6" s="164"/>
      <c r="Q6" s="164"/>
      <c r="R6" s="840" t="s">
        <v>260</v>
      </c>
      <c r="S6" s="531"/>
      <c r="T6" s="534" t="s">
        <v>536</v>
      </c>
      <c r="U6" s="496"/>
    </row>
    <row r="7" spans="1:21" ht="45" customHeight="1">
      <c r="A7" s="846"/>
      <c r="B7" s="846"/>
      <c r="C7" s="164"/>
      <c r="D7" s="7" t="s">
        <v>242</v>
      </c>
      <c r="E7" s="72" t="s">
        <v>243</v>
      </c>
      <c r="F7" s="72" t="s">
        <v>244</v>
      </c>
      <c r="G7" s="61" t="s">
        <v>245</v>
      </c>
      <c r="H7" s="72" t="s">
        <v>246</v>
      </c>
      <c r="I7" s="61" t="s">
        <v>247</v>
      </c>
      <c r="J7" s="61" t="s">
        <v>248</v>
      </c>
      <c r="K7" s="12"/>
      <c r="L7" s="7" t="s">
        <v>249</v>
      </c>
      <c r="M7" s="7" t="s">
        <v>250</v>
      </c>
      <c r="N7" s="7" t="s">
        <v>251</v>
      </c>
      <c r="O7" s="7" t="s">
        <v>252</v>
      </c>
      <c r="P7" s="7" t="s">
        <v>253</v>
      </c>
      <c r="Q7" s="164"/>
      <c r="R7" s="534" t="s">
        <v>269</v>
      </c>
      <c r="S7" s="531"/>
      <c r="T7" s="531"/>
      <c r="U7" s="496"/>
    </row>
    <row r="8" spans="1:21" ht="45" customHeight="1">
      <c r="A8" s="846"/>
      <c r="B8" s="846"/>
      <c r="C8" s="164"/>
      <c r="D8" s="164"/>
      <c r="E8" s="1313" t="s">
        <v>254</v>
      </c>
      <c r="F8" s="1313"/>
      <c r="G8" s="1313"/>
      <c r="H8" s="1313"/>
      <c r="I8" s="51"/>
      <c r="J8" s="51"/>
      <c r="K8" s="12"/>
      <c r="L8" s="841"/>
      <c r="M8" s="841"/>
      <c r="N8" s="841"/>
      <c r="O8" s="841"/>
      <c r="P8" s="841"/>
      <c r="Q8" s="164"/>
      <c r="R8" s="533" t="s">
        <v>255</v>
      </c>
      <c r="S8" s="533" t="s">
        <v>241</v>
      </c>
      <c r="T8" s="533" t="s">
        <v>266</v>
      </c>
      <c r="U8" s="496"/>
    </row>
    <row r="9" spans="1:21" ht="45" customHeight="1">
      <c r="A9" s="846"/>
      <c r="B9" s="846"/>
      <c r="C9" s="164"/>
      <c r="D9" s="164"/>
      <c r="E9" s="167" t="s">
        <v>257</v>
      </c>
      <c r="F9" s="474" t="s">
        <v>539</v>
      </c>
      <c r="G9" s="847">
        <f>IF($F$5=$T$6,1.1,1)</f>
        <v>1</v>
      </c>
      <c r="H9" s="474" t="s">
        <v>492</v>
      </c>
      <c r="I9" s="473">
        <v>1</v>
      </c>
      <c r="J9" s="482"/>
      <c r="K9" s="15"/>
      <c r="L9" s="810"/>
      <c r="M9" s="810"/>
      <c r="N9" s="455"/>
      <c r="O9" s="135" t="str">
        <f t="shared" ref="O9:O25" si="0">IF(ISBLANK($J9)=FALSE,IF(L9="","No","Yes"),"")</f>
        <v/>
      </c>
      <c r="P9" s="135" t="str">
        <f t="shared" ref="P9:P25" si="1">IF(ISBLANK($J9)=FALSE,IF(M9="","No","Yes"),"")</f>
        <v/>
      </c>
      <c r="Q9" s="164"/>
      <c r="R9" s="840" t="s">
        <v>240</v>
      </c>
      <c r="S9" s="840" t="s">
        <v>259</v>
      </c>
      <c r="T9" s="534" t="s">
        <v>274</v>
      </c>
      <c r="U9" s="496"/>
    </row>
    <row r="10" spans="1:21" ht="45" customHeight="1">
      <c r="A10" s="846"/>
      <c r="B10" s="846"/>
      <c r="C10" s="164"/>
      <c r="D10" s="164"/>
      <c r="E10" s="1314" t="s">
        <v>261</v>
      </c>
      <c r="F10" s="1315" t="s">
        <v>541</v>
      </c>
      <c r="G10" s="847">
        <v>2</v>
      </c>
      <c r="H10" s="848" t="s">
        <v>263</v>
      </c>
      <c r="I10" s="849" t="s">
        <v>264</v>
      </c>
      <c r="J10" s="489"/>
      <c r="K10" s="15"/>
      <c r="L10" s="810"/>
      <c r="M10" s="810"/>
      <c r="N10" s="455"/>
      <c r="O10" s="135" t="str">
        <f t="shared" si="0"/>
        <v/>
      </c>
      <c r="P10" s="135" t="str">
        <f t="shared" si="1"/>
        <v/>
      </c>
      <c r="Q10" s="164"/>
      <c r="R10" s="534" t="s">
        <v>267</v>
      </c>
      <c r="S10" s="534" t="s">
        <v>268</v>
      </c>
      <c r="T10" s="531"/>
      <c r="U10" s="496"/>
    </row>
    <row r="11" spans="1:21" ht="45" customHeight="1">
      <c r="A11" s="846"/>
      <c r="B11" s="846"/>
      <c r="C11" s="164"/>
      <c r="D11" s="164"/>
      <c r="E11" s="1305"/>
      <c r="F11" s="1306"/>
      <c r="G11" s="479">
        <v>2.1</v>
      </c>
      <c r="H11" s="474" t="s">
        <v>270</v>
      </c>
      <c r="I11" s="473">
        <v>1</v>
      </c>
      <c r="J11" s="482"/>
      <c r="K11" s="15" t="str">
        <f>IF(AND(J11&gt;0,$J$10&lt;&gt;$T$8),"!","")</f>
        <v/>
      </c>
      <c r="L11" s="810"/>
      <c r="M11" s="810"/>
      <c r="N11" s="455"/>
      <c r="O11" s="135" t="str">
        <f t="shared" si="0"/>
        <v/>
      </c>
      <c r="P11" s="135" t="str">
        <f t="shared" si="1"/>
        <v/>
      </c>
      <c r="Q11" s="164"/>
      <c r="R11" s="531"/>
      <c r="S11" s="531"/>
      <c r="T11" s="531"/>
      <c r="U11" s="496"/>
    </row>
    <row r="12" spans="1:21" ht="45" customHeight="1">
      <c r="A12" s="846"/>
      <c r="B12" s="846"/>
      <c r="C12" s="164"/>
      <c r="D12" s="164"/>
      <c r="E12" s="1305"/>
      <c r="F12" s="1306"/>
      <c r="G12" s="479">
        <v>2.2000000000000002</v>
      </c>
      <c r="H12" s="474" t="s">
        <v>542</v>
      </c>
      <c r="I12" s="473">
        <v>1</v>
      </c>
      <c r="J12" s="482"/>
      <c r="K12" s="15" t="str">
        <f>IF(AND(J12&gt;0,$J$10&lt;&gt;$T$8),"!","")</f>
        <v/>
      </c>
      <c r="L12" s="810"/>
      <c r="M12" s="810"/>
      <c r="N12" s="455"/>
      <c r="O12" s="135" t="str">
        <f t="shared" si="0"/>
        <v/>
      </c>
      <c r="P12" s="135" t="str">
        <f t="shared" si="1"/>
        <v/>
      </c>
      <c r="Q12" s="164"/>
      <c r="R12" s="531"/>
      <c r="S12" s="531"/>
      <c r="T12" s="531"/>
      <c r="U12" s="496"/>
    </row>
    <row r="13" spans="1:21" ht="45" customHeight="1">
      <c r="A13" s="846"/>
      <c r="B13" s="846"/>
      <c r="C13" s="164"/>
      <c r="D13" s="164"/>
      <c r="E13" s="1305"/>
      <c r="F13" s="1306"/>
      <c r="G13" s="479">
        <v>2.2999999999999998</v>
      </c>
      <c r="H13" s="474" t="s">
        <v>543</v>
      </c>
      <c r="I13" s="473">
        <v>1</v>
      </c>
      <c r="J13" s="482"/>
      <c r="K13" s="15" t="str">
        <f>IF(AND(J13&gt;0,$J$10&lt;&gt;$T$8),"!","")</f>
        <v/>
      </c>
      <c r="L13" s="810"/>
      <c r="M13" s="810"/>
      <c r="N13" s="455"/>
      <c r="O13" s="135" t="str">
        <f t="shared" si="0"/>
        <v/>
      </c>
      <c r="P13" s="135" t="str">
        <f t="shared" si="1"/>
        <v/>
      </c>
      <c r="Q13" s="164"/>
      <c r="R13" s="531"/>
      <c r="S13" s="531"/>
      <c r="T13" s="531"/>
      <c r="U13" s="496"/>
    </row>
    <row r="14" spans="1:21" ht="45" customHeight="1">
      <c r="A14" s="846"/>
      <c r="B14" s="846"/>
      <c r="C14" s="164"/>
      <c r="D14" s="164"/>
      <c r="E14" s="1305"/>
      <c r="F14" s="1306"/>
      <c r="G14" s="479">
        <v>2.4</v>
      </c>
      <c r="H14" s="474" t="s">
        <v>281</v>
      </c>
      <c r="I14" s="473">
        <v>1</v>
      </c>
      <c r="J14" s="482"/>
      <c r="K14" s="15" t="str">
        <f>IF(AND(J14&gt;0,$J$10&lt;&gt;$T$8),"!","")</f>
        <v/>
      </c>
      <c r="L14" s="810"/>
      <c r="M14" s="810"/>
      <c r="N14" s="455"/>
      <c r="O14" s="135" t="str">
        <f t="shared" si="0"/>
        <v/>
      </c>
      <c r="P14" s="135" t="str">
        <f t="shared" si="1"/>
        <v/>
      </c>
      <c r="Q14" s="164"/>
      <c r="R14" s="531"/>
      <c r="S14" s="531"/>
      <c r="T14" s="531"/>
      <c r="U14" s="496"/>
    </row>
    <row r="15" spans="1:21" ht="45" customHeight="1">
      <c r="A15" s="846"/>
      <c r="B15" s="846"/>
      <c r="C15" s="164"/>
      <c r="D15" s="164"/>
      <c r="E15" s="1305" t="s">
        <v>544</v>
      </c>
      <c r="F15" s="1306" t="s">
        <v>545</v>
      </c>
      <c r="G15" s="479">
        <v>3.1</v>
      </c>
      <c r="H15" s="474" t="str">
        <f>IF($F$5=$T$6,"Fitout Information", IF($F$5=$T$5, "Fitout User Information", "Fitout Operations and Maintenance Information"))</f>
        <v>Fitout Operations and Maintenance Information</v>
      </c>
      <c r="I15" s="473">
        <v>1</v>
      </c>
      <c r="J15" s="482"/>
      <c r="K15" s="15"/>
      <c r="L15" s="810"/>
      <c r="M15" s="810"/>
      <c r="N15" s="455"/>
      <c r="O15" s="135" t="str">
        <f t="shared" si="0"/>
        <v/>
      </c>
      <c r="P15" s="135" t="str">
        <f t="shared" si="1"/>
        <v/>
      </c>
      <c r="Q15" s="164"/>
      <c r="R15" s="531"/>
      <c r="S15" s="531"/>
      <c r="T15" s="531"/>
      <c r="U15" s="496"/>
    </row>
    <row r="16" spans="1:21" ht="45" customHeight="1">
      <c r="A16" s="846"/>
      <c r="B16" s="846"/>
      <c r="C16" s="164"/>
      <c r="D16" s="164"/>
      <c r="E16" s="1305"/>
      <c r="F16" s="1306"/>
      <c r="G16" s="479">
        <f>IF(OR($F$5=$T$5,$F$5=$T$6),"",3.2)</f>
        <v>3.2</v>
      </c>
      <c r="H16" s="474" t="str">
        <f>IF(OR($F$5=$T$5,$F$5=$T$6),"-","Fitout User Information")</f>
        <v>Fitout User Information</v>
      </c>
      <c r="I16" s="473">
        <f>IF(OR($F$5=$T$5,$F$5=$T$6),0,1)</f>
        <v>1</v>
      </c>
      <c r="J16" s="482"/>
      <c r="K16" s="15"/>
      <c r="L16" s="810"/>
      <c r="M16" s="810"/>
      <c r="N16" s="455"/>
      <c r="O16" s="135" t="str">
        <f t="shared" si="0"/>
        <v/>
      </c>
      <c r="P16" s="135" t="str">
        <f t="shared" si="1"/>
        <v/>
      </c>
      <c r="Q16" s="164"/>
      <c r="R16" s="531"/>
      <c r="S16" s="531"/>
      <c r="T16" s="531"/>
      <c r="U16" s="496"/>
    </row>
    <row r="17" spans="5:18" ht="45" customHeight="1">
      <c r="E17" s="1307" t="s">
        <v>288</v>
      </c>
      <c r="F17" s="1310" t="s">
        <v>289</v>
      </c>
      <c r="G17" s="479">
        <v>4.0999999999999996</v>
      </c>
      <c r="H17" s="474" t="s">
        <v>546</v>
      </c>
      <c r="I17" s="473">
        <v>1</v>
      </c>
      <c r="J17" s="482"/>
      <c r="K17" s="15"/>
      <c r="L17" s="810"/>
      <c r="M17" s="810"/>
      <c r="N17" s="455"/>
      <c r="O17" s="135" t="str">
        <f t="shared" si="0"/>
        <v/>
      </c>
      <c r="P17" s="135" t="str">
        <f t="shared" si="1"/>
        <v/>
      </c>
      <c r="Q17" s="164"/>
      <c r="R17" s="531"/>
    </row>
    <row r="18" spans="5:18" ht="45" customHeight="1">
      <c r="E18" s="1308"/>
      <c r="F18" s="1311"/>
      <c r="G18" s="479">
        <v>4.2</v>
      </c>
      <c r="H18" s="474" t="s">
        <v>291</v>
      </c>
      <c r="I18" s="473">
        <v>1</v>
      </c>
      <c r="J18" s="482"/>
      <c r="K18" s="15"/>
      <c r="L18" s="810"/>
      <c r="M18" s="810"/>
      <c r="N18" s="455"/>
      <c r="O18" s="135" t="str">
        <f t="shared" si="0"/>
        <v/>
      </c>
      <c r="P18" s="135" t="str">
        <f t="shared" si="1"/>
        <v/>
      </c>
      <c r="Q18" s="164"/>
      <c r="R18" s="531"/>
    </row>
    <row r="19" spans="5:18" ht="45" customHeight="1">
      <c r="E19" s="1309"/>
      <c r="F19" s="1312"/>
      <c r="G19" s="479">
        <v>4.3</v>
      </c>
      <c r="H19" s="474" t="s">
        <v>547</v>
      </c>
      <c r="I19" s="473">
        <v>1</v>
      </c>
      <c r="J19" s="482"/>
      <c r="K19" s="15"/>
      <c r="L19" s="810"/>
      <c r="M19" s="810"/>
      <c r="N19" s="455"/>
      <c r="O19" s="135" t="str">
        <f t="shared" si="0"/>
        <v/>
      </c>
      <c r="P19" s="135" t="str">
        <f t="shared" si="1"/>
        <v/>
      </c>
      <c r="Q19" s="164"/>
      <c r="R19" s="531"/>
    </row>
    <row r="20" spans="5:18" ht="45" customHeight="1">
      <c r="E20" s="1305" t="s">
        <v>292</v>
      </c>
      <c r="F20" s="1306" t="s">
        <v>293</v>
      </c>
      <c r="G20" s="479">
        <v>5</v>
      </c>
      <c r="H20" s="474" t="s">
        <v>548</v>
      </c>
      <c r="I20" s="473" t="s">
        <v>264</v>
      </c>
      <c r="J20" s="484"/>
      <c r="K20" s="15"/>
      <c r="L20" s="810"/>
      <c r="M20" s="810"/>
      <c r="N20" s="455"/>
      <c r="O20" s="135" t="str">
        <f t="shared" si="0"/>
        <v/>
      </c>
      <c r="P20" s="135" t="str">
        <f t="shared" si="1"/>
        <v/>
      </c>
      <c r="Q20" s="164"/>
      <c r="R20" s="531"/>
    </row>
    <row r="21" spans="5:18" ht="45" customHeight="1">
      <c r="E21" s="1305"/>
      <c r="F21" s="1306"/>
      <c r="G21" s="479">
        <v>5.0999999999999996</v>
      </c>
      <c r="H21" s="474" t="s">
        <v>549</v>
      </c>
      <c r="I21" s="473">
        <v>1</v>
      </c>
      <c r="J21" s="482"/>
      <c r="K21" s="15" t="str">
        <f>IF(AND(J21&gt;0,$J$20&lt;&gt;$T$8),"!","")</f>
        <v/>
      </c>
      <c r="L21" s="810"/>
      <c r="M21" s="810"/>
      <c r="N21" s="455"/>
      <c r="O21" s="135" t="str">
        <f t="shared" si="0"/>
        <v/>
      </c>
      <c r="P21" s="135" t="str">
        <f t="shared" si="1"/>
        <v/>
      </c>
      <c r="Q21" s="164"/>
      <c r="R21" s="531"/>
    </row>
    <row r="22" spans="5:18" ht="45" customHeight="1">
      <c r="E22" s="1307" t="str">
        <f>IF(OR($F$5=$T$5,$F$5=$T$6),"Responsible Construction Practices", "Construction Environmental Management")</f>
        <v>Construction Environmental Management</v>
      </c>
      <c r="F22" s="1310" t="s">
        <v>550</v>
      </c>
      <c r="G22" s="479">
        <v>6</v>
      </c>
      <c r="H22" s="474" t="str">
        <f>IF($F$5=$T$6,"Environmental Management Plan","Environmental Management Plan (EMP)")</f>
        <v>Environmental Management Plan (EMP)</v>
      </c>
      <c r="I22" s="473" t="s">
        <v>264</v>
      </c>
      <c r="J22" s="484"/>
      <c r="K22" s="15"/>
      <c r="L22" s="810"/>
      <c r="M22" s="810"/>
      <c r="N22" s="455"/>
      <c r="O22" s="135" t="str">
        <f t="shared" si="0"/>
        <v/>
      </c>
      <c r="P22" s="135" t="str">
        <f t="shared" si="1"/>
        <v/>
      </c>
      <c r="Q22" s="164"/>
      <c r="R22" s="531"/>
    </row>
    <row r="23" spans="5:18" ht="45" customHeight="1">
      <c r="E23" s="1308"/>
      <c r="F23" s="1311"/>
      <c r="G23" s="479">
        <v>6.1</v>
      </c>
      <c r="H23" s="474" t="str">
        <f>IF($F$5=$T$6,"Environmental Management System","Formalised Environmental Management System (EMS)")</f>
        <v>Formalised Environmental Management System (EMS)</v>
      </c>
      <c r="I23" s="473">
        <v>1</v>
      </c>
      <c r="J23" s="481"/>
      <c r="K23" s="15" t="str">
        <f>IF(AND(J23&gt;0,$J$22&lt;&gt;$T$8),"!","")</f>
        <v/>
      </c>
      <c r="L23" s="810"/>
      <c r="M23" s="810"/>
      <c r="N23" s="455"/>
      <c r="O23" s="135" t="str">
        <f t="shared" si="0"/>
        <v/>
      </c>
      <c r="P23" s="135" t="str">
        <f t="shared" si="1"/>
        <v/>
      </c>
      <c r="Q23" s="164"/>
      <c r="R23" s="531"/>
    </row>
    <row r="24" spans="5:18" ht="45" customHeight="1">
      <c r="E24" s="1314"/>
      <c r="F24" s="1315"/>
      <c r="G24" s="479" t="str">
        <f>IF(OR($F$5= $T$5,$F$5=$T$6),6.2, "")</f>
        <v/>
      </c>
      <c r="H24" s="474" t="str">
        <f>IF(OR($F$5= $T$5,$F$5=$T$6),"High Quality Support Staff", "-")</f>
        <v>-</v>
      </c>
      <c r="I24" s="473">
        <f>IF(OR($F$5= $T$5,$F$5=$T$6),1, 0)</f>
        <v>0</v>
      </c>
      <c r="J24" s="481"/>
      <c r="K24" s="15"/>
      <c r="L24" s="810"/>
      <c r="M24" s="810"/>
      <c r="N24" s="455"/>
      <c r="O24" s="135" t="str">
        <f t="shared" si="0"/>
        <v/>
      </c>
      <c r="P24" s="135" t="str">
        <f t="shared" si="1"/>
        <v/>
      </c>
      <c r="Q24" s="164"/>
      <c r="R24" s="531"/>
    </row>
    <row r="25" spans="5:18" ht="45" customHeight="1">
      <c r="E25" s="1307" t="s">
        <v>300</v>
      </c>
      <c r="F25" s="1316" t="s">
        <v>614</v>
      </c>
      <c r="G25" s="480" t="s">
        <v>553</v>
      </c>
      <c r="H25" s="474" t="str">
        <f>IF($F$5=$T$3,"Waste Management Plan","Performance Pathway: Specialist Plan")</f>
        <v>Performance Pathway: Specialist Plan</v>
      </c>
      <c r="I25" s="473">
        <f>IF(F25=R25,1,0)</f>
        <v>1</v>
      </c>
      <c r="J25" s="481"/>
      <c r="K25" s="15"/>
      <c r="L25" s="810"/>
      <c r="M25" s="810"/>
      <c r="N25" s="455"/>
      <c r="O25" s="135" t="str">
        <f t="shared" si="0"/>
        <v/>
      </c>
      <c r="P25" s="135" t="str">
        <f t="shared" si="1"/>
        <v/>
      </c>
      <c r="Q25" s="164"/>
      <c r="R25" s="533" t="str">
        <f>IF($F$5=$T$3,"A. Waste Management Plan","A. Performance Pathway: Specialist Plan")</f>
        <v>A. Performance Pathway: Specialist Plan</v>
      </c>
    </row>
    <row r="26" spans="5:18" ht="45" customHeight="1">
      <c r="E26" s="1314"/>
      <c r="F26" s="1316"/>
      <c r="G26" s="480" t="s">
        <v>555</v>
      </c>
      <c r="H26" s="536" t="str">
        <f>IF($F$5=$T$3,"Waste Management Practices","Prescriptive Pathway: Facilities")</f>
        <v>Prescriptive Pathway: Facilities</v>
      </c>
      <c r="I26" s="477">
        <f>IF(F25=R26,1,0)</f>
        <v>0</v>
      </c>
      <c r="J26" s="481"/>
      <c r="K26" s="15"/>
      <c r="L26" s="810"/>
      <c r="M26" s="810"/>
      <c r="N26" s="455"/>
      <c r="O26" s="136"/>
      <c r="P26" s="136"/>
      <c r="Q26" s="164"/>
      <c r="R26" s="534" t="str">
        <f>IF($F$5=$T$3,"B. Waste Management Practices","B. Prescriptive Pathway: Facilities")</f>
        <v>B. Prescriptive Pathway: Facilities</v>
      </c>
    </row>
    <row r="27" spans="5:18" ht="37.5" customHeight="1">
      <c r="E27" s="16" t="s">
        <v>305</v>
      </c>
      <c r="F27" s="16"/>
      <c r="G27" s="17"/>
      <c r="H27" s="16"/>
      <c r="I27" s="17">
        <f>SUM(I9:I26)</f>
        <v>13</v>
      </c>
      <c r="J27" s="67">
        <f>SUM(J9:J25)</f>
        <v>0</v>
      </c>
      <c r="K27" s="15"/>
      <c r="L27" s="71"/>
      <c r="M27" s="71"/>
      <c r="N27" s="16"/>
      <c r="O27" s="42"/>
      <c r="P27" s="42"/>
      <c r="Q27" s="164"/>
      <c r="R27" s="164"/>
    </row>
    <row r="28" spans="5:18" ht="45" customHeight="1">
      <c r="E28" s="540"/>
      <c r="F28" s="31"/>
      <c r="G28" s="30"/>
      <c r="H28" s="31"/>
      <c r="I28" s="32"/>
      <c r="J28" s="850"/>
      <c r="K28" s="15"/>
      <c r="L28" s="851"/>
      <c r="M28" s="851"/>
      <c r="N28" s="531"/>
      <c r="O28" s="434"/>
      <c r="P28" s="434"/>
      <c r="Q28" s="164"/>
      <c r="R28" s="531"/>
    </row>
    <row r="29" spans="5:18" ht="45" customHeight="1">
      <c r="E29" s="1313" t="s">
        <v>306</v>
      </c>
      <c r="F29" s="1313"/>
      <c r="G29" s="1313"/>
      <c r="H29" s="1313"/>
      <c r="I29" s="51">
        <v>23</v>
      </c>
      <c r="J29" s="51"/>
      <c r="K29" s="15"/>
      <c r="L29" s="435"/>
      <c r="M29" s="435"/>
      <c r="N29" s="436"/>
      <c r="O29" s="436"/>
      <c r="P29" s="436"/>
      <c r="Q29" s="164"/>
      <c r="R29" s="531"/>
    </row>
    <row r="30" spans="5:18" ht="45" customHeight="1">
      <c r="E30" s="1305" t="s">
        <v>307</v>
      </c>
      <c r="F30" s="1306" t="s">
        <v>500</v>
      </c>
      <c r="G30" s="479">
        <v>8.1</v>
      </c>
      <c r="H30" s="472" t="s">
        <v>309</v>
      </c>
      <c r="I30" s="473">
        <v>1</v>
      </c>
      <c r="J30" s="482"/>
      <c r="K30" s="15"/>
      <c r="L30" s="810"/>
      <c r="M30" s="844"/>
      <c r="N30" s="455"/>
      <c r="O30" s="135" t="str">
        <f t="shared" ref="O30:O38" si="2">IF(ISBLANK($J30)=FALSE,IF(L30="","No","Yes"),"")</f>
        <v/>
      </c>
      <c r="P30" s="135" t="str">
        <f t="shared" ref="P30:P38" si="3">IF(ISBLANK($J30)=FALSE,IF(M30="","No","Yes"),"")</f>
        <v/>
      </c>
      <c r="Q30" s="164"/>
      <c r="R30" s="531"/>
    </row>
    <row r="31" spans="5:18" ht="45" customHeight="1">
      <c r="E31" s="1305"/>
      <c r="F31" s="1306"/>
      <c r="G31" s="479">
        <v>8.1999999999999993</v>
      </c>
      <c r="H31" s="472" t="s">
        <v>310</v>
      </c>
      <c r="I31" s="473">
        <v>2</v>
      </c>
      <c r="J31" s="482"/>
      <c r="K31" s="15"/>
      <c r="L31" s="810"/>
      <c r="M31" s="844"/>
      <c r="N31" s="455"/>
      <c r="O31" s="135" t="str">
        <f t="shared" si="2"/>
        <v/>
      </c>
      <c r="P31" s="135" t="str">
        <f t="shared" si="3"/>
        <v/>
      </c>
      <c r="Q31" s="164"/>
      <c r="R31" s="531"/>
    </row>
    <row r="32" spans="5:18" ht="45" customHeight="1">
      <c r="E32" s="1305"/>
      <c r="F32" s="1306"/>
      <c r="G32" s="479">
        <v>8.3000000000000007</v>
      </c>
      <c r="H32" s="472" t="s">
        <v>311</v>
      </c>
      <c r="I32" s="473">
        <v>1</v>
      </c>
      <c r="J32" s="482"/>
      <c r="K32" s="15"/>
      <c r="L32" s="810"/>
      <c r="M32" s="844"/>
      <c r="N32" s="455"/>
      <c r="O32" s="135" t="str">
        <f t="shared" si="2"/>
        <v/>
      </c>
      <c r="P32" s="135" t="str">
        <f t="shared" si="3"/>
        <v/>
      </c>
      <c r="Q32" s="164"/>
      <c r="R32" s="531"/>
    </row>
    <row r="33" spans="1:18" ht="45" customHeight="1">
      <c r="A33" s="846"/>
      <c r="B33" s="846"/>
      <c r="C33" s="164"/>
      <c r="D33" s="164"/>
      <c r="E33" s="1305" t="s">
        <v>312</v>
      </c>
      <c r="F33" s="1306" t="s">
        <v>313</v>
      </c>
      <c r="G33" s="479">
        <v>9.1</v>
      </c>
      <c r="H33" s="472" t="s">
        <v>314</v>
      </c>
      <c r="I33" s="473">
        <v>1</v>
      </c>
      <c r="J33" s="482"/>
      <c r="K33" s="15"/>
      <c r="L33" s="810"/>
      <c r="M33" s="844"/>
      <c r="N33" s="455"/>
      <c r="O33" s="135" t="str">
        <f t="shared" si="2"/>
        <v/>
      </c>
      <c r="P33" s="135" t="str">
        <f t="shared" si="3"/>
        <v/>
      </c>
      <c r="Q33" s="164"/>
      <c r="R33" s="531"/>
    </row>
    <row r="34" spans="1:18" ht="45" customHeight="1">
      <c r="A34" s="846"/>
      <c r="B34" s="846"/>
      <c r="C34" s="164"/>
      <c r="D34" s="164"/>
      <c r="E34" s="1305"/>
      <c r="F34" s="1306"/>
      <c r="G34" s="479">
        <v>9.1999999999999993</v>
      </c>
      <c r="H34" s="472" t="s">
        <v>315</v>
      </c>
      <c r="I34" s="473">
        <v>1</v>
      </c>
      <c r="J34" s="482"/>
      <c r="K34" s="15"/>
      <c r="L34" s="810"/>
      <c r="M34" s="844"/>
      <c r="N34" s="455"/>
      <c r="O34" s="135" t="str">
        <f t="shared" si="2"/>
        <v/>
      </c>
      <c r="P34" s="135" t="str">
        <f t="shared" si="3"/>
        <v/>
      </c>
      <c r="Q34" s="164"/>
      <c r="R34" s="531"/>
    </row>
    <row r="35" spans="1:18" ht="45" customHeight="1">
      <c r="A35" s="846"/>
      <c r="B35" s="846"/>
      <c r="C35" s="164"/>
      <c r="D35" s="164"/>
      <c r="E35" s="1305"/>
      <c r="F35" s="1306"/>
      <c r="G35" s="479">
        <v>9.3000000000000007</v>
      </c>
      <c r="H35" s="472" t="s">
        <v>316</v>
      </c>
      <c r="I35" s="473">
        <v>1</v>
      </c>
      <c r="J35" s="482"/>
      <c r="K35" s="15"/>
      <c r="L35" s="810"/>
      <c r="M35" s="844"/>
      <c r="N35" s="455"/>
      <c r="O35" s="135" t="str">
        <f t="shared" si="2"/>
        <v/>
      </c>
      <c r="P35" s="135" t="str">
        <f t="shared" si="3"/>
        <v/>
      </c>
      <c r="Q35" s="164"/>
      <c r="R35" s="531"/>
    </row>
    <row r="36" spans="1:18" ht="45" customHeight="1">
      <c r="A36" s="846"/>
      <c r="B36" s="846"/>
      <c r="C36" s="164"/>
      <c r="D36" s="164"/>
      <c r="E36" s="1305" t="s">
        <v>317</v>
      </c>
      <c r="F36" s="1306" t="s">
        <v>318</v>
      </c>
      <c r="G36" s="479">
        <v>10</v>
      </c>
      <c r="H36" s="472" t="s">
        <v>319</v>
      </c>
      <c r="I36" s="473" t="s">
        <v>264</v>
      </c>
      <c r="J36" s="484"/>
      <c r="K36" s="15"/>
      <c r="L36" s="810"/>
      <c r="M36" s="844"/>
      <c r="N36" s="455"/>
      <c r="O36" s="135" t="str">
        <f t="shared" si="2"/>
        <v/>
      </c>
      <c r="P36" s="135" t="str">
        <f t="shared" si="3"/>
        <v/>
      </c>
      <c r="Q36" s="164"/>
      <c r="R36" s="531"/>
    </row>
    <row r="37" spans="1:18" ht="45" customHeight="1">
      <c r="A37" s="846"/>
      <c r="B37" s="846"/>
      <c r="C37" s="164"/>
      <c r="D37" s="852"/>
      <c r="E37" s="1305"/>
      <c r="F37" s="1306"/>
      <c r="G37" s="479">
        <v>10.1</v>
      </c>
      <c r="H37" s="472" t="s">
        <v>320</v>
      </c>
      <c r="I37" s="473">
        <v>1</v>
      </c>
      <c r="J37" s="482"/>
      <c r="K37" s="15" t="str">
        <f>IF(AND(J37&gt;0,$J$36&lt;&gt;$T$8),"!","")</f>
        <v/>
      </c>
      <c r="L37" s="810"/>
      <c r="M37" s="844"/>
      <c r="N37" s="455"/>
      <c r="O37" s="135" t="str">
        <f t="shared" si="2"/>
        <v/>
      </c>
      <c r="P37" s="135" t="str">
        <f t="shared" si="3"/>
        <v/>
      </c>
      <c r="Q37" s="164"/>
      <c r="R37" s="531"/>
    </row>
    <row r="38" spans="1:18" ht="45" customHeight="1">
      <c r="A38" s="846"/>
      <c r="B38" s="846"/>
      <c r="C38" s="164"/>
      <c r="D38" s="852"/>
      <c r="E38" s="1305"/>
      <c r="F38" s="1306"/>
      <c r="G38" s="479">
        <v>10.199999999999999</v>
      </c>
      <c r="H38" s="472" t="s">
        <v>321</v>
      </c>
      <c r="I38" s="473">
        <v>1</v>
      </c>
      <c r="J38" s="482"/>
      <c r="K38" s="15" t="str">
        <f>IF(AND(J38&gt;0,$J$36&lt;&gt;$T$8),"!","")</f>
        <v/>
      </c>
      <c r="L38" s="810"/>
      <c r="M38" s="844"/>
      <c r="N38" s="455"/>
      <c r="O38" s="135" t="str">
        <f t="shared" si="2"/>
        <v/>
      </c>
      <c r="P38" s="135" t="str">
        <f t="shared" si="3"/>
        <v/>
      </c>
      <c r="Q38" s="164"/>
      <c r="R38" s="531"/>
    </row>
    <row r="39" spans="1:18" ht="45" customHeight="1">
      <c r="A39" s="846">
        <f>IF($B$39=TRUE,1,0)</f>
        <v>0</v>
      </c>
      <c r="B39" s="846" t="b">
        <v>0</v>
      </c>
      <c r="C39" s="164"/>
      <c r="D39" s="852"/>
      <c r="E39" s="1305"/>
      <c r="F39" s="1306"/>
      <c r="G39" s="479">
        <v>10.3</v>
      </c>
      <c r="H39" s="472" t="s">
        <v>322</v>
      </c>
      <c r="I39" s="473">
        <f>IF($B$39=FALSE,1,0)</f>
        <v>1</v>
      </c>
      <c r="J39" s="482"/>
      <c r="K39" s="15" t="str">
        <f>IF(AND(J39&gt;0,$J$36&lt;&gt;$T$8),"!","")</f>
        <v/>
      </c>
      <c r="L39" s="810"/>
      <c r="M39" s="844"/>
      <c r="N39" s="455"/>
      <c r="O39" s="135" t="str">
        <f>IF(OR(ISBLANK($J39)=FALSE,B39=TRUE),IF(L39="","No","Yes"),"")</f>
        <v/>
      </c>
      <c r="P39" s="135" t="b">
        <f>IF(ISBLANK($J39)=FALSE,IF(M39="","No","Yes"),IF($B39=TRUE,"NA"))</f>
        <v>0</v>
      </c>
      <c r="Q39" s="164"/>
      <c r="R39" s="531"/>
    </row>
    <row r="40" spans="1:18" ht="45" customHeight="1">
      <c r="A40" s="846"/>
      <c r="B40" s="846"/>
      <c r="C40" s="164"/>
      <c r="D40" s="852"/>
      <c r="E40" s="1305" t="s">
        <v>323</v>
      </c>
      <c r="F40" s="1306" t="s">
        <v>324</v>
      </c>
      <c r="G40" s="479">
        <v>11</v>
      </c>
      <c r="H40" s="472" t="s">
        <v>325</v>
      </c>
      <c r="I40" s="473" t="s">
        <v>264</v>
      </c>
      <c r="J40" s="484"/>
      <c r="K40" s="15"/>
      <c r="L40" s="810"/>
      <c r="M40" s="844"/>
      <c r="N40" s="455"/>
      <c r="O40" s="135" t="str">
        <f>IF(ISBLANK($J40)=FALSE,IF(L40="","No","Yes"),"")</f>
        <v/>
      </c>
      <c r="P40" s="135" t="str">
        <f>IF(ISBLANK($J40)=FALSE,IF(M40="","No","Yes"),"")</f>
        <v/>
      </c>
      <c r="Q40" s="164"/>
      <c r="R40" s="531"/>
    </row>
    <row r="41" spans="1:18" ht="45" customHeight="1">
      <c r="A41" s="846">
        <f>IF($B$41=TRUE,2,0)</f>
        <v>0</v>
      </c>
      <c r="B41" s="846" t="b">
        <v>0</v>
      </c>
      <c r="C41" s="164"/>
      <c r="D41" s="852"/>
      <c r="E41" s="1305"/>
      <c r="F41" s="1306"/>
      <c r="G41" s="479">
        <v>11.1</v>
      </c>
      <c r="H41" s="472" t="s">
        <v>326</v>
      </c>
      <c r="I41" s="473">
        <f>IF($B$41=FALSE,2,0)</f>
        <v>2</v>
      </c>
      <c r="J41" s="482"/>
      <c r="K41" s="15" t="str">
        <f>IF(AND(J41&gt;0,$J$40&lt;&gt;$T$8),"!","")</f>
        <v/>
      </c>
      <c r="L41" s="810"/>
      <c r="M41" s="844"/>
      <c r="N41" s="455"/>
      <c r="O41" s="135" t="str">
        <f>IF(OR(ISBLANK($J41)=FALSE,B41=TRUE),IF(L41="","No","Yes"),"")</f>
        <v/>
      </c>
      <c r="P41" s="135" t="b">
        <f>IF(ISBLANK($J41)=FALSE,IF(M41="","No","Yes"),IF($B41=TRUE,"NA"))</f>
        <v>0</v>
      </c>
      <c r="Q41" s="164"/>
      <c r="R41" s="531"/>
    </row>
    <row r="42" spans="1:18" ht="45" customHeight="1">
      <c r="A42" s="846">
        <f>IF($B$42=TRUE,1,0)</f>
        <v>0</v>
      </c>
      <c r="B42" s="846" t="b">
        <v>0</v>
      </c>
      <c r="C42" s="164"/>
      <c r="D42" s="852"/>
      <c r="E42" s="1305"/>
      <c r="F42" s="1306"/>
      <c r="G42" s="479">
        <v>11.2</v>
      </c>
      <c r="H42" s="472" t="s">
        <v>327</v>
      </c>
      <c r="I42" s="473">
        <f>IF($B$42=FALSE,1,0)</f>
        <v>1</v>
      </c>
      <c r="J42" s="482"/>
      <c r="K42" s="15" t="str">
        <f>IF(AND(J42&gt;0,$J$40&lt;&gt;$T$8),"!","")</f>
        <v/>
      </c>
      <c r="L42" s="810"/>
      <c r="M42" s="844"/>
      <c r="N42" s="455"/>
      <c r="O42" s="135" t="str">
        <f>IF(OR(ISBLANK($J42)=FALSE,B42=TRUE),IF(L42="","No","Yes"),"")</f>
        <v/>
      </c>
      <c r="P42" s="135" t="b">
        <f>IF(ISBLANK($J42)=FALSE,IF(M42="","No","Yes"),IF($B42=TRUE,"NA"))</f>
        <v>0</v>
      </c>
      <c r="Q42" s="164"/>
      <c r="R42" s="531"/>
    </row>
    <row r="43" spans="1:18" ht="45" customHeight="1">
      <c r="A43" s="846"/>
      <c r="B43" s="846"/>
      <c r="C43" s="164"/>
      <c r="D43" s="852"/>
      <c r="E43" s="1307" t="s">
        <v>328</v>
      </c>
      <c r="F43" s="1310" t="s">
        <v>329</v>
      </c>
      <c r="G43" s="479">
        <v>12.1</v>
      </c>
      <c r="H43" s="472" t="s">
        <v>330</v>
      </c>
      <c r="I43" s="473">
        <v>2</v>
      </c>
      <c r="J43" s="482"/>
      <c r="K43" s="15"/>
      <c r="L43" s="810"/>
      <c r="M43" s="844"/>
      <c r="N43" s="455"/>
      <c r="O43" s="135" t="str">
        <f t="shared" ref="O43:P46" si="4">IF(ISBLANK($J43)=FALSE,IF(L43="","No","Yes"),"")</f>
        <v/>
      </c>
      <c r="P43" s="135" t="str">
        <f t="shared" si="4"/>
        <v/>
      </c>
      <c r="Q43" s="164"/>
      <c r="R43" s="531"/>
    </row>
    <row r="44" spans="1:18" ht="45" customHeight="1">
      <c r="A44" s="846"/>
      <c r="B44" s="846"/>
      <c r="C44" s="164"/>
      <c r="D44" s="164"/>
      <c r="E44" s="1308"/>
      <c r="F44" s="1311"/>
      <c r="G44" s="479">
        <v>12.2</v>
      </c>
      <c r="H44" s="472" t="s">
        <v>331</v>
      </c>
      <c r="I44" s="473">
        <v>2</v>
      </c>
      <c r="J44" s="482"/>
      <c r="K44" s="15"/>
      <c r="L44" s="810"/>
      <c r="M44" s="844"/>
      <c r="N44" s="455"/>
      <c r="O44" s="135" t="str">
        <f t="shared" si="4"/>
        <v/>
      </c>
      <c r="P44" s="135" t="str">
        <f t="shared" si="4"/>
        <v/>
      </c>
      <c r="Q44" s="164"/>
      <c r="R44" s="531"/>
    </row>
    <row r="45" spans="1:18" ht="45" customHeight="1">
      <c r="A45" s="846"/>
      <c r="B45" s="846"/>
      <c r="C45" s="164"/>
      <c r="D45" s="164"/>
      <c r="E45" s="1320"/>
      <c r="F45" s="1321"/>
      <c r="G45" s="479">
        <v>12.3</v>
      </c>
      <c r="H45" s="472" t="s">
        <v>556</v>
      </c>
      <c r="I45" s="473">
        <v>2</v>
      </c>
      <c r="J45" s="482"/>
      <c r="K45" s="15"/>
      <c r="L45" s="810"/>
      <c r="M45" s="844"/>
      <c r="N45" s="455"/>
      <c r="O45" s="135" t="str">
        <f t="shared" si="4"/>
        <v/>
      </c>
      <c r="P45" s="135" t="str">
        <f t="shared" si="4"/>
        <v/>
      </c>
      <c r="Q45" s="164"/>
      <c r="R45" s="531"/>
    </row>
    <row r="46" spans="1:18" ht="45" customHeight="1">
      <c r="A46" s="846"/>
      <c r="B46" s="846"/>
      <c r="C46" s="164"/>
      <c r="D46" s="164"/>
      <c r="E46" s="1305" t="s">
        <v>332</v>
      </c>
      <c r="F46" s="1306" t="s">
        <v>501</v>
      </c>
      <c r="G46" s="479">
        <v>13.1</v>
      </c>
      <c r="H46" s="472" t="s">
        <v>332</v>
      </c>
      <c r="I46" s="473">
        <v>1</v>
      </c>
      <c r="J46" s="482"/>
      <c r="K46" s="15"/>
      <c r="L46" s="810"/>
      <c r="M46" s="844"/>
      <c r="N46" s="455"/>
      <c r="O46" s="135" t="str">
        <f t="shared" si="4"/>
        <v/>
      </c>
      <c r="P46" s="135" t="str">
        <f t="shared" si="4"/>
        <v/>
      </c>
      <c r="Q46" s="164"/>
      <c r="R46" s="531"/>
    </row>
    <row r="47" spans="1:18" ht="45" customHeight="1">
      <c r="A47" s="846">
        <f>IF(B47=TRUE,1,0)</f>
        <v>0</v>
      </c>
      <c r="B47" s="846" t="b">
        <v>0</v>
      </c>
      <c r="C47" s="164"/>
      <c r="D47" s="164"/>
      <c r="E47" s="1307"/>
      <c r="F47" s="1310"/>
      <c r="G47" s="479">
        <v>13.2</v>
      </c>
      <c r="H47" s="472" t="s">
        <v>334</v>
      </c>
      <c r="I47" s="473">
        <f>IF(B47=FALSE,1,0)</f>
        <v>1</v>
      </c>
      <c r="J47" s="482"/>
      <c r="K47" s="15"/>
      <c r="L47" s="810"/>
      <c r="M47" s="844"/>
      <c r="N47" s="455"/>
      <c r="O47" s="135" t="str">
        <f>IF(OR(ISBLANK($J47)=FALSE,B47=TRUE),IF(L47="","No","Yes"),"")</f>
        <v/>
      </c>
      <c r="P47" s="135" t="b">
        <f>IF(ISBLANK($J47)=FALSE,IF(M47="","No","Yes"),IF($B47=TRUE,"NA"))</f>
        <v>0</v>
      </c>
      <c r="Q47" s="164"/>
      <c r="R47" s="531"/>
    </row>
    <row r="48" spans="1:18" ht="45" customHeight="1">
      <c r="A48" s="846"/>
      <c r="B48" s="846"/>
      <c r="C48" s="164"/>
      <c r="D48" s="164"/>
      <c r="E48" s="1307" t="s">
        <v>557</v>
      </c>
      <c r="F48" s="1322" t="s">
        <v>615</v>
      </c>
      <c r="G48" s="469" t="s">
        <v>559</v>
      </c>
      <c r="H48" s="470" t="str">
        <f>IF($F$5=$T$6,"Performance Pathway: Needs Analysis","Amenity Space – Performance Pathway")</f>
        <v>Amenity Space – Performance Pathway</v>
      </c>
      <c r="I48" s="471">
        <f>IF(F48=H48,1,0)</f>
        <v>0</v>
      </c>
      <c r="J48" s="482"/>
      <c r="K48" s="15"/>
      <c r="L48" s="810"/>
      <c r="M48" s="844"/>
      <c r="N48" s="455"/>
      <c r="O48" s="135" t="str">
        <f t="shared" ref="O48:P50" si="5">IF(ISBLANK($J48)=FALSE,IF(L48="","No","Yes"),"")</f>
        <v/>
      </c>
      <c r="P48" s="135" t="str">
        <f t="shared" si="5"/>
        <v/>
      </c>
      <c r="Q48" s="164"/>
      <c r="R48" s="533" t="str">
        <f>IF($F$5=$T$6,"Performance Pathway: Needs Analysis","Amenity Space – Performance Pathway")</f>
        <v>Amenity Space – Performance Pathway</v>
      </c>
    </row>
    <row r="49" spans="5:18" ht="45" customHeight="1">
      <c r="E49" s="1309"/>
      <c r="F49" s="1323"/>
      <c r="G49" s="469" t="s">
        <v>561</v>
      </c>
      <c r="H49" s="470" t="str">
        <f>IF($F$5=$T$6,"Prescriptive Pathway: Amenity Space","Amenity Space – Prescriptive Pathway")</f>
        <v>Amenity Space – Prescriptive Pathway</v>
      </c>
      <c r="I49" s="471">
        <f>IF(F48=H49,1,0)</f>
        <v>0</v>
      </c>
      <c r="J49" s="482"/>
      <c r="K49" s="15"/>
      <c r="L49" s="810"/>
      <c r="M49" s="844"/>
      <c r="N49" s="455"/>
      <c r="O49" s="135" t="str">
        <f t="shared" si="5"/>
        <v/>
      </c>
      <c r="P49" s="135" t="str">
        <f t="shared" si="5"/>
        <v/>
      </c>
      <c r="Q49" s="164"/>
      <c r="R49" s="534" t="str">
        <f>IF($F$5=$T$6,"Prescriptive Pathway: Amenity Space","Amenity Space – Prescriptive Pathway")</f>
        <v>Amenity Space – Prescriptive Pathway</v>
      </c>
    </row>
    <row r="50" spans="5:18" ht="45" customHeight="1">
      <c r="E50" s="167" t="s">
        <v>562</v>
      </c>
      <c r="F50" s="536" t="s">
        <v>563</v>
      </c>
      <c r="G50" s="469">
        <f>IF($F$5=$T$6,15.1,15)</f>
        <v>15</v>
      </c>
      <c r="H50" s="470" t="s">
        <v>564</v>
      </c>
      <c r="I50" s="477">
        <v>1</v>
      </c>
      <c r="J50" s="482"/>
      <c r="K50" s="15"/>
      <c r="L50" s="810"/>
      <c r="M50" s="844"/>
      <c r="N50" s="455"/>
      <c r="O50" s="135" t="str">
        <f t="shared" si="5"/>
        <v/>
      </c>
      <c r="P50" s="135" t="str">
        <f t="shared" si="5"/>
        <v/>
      </c>
      <c r="Q50" s="164"/>
      <c r="R50" s="531"/>
    </row>
    <row r="51" spans="5:18" ht="45" customHeight="1">
      <c r="E51" s="16" t="s">
        <v>305</v>
      </c>
      <c r="F51" s="16"/>
      <c r="G51" s="17"/>
      <c r="H51" s="16"/>
      <c r="I51" s="17">
        <f>SUM(I30:I50)</f>
        <v>22</v>
      </c>
      <c r="J51" s="17">
        <f>SUM(J30:J50)</f>
        <v>0</v>
      </c>
      <c r="K51" s="15"/>
      <c r="L51" s="71"/>
      <c r="M51" s="71"/>
      <c r="N51" s="16"/>
      <c r="O51" s="42"/>
      <c r="P51" s="42"/>
      <c r="Q51" s="164"/>
      <c r="R51" s="531"/>
    </row>
    <row r="52" spans="5:18" ht="45" customHeight="1">
      <c r="E52" s="828"/>
      <c r="F52" s="828"/>
      <c r="G52" s="817"/>
      <c r="H52" s="828"/>
      <c r="I52" s="817"/>
      <c r="J52" s="538"/>
      <c r="K52" s="34"/>
      <c r="L52" s="851"/>
      <c r="M52" s="851"/>
      <c r="N52" s="531"/>
      <c r="O52" s="434"/>
      <c r="P52" s="434"/>
      <c r="Q52" s="164"/>
      <c r="R52" s="531"/>
    </row>
    <row r="53" spans="5:18" ht="45" customHeight="1">
      <c r="E53" s="1313" t="s">
        <v>335</v>
      </c>
      <c r="F53" s="1313"/>
      <c r="G53" s="1313"/>
      <c r="H53" s="1313"/>
      <c r="I53" s="75">
        <v>20</v>
      </c>
      <c r="J53" s="75"/>
      <c r="K53" s="146"/>
      <c r="L53" s="435"/>
      <c r="M53" s="437"/>
      <c r="N53" s="438"/>
      <c r="O53" s="439"/>
      <c r="P53" s="439"/>
      <c r="Q53" s="164"/>
      <c r="R53" s="531"/>
    </row>
    <row r="54" spans="5:18" ht="45" customHeight="1">
      <c r="E54" s="1325" t="s">
        <v>336</v>
      </c>
      <c r="F54" s="1327" t="s">
        <v>616</v>
      </c>
      <c r="G54" s="473" t="s">
        <v>617</v>
      </c>
      <c r="H54" s="474" t="str">
        <f>IF($F$5=$T$6,"Conditional Requirement: Prescriptive Pathway: Non-Residential Fitouts","Conditional Requirement: Prescriptive Pathway")</f>
        <v>Conditional Requirement: Prescriptive Pathway</v>
      </c>
      <c r="I54" s="473" t="s">
        <v>264</v>
      </c>
      <c r="J54" s="482"/>
      <c r="K54" s="12"/>
      <c r="L54" s="810"/>
      <c r="M54" s="844"/>
      <c r="N54" s="455"/>
      <c r="O54" s="135" t="str">
        <f>IF(ISBLANK($J54)=FALSE,IF(L54="","No","Yes"),"")</f>
        <v/>
      </c>
      <c r="P54" s="135" t="str">
        <f>IF(ISBLANK($J54)=FALSE,IF(M54="","No","Yes"),"")</f>
        <v/>
      </c>
      <c r="Q54" s="164"/>
      <c r="R54" s="853" t="s">
        <v>504</v>
      </c>
    </row>
    <row r="55" spans="5:18" ht="45" customHeight="1">
      <c r="E55" s="1326"/>
      <c r="F55" s="1328"/>
      <c r="G55" s="473" t="s">
        <v>618</v>
      </c>
      <c r="H55" s="472" t="s">
        <v>619</v>
      </c>
      <c r="I55" s="475">
        <f>IF(F54=R54,3,0)</f>
        <v>0</v>
      </c>
      <c r="J55" s="482"/>
      <c r="K55" s="1318" t="str">
        <f>IF(SUM(J55:J60)&gt;8,"ERROR: the total number of points available for this Pathway is 8. Please enter a points score less than or equal to 8.","")</f>
        <v/>
      </c>
      <c r="L55" s="810"/>
      <c r="M55" s="844"/>
      <c r="N55" s="455"/>
      <c r="O55" s="135" t="str">
        <f t="shared" ref="O55:O75" si="6">IF(ISBLANK($J55)=FALSE,IF(L55="","No","Yes"),"")</f>
        <v/>
      </c>
      <c r="P55" s="135" t="str">
        <f t="shared" ref="P55:P75" si="7">IF(ISBLANK($J55)=FALSE,IF(M55="","No","Yes"),"")</f>
        <v/>
      </c>
      <c r="Q55" s="164"/>
      <c r="R55" s="854" t="s">
        <v>616</v>
      </c>
    </row>
    <row r="56" spans="5:18" ht="45" customHeight="1">
      <c r="E56" s="1326"/>
      <c r="F56" s="1328"/>
      <c r="G56" s="473" t="s">
        <v>620</v>
      </c>
      <c r="H56" s="472" t="s">
        <v>621</v>
      </c>
      <c r="I56" s="475">
        <f>IF(F54=R54,2,0)</f>
        <v>0</v>
      </c>
      <c r="J56" s="482"/>
      <c r="K56" s="1318"/>
      <c r="L56" s="810"/>
      <c r="M56" s="844"/>
      <c r="N56" s="455"/>
      <c r="O56" s="135" t="str">
        <f t="shared" si="6"/>
        <v/>
      </c>
      <c r="P56" s="135" t="str">
        <f t="shared" si="7"/>
        <v/>
      </c>
      <c r="Q56" s="164"/>
      <c r="R56" s="854" t="s">
        <v>622</v>
      </c>
    </row>
    <row r="57" spans="5:18" ht="45" customHeight="1">
      <c r="E57" s="1326"/>
      <c r="F57" s="1328"/>
      <c r="G57" s="473" t="s">
        <v>623</v>
      </c>
      <c r="H57" s="472" t="str">
        <f>IF($F$5=$T$6,"Domestic Hot Water","Domestic Hot Water Systems")</f>
        <v>Domestic Hot Water Systems</v>
      </c>
      <c r="I57" s="475">
        <f>IF(F54=R54,1,0)</f>
        <v>0</v>
      </c>
      <c r="J57" s="482"/>
      <c r="K57" s="1318"/>
      <c r="L57" s="810"/>
      <c r="M57" s="844"/>
      <c r="N57" s="455"/>
      <c r="O57" s="135" t="str">
        <f t="shared" si="6"/>
        <v/>
      </c>
      <c r="P57" s="135" t="str">
        <f t="shared" si="7"/>
        <v/>
      </c>
      <c r="Q57" s="164"/>
      <c r="R57" s="855" t="s">
        <v>624</v>
      </c>
    </row>
    <row r="58" spans="5:18" ht="45" customHeight="1">
      <c r="E58" s="1326"/>
      <c r="F58" s="1328"/>
      <c r="G58" s="473" t="s">
        <v>625</v>
      </c>
      <c r="H58" s="472" t="s">
        <v>626</v>
      </c>
      <c r="I58" s="475">
        <f>IF(F54=R54,3,0)</f>
        <v>0</v>
      </c>
      <c r="J58" s="482"/>
      <c r="K58" s="1318"/>
      <c r="L58" s="810"/>
      <c r="M58" s="844"/>
      <c r="N58" s="455"/>
      <c r="O58" s="135" t="str">
        <f t="shared" si="6"/>
        <v/>
      </c>
      <c r="P58" s="135" t="str">
        <f t="shared" si="7"/>
        <v/>
      </c>
      <c r="Q58" s="164"/>
      <c r="R58" s="531"/>
    </row>
    <row r="59" spans="5:18" ht="45" customHeight="1">
      <c r="E59" s="1326"/>
      <c r="F59" s="1328"/>
      <c r="G59" s="473" t="s">
        <v>627</v>
      </c>
      <c r="H59" s="472" t="s">
        <v>628</v>
      </c>
      <c r="I59" s="475">
        <f>IF(F54=R54,1,0)</f>
        <v>0</v>
      </c>
      <c r="J59" s="482"/>
      <c r="K59" s="1318"/>
      <c r="L59" s="810"/>
      <c r="M59" s="844"/>
      <c r="N59" s="455"/>
      <c r="O59" s="135" t="str">
        <f t="shared" si="6"/>
        <v/>
      </c>
      <c r="P59" s="135" t="str">
        <f t="shared" si="7"/>
        <v/>
      </c>
      <c r="Q59" s="164"/>
      <c r="R59" s="531"/>
    </row>
    <row r="60" spans="5:18" ht="45" customHeight="1">
      <c r="E60" s="1326"/>
      <c r="F60" s="1328"/>
      <c r="G60" s="473" t="s">
        <v>629</v>
      </c>
      <c r="H60" s="472" t="str">
        <f>IF($F$5=$T$6,"Vertical Transportation","Accredited GreenPower")</f>
        <v>Accredited GreenPower</v>
      </c>
      <c r="I60" s="475">
        <f>IF(F54=R54,IF(OR($F$5=$T$3,$F$5=$T$4),3,IF($F$5=$T$5,5,1)),0)</f>
        <v>0</v>
      </c>
      <c r="J60" s="482"/>
      <c r="K60" s="1318"/>
      <c r="L60" s="810"/>
      <c r="M60" s="844"/>
      <c r="N60" s="455"/>
      <c r="O60" s="135" t="str">
        <f t="shared" si="6"/>
        <v/>
      </c>
      <c r="P60" s="135" t="str">
        <f t="shared" si="7"/>
        <v/>
      </c>
      <c r="Q60" s="164"/>
      <c r="R60" s="531"/>
    </row>
    <row r="61" spans="5:18" ht="45" customHeight="1">
      <c r="E61" s="1326"/>
      <c r="F61" s="1328"/>
      <c r="G61" s="473" t="str">
        <f>IF($F$5=$T$6,"16A.7","")</f>
        <v/>
      </c>
      <c r="H61" s="472" t="str">
        <f>IF($F$5=$T$6,"Off-Site Renewables","-")</f>
        <v>-</v>
      </c>
      <c r="I61" s="476">
        <f>IF(AND(F54=R54,$F$5=$T$6),5,0)</f>
        <v>0</v>
      </c>
      <c r="J61" s="482"/>
      <c r="K61" s="146"/>
      <c r="L61" s="810"/>
      <c r="M61" s="844"/>
      <c r="N61" s="455"/>
      <c r="O61" s="135" t="str">
        <f t="shared" si="6"/>
        <v/>
      </c>
      <c r="P61" s="135" t="str">
        <f t="shared" si="7"/>
        <v/>
      </c>
      <c r="Q61" s="164"/>
      <c r="R61" s="531"/>
    </row>
    <row r="62" spans="5:18" ht="45" customHeight="1">
      <c r="E62" s="1326"/>
      <c r="F62" s="1328"/>
      <c r="G62" s="473" t="s">
        <v>630</v>
      </c>
      <c r="H62" s="474" t="s">
        <v>631</v>
      </c>
      <c r="I62" s="473" t="s">
        <v>264</v>
      </c>
      <c r="J62" s="482"/>
      <c r="K62" s="12"/>
      <c r="L62" s="810"/>
      <c r="M62" s="844"/>
      <c r="N62" s="455"/>
      <c r="O62" s="135" t="str">
        <f t="shared" si="6"/>
        <v/>
      </c>
      <c r="P62" s="135" t="str">
        <f t="shared" si="7"/>
        <v/>
      </c>
      <c r="Q62" s="164"/>
      <c r="R62" s="531"/>
    </row>
    <row r="63" spans="5:18" ht="45" customHeight="1">
      <c r="E63" s="1326"/>
      <c r="F63" s="1328"/>
      <c r="G63" s="473" t="s">
        <v>632</v>
      </c>
      <c r="H63" s="472" t="s">
        <v>619</v>
      </c>
      <c r="I63" s="473">
        <f>IF(F54=R55,2,0)</f>
        <v>2</v>
      </c>
      <c r="J63" s="482"/>
      <c r="K63" s="1318" t="str">
        <f>IF(SUM(J63:J67)&gt;8,"ERROR: the total number of points available for this Pathway is 8. Please enter a points score less than or equal to 8.","")</f>
        <v/>
      </c>
      <c r="L63" s="810"/>
      <c r="M63" s="844"/>
      <c r="N63" s="455"/>
      <c r="O63" s="135" t="str">
        <f t="shared" si="6"/>
        <v/>
      </c>
      <c r="P63" s="135" t="str">
        <f t="shared" si="7"/>
        <v/>
      </c>
      <c r="Q63" s="164"/>
      <c r="R63" s="531"/>
    </row>
    <row r="64" spans="5:18" ht="45" customHeight="1">
      <c r="E64" s="1326"/>
      <c r="F64" s="1328"/>
      <c r="G64" s="473" t="s">
        <v>633</v>
      </c>
      <c r="H64" s="472" t="s">
        <v>621</v>
      </c>
      <c r="I64" s="473">
        <f>IF(F54=R55,3,0)</f>
        <v>3</v>
      </c>
      <c r="J64" s="482"/>
      <c r="K64" s="1318"/>
      <c r="L64" s="810"/>
      <c r="M64" s="844"/>
      <c r="N64" s="455"/>
      <c r="O64" s="135" t="str">
        <f t="shared" si="6"/>
        <v/>
      </c>
      <c r="P64" s="135" t="str">
        <f t="shared" si="7"/>
        <v/>
      </c>
      <c r="Q64" s="164"/>
      <c r="R64" s="531"/>
    </row>
    <row r="65" spans="5:18" ht="45" customHeight="1">
      <c r="E65" s="1326"/>
      <c r="F65" s="1328"/>
      <c r="G65" s="473" t="s">
        <v>634</v>
      </c>
      <c r="H65" s="472" t="s">
        <v>635</v>
      </c>
      <c r="I65" s="473">
        <f>IF(F54=R55,1,0)</f>
        <v>1</v>
      </c>
      <c r="J65" s="482"/>
      <c r="K65" s="1318"/>
      <c r="L65" s="810"/>
      <c r="M65" s="844"/>
      <c r="N65" s="455"/>
      <c r="O65" s="135" t="str">
        <f t="shared" si="6"/>
        <v/>
      </c>
      <c r="P65" s="135" t="str">
        <f t="shared" si="7"/>
        <v/>
      </c>
      <c r="Q65" s="164"/>
      <c r="R65" s="531"/>
    </row>
    <row r="66" spans="5:18" ht="45" customHeight="1">
      <c r="E66" s="1326"/>
      <c r="F66" s="1328"/>
      <c r="G66" s="473" t="s">
        <v>636</v>
      </c>
      <c r="H66" s="472" t="s">
        <v>637</v>
      </c>
      <c r="I66" s="473">
        <f>IF(F54=R55,2,0)</f>
        <v>2</v>
      </c>
      <c r="J66" s="482"/>
      <c r="K66" s="1318"/>
      <c r="L66" s="810"/>
      <c r="M66" s="844"/>
      <c r="N66" s="455"/>
      <c r="O66" s="135" t="str">
        <f t="shared" si="6"/>
        <v/>
      </c>
      <c r="P66" s="135" t="str">
        <f t="shared" si="7"/>
        <v/>
      </c>
      <c r="Q66" s="164"/>
      <c r="R66" s="531"/>
    </row>
    <row r="67" spans="5:18" ht="45" customHeight="1">
      <c r="E67" s="1326"/>
      <c r="F67" s="1328"/>
      <c r="G67" s="473" t="s">
        <v>638</v>
      </c>
      <c r="H67" s="472" t="str">
        <f>IF($F$5=$T$6,"Passive Laundry Facilities","Accredited GreenPower")</f>
        <v>Accredited GreenPower</v>
      </c>
      <c r="I67" s="473">
        <f>IF(F54=R55,IF(OR($F$5=$T$3,$F$5=$T$4),3,1),0)</f>
        <v>1</v>
      </c>
      <c r="J67" s="482"/>
      <c r="K67" s="1318"/>
      <c r="L67" s="810"/>
      <c r="M67" s="844"/>
      <c r="N67" s="455"/>
      <c r="O67" s="135" t="str">
        <f t="shared" si="6"/>
        <v/>
      </c>
      <c r="P67" s="135" t="str">
        <f t="shared" si="7"/>
        <v/>
      </c>
      <c r="Q67" s="164"/>
      <c r="R67" s="531"/>
    </row>
    <row r="68" spans="5:18" ht="45" customHeight="1">
      <c r="E68" s="1326"/>
      <c r="F68" s="1328"/>
      <c r="G68" s="473" t="str">
        <f>IF($F$5=$T$6,"16B.6","")</f>
        <v/>
      </c>
      <c r="H68" s="472" t="str">
        <f>IF($F$5=$T$6,"Off-site Renewables","")</f>
        <v/>
      </c>
      <c r="I68" s="473">
        <f>IF(AND(F54=R55,$F$5=$T$6),5,0)</f>
        <v>0</v>
      </c>
      <c r="J68" s="482"/>
      <c r="K68" s="146"/>
      <c r="L68" s="810"/>
      <c r="M68" s="844"/>
      <c r="N68" s="455"/>
      <c r="O68" s="135" t="str">
        <f t="shared" si="6"/>
        <v/>
      </c>
      <c r="P68" s="135" t="str">
        <f t="shared" si="7"/>
        <v/>
      </c>
      <c r="Q68" s="164"/>
      <c r="R68" s="531"/>
    </row>
    <row r="69" spans="5:18" ht="45" customHeight="1">
      <c r="E69" s="1326"/>
      <c r="F69" s="1328"/>
      <c r="G69" s="473" t="s">
        <v>639</v>
      </c>
      <c r="H69" s="474" t="s">
        <v>640</v>
      </c>
      <c r="I69" s="473">
        <f>IF(AND(F54=R56,$F$5=$T$6),5,0)</f>
        <v>0</v>
      </c>
      <c r="J69" s="482"/>
      <c r="K69" s="12"/>
      <c r="L69" s="810"/>
      <c r="M69" s="844"/>
      <c r="N69" s="455"/>
      <c r="O69" s="135" t="str">
        <f t="shared" si="6"/>
        <v/>
      </c>
      <c r="P69" s="135" t="str">
        <f t="shared" si="7"/>
        <v/>
      </c>
      <c r="Q69" s="164"/>
      <c r="R69" s="531"/>
    </row>
    <row r="70" spans="5:18" ht="45" customHeight="1">
      <c r="E70" s="1326"/>
      <c r="F70" s="1328"/>
      <c r="G70" s="473" t="s">
        <v>641</v>
      </c>
      <c r="H70" s="474" t="str">
        <f>IF($F$5=$T$6,"NABERS Greenhouse Gas Emissions Reduction","NABERS Energy Commitment Agreement Pathway")</f>
        <v>NABERS Energy Commitment Agreement Pathway</v>
      </c>
      <c r="I70" s="473">
        <f>IF(F54=R56,20,0)</f>
        <v>0</v>
      </c>
      <c r="J70" s="482"/>
      <c r="K70" s="15" t="str">
        <f>IF(AND(J70&gt;0,J69&lt;&gt;$T$8),"!","")</f>
        <v/>
      </c>
      <c r="L70" s="810"/>
      <c r="M70" s="844"/>
      <c r="N70" s="455"/>
      <c r="O70" s="135" t="str">
        <f t="shared" si="6"/>
        <v/>
      </c>
      <c r="P70" s="135" t="str">
        <f t="shared" si="7"/>
        <v/>
      </c>
      <c r="Q70" s="164"/>
      <c r="R70" s="531"/>
    </row>
    <row r="71" spans="5:18" ht="45" customHeight="1">
      <c r="E71" s="1326"/>
      <c r="F71" s="1328"/>
      <c r="G71" s="473" t="str">
        <f>IF($F$5=$T$6,"16C.2","")</f>
        <v/>
      </c>
      <c r="H71" s="474" t="str">
        <f>IF($F$5=$T$6,"Off-site Renewables","-")</f>
        <v>-</v>
      </c>
      <c r="I71" s="473">
        <f>IF(AND(F54=R56,$F$5=$T$6),12,0)</f>
        <v>0</v>
      </c>
      <c r="J71" s="482"/>
      <c r="K71" s="15"/>
      <c r="L71" s="810"/>
      <c r="M71" s="844"/>
      <c r="N71" s="455"/>
      <c r="O71" s="135" t="str">
        <f t="shared" si="6"/>
        <v/>
      </c>
      <c r="P71" s="135" t="str">
        <f t="shared" si="7"/>
        <v/>
      </c>
      <c r="Q71" s="164"/>
      <c r="R71" s="531"/>
    </row>
    <row r="72" spans="5:18" ht="45" customHeight="1">
      <c r="E72" s="1326"/>
      <c r="F72" s="1328"/>
      <c r="G72" s="473" t="s">
        <v>642</v>
      </c>
      <c r="H72" s="474" t="str">
        <f>IF($F$5=$T$6,"Conditional Requirement: Reference Fitout Pathway","Conditional Requirement: GHG Emissions Reduction – Reference Fitout Pathway")</f>
        <v>Conditional Requirement: GHG Emissions Reduction – Reference Fitout Pathway</v>
      </c>
      <c r="I72" s="473" t="s">
        <v>264</v>
      </c>
      <c r="J72" s="482"/>
      <c r="K72" s="12"/>
      <c r="L72" s="810"/>
      <c r="M72" s="844"/>
      <c r="N72" s="455"/>
      <c r="O72" s="135" t="str">
        <f t="shared" si="6"/>
        <v/>
      </c>
      <c r="P72" s="135" t="str">
        <f t="shared" si="7"/>
        <v/>
      </c>
      <c r="Q72" s="164"/>
      <c r="R72" s="531"/>
    </row>
    <row r="73" spans="5:18" ht="45" customHeight="1">
      <c r="E73" s="1326"/>
      <c r="F73" s="1328"/>
      <c r="G73" s="473" t="s">
        <v>643</v>
      </c>
      <c r="H73" s="474" t="str">
        <f>IF($F$5=$T$6,"GHG Emissions Reduction","GHG Emissions Reduction – Reference Fitout Pathway")</f>
        <v>GHG Emissions Reduction – Reference Fitout Pathway</v>
      </c>
      <c r="I73" s="473">
        <f>IF(F54=R57,20,0)</f>
        <v>0</v>
      </c>
      <c r="J73" s="482"/>
      <c r="K73" s="15" t="str">
        <f>IF(AND(J73&gt;0,J72&lt;&gt;$T$8),"!","")</f>
        <v/>
      </c>
      <c r="L73" s="810"/>
      <c r="M73" s="844"/>
      <c r="N73" s="455"/>
      <c r="O73" s="135" t="str">
        <f t="shared" si="6"/>
        <v/>
      </c>
      <c r="P73" s="135" t="str">
        <f t="shared" si="7"/>
        <v/>
      </c>
      <c r="Q73" s="164"/>
      <c r="R73" s="531"/>
    </row>
    <row r="74" spans="5:18" ht="45" customHeight="1">
      <c r="E74" s="1326"/>
      <c r="F74" s="1328"/>
      <c r="G74" s="477" t="str">
        <f>IF($F$5=$T$6,"16D.2","")</f>
        <v/>
      </c>
      <c r="H74" s="474" t="str">
        <f>IF($F$5=$T$6,"Off-site Renewables","-")</f>
        <v>-</v>
      </c>
      <c r="I74" s="473">
        <f>IF(AND(F54=R57,$F$5=$T$6),10.8,0)</f>
        <v>0</v>
      </c>
      <c r="J74" s="483"/>
      <c r="K74" s="15"/>
      <c r="L74" s="810"/>
      <c r="M74" s="844"/>
      <c r="N74" s="455"/>
      <c r="O74" s="135" t="str">
        <f t="shared" si="6"/>
        <v/>
      </c>
      <c r="P74" s="135" t="str">
        <f t="shared" si="7"/>
        <v/>
      </c>
      <c r="Q74" s="164"/>
      <c r="R74" s="531"/>
    </row>
    <row r="75" spans="5:18" ht="45" customHeight="1">
      <c r="E75" s="1326"/>
      <c r="F75" s="1328"/>
      <c r="G75" s="477" t="str">
        <f>IF($F$5=$T$6,"16D.3","")</f>
        <v/>
      </c>
      <c r="H75" s="474" t="str">
        <f>IF($F$5=$T$6,"District Services","-")</f>
        <v>-</v>
      </c>
      <c r="I75" s="473">
        <f>IF(AND(F54=R57,$F$5=$T$6),9,0)</f>
        <v>0</v>
      </c>
      <c r="J75" s="483"/>
      <c r="K75" s="15"/>
      <c r="L75" s="810"/>
      <c r="M75" s="844"/>
      <c r="N75" s="455"/>
      <c r="O75" s="135" t="str">
        <f t="shared" si="6"/>
        <v/>
      </c>
      <c r="P75" s="135" t="str">
        <f t="shared" si="7"/>
        <v/>
      </c>
      <c r="Q75" s="164"/>
      <c r="R75" s="531"/>
    </row>
    <row r="76" spans="5:18" ht="45" customHeight="1">
      <c r="E76" s="16" t="s">
        <v>305</v>
      </c>
      <c r="F76" s="16"/>
      <c r="G76" s="17"/>
      <c r="H76" s="16"/>
      <c r="I76" s="17">
        <f>IF(F54=R54, 8, IF(F54=R55, 8, IF(F54=R56, 20, 20)))</f>
        <v>8</v>
      </c>
      <c r="J76" s="17">
        <f>SUM(J54:J73)</f>
        <v>0</v>
      </c>
      <c r="K76" s="12"/>
      <c r="L76" s="71"/>
      <c r="M76" s="71"/>
      <c r="N76" s="16"/>
      <c r="O76" s="42"/>
      <c r="P76" s="42"/>
      <c r="Q76" s="164"/>
      <c r="R76" s="531"/>
    </row>
    <row r="77" spans="5:18" ht="45" customHeight="1">
      <c r="E77" s="814"/>
      <c r="F77" s="814"/>
      <c r="G77" s="538"/>
      <c r="H77" s="814"/>
      <c r="I77" s="538"/>
      <c r="J77" s="538"/>
      <c r="K77" s="36"/>
      <c r="L77" s="851"/>
      <c r="M77" s="851"/>
      <c r="N77" s="531"/>
      <c r="O77" s="434"/>
      <c r="P77" s="434"/>
      <c r="Q77" s="164"/>
      <c r="R77" s="531"/>
    </row>
    <row r="78" spans="5:18" ht="45" customHeight="1">
      <c r="E78" s="166" t="s">
        <v>345</v>
      </c>
      <c r="F78" s="76"/>
      <c r="G78" s="75"/>
      <c r="H78" s="76"/>
      <c r="I78" s="75">
        <v>7</v>
      </c>
      <c r="J78" s="75"/>
      <c r="K78" s="35"/>
      <c r="L78" s="435"/>
      <c r="M78" s="437"/>
      <c r="N78" s="438"/>
      <c r="O78" s="439"/>
      <c r="P78" s="439"/>
      <c r="Q78" s="164"/>
      <c r="R78" s="531"/>
    </row>
    <row r="79" spans="5:18" ht="45" customHeight="1">
      <c r="E79" s="1314" t="s">
        <v>346</v>
      </c>
      <c r="F79" s="1331" t="s">
        <v>498</v>
      </c>
      <c r="G79" s="465" t="str">
        <f>IF($F$5=$T$6,"17A","17A.1")</f>
        <v>17A.1</v>
      </c>
      <c r="H79" s="468" t="s">
        <v>265</v>
      </c>
      <c r="I79" s="467">
        <f>IF($F$79=$R$79,7,0)</f>
        <v>7</v>
      </c>
      <c r="J79" s="481"/>
      <c r="K79" s="12"/>
      <c r="L79" s="810"/>
      <c r="M79" s="844"/>
      <c r="N79" s="455"/>
      <c r="O79" s="135" t="str">
        <f>IF(ISBLANK($J79)=FALSE,IF(L79="","No","Yes"),"")</f>
        <v/>
      </c>
      <c r="P79" s="135" t="str">
        <f>IF(ISBLANK($J79)=FALSE,IF(M79="","No","Yes"),"")</f>
        <v/>
      </c>
      <c r="Q79" s="164"/>
      <c r="R79" s="533" t="s">
        <v>498</v>
      </c>
    </row>
    <row r="80" spans="5:18" ht="45" customHeight="1">
      <c r="E80" s="1305"/>
      <c r="F80" s="1332"/>
      <c r="G80" s="465" t="s">
        <v>467</v>
      </c>
      <c r="H80" s="468" t="s">
        <v>348</v>
      </c>
      <c r="I80" s="465">
        <f>IF($F$79=$R$80,3,0)</f>
        <v>0</v>
      </c>
      <c r="J80" s="481"/>
      <c r="K80" s="12"/>
      <c r="L80" s="810"/>
      <c r="M80" s="844"/>
      <c r="N80" s="455"/>
      <c r="O80" s="135" t="str">
        <f>IF(ISBLANK($J80)=FALSE,IF(L80="","No","Yes"),"")</f>
        <v/>
      </c>
      <c r="P80" s="135" t="str">
        <f>IF(ISBLANK($J80)=FALSE,IF(M80="","No","Yes"),"")</f>
        <v/>
      </c>
      <c r="Q80" s="164"/>
      <c r="R80" s="534" t="s">
        <v>496</v>
      </c>
    </row>
    <row r="81" spans="1:18" ht="45" customHeight="1">
      <c r="A81" s="856">
        <f>IF(AND(F79=R80,B81=TRUE),1,0)</f>
        <v>0</v>
      </c>
      <c r="B81" s="846" t="b">
        <v>0</v>
      </c>
      <c r="C81" s="164"/>
      <c r="D81" s="164"/>
      <c r="E81" s="1305"/>
      <c r="F81" s="1332"/>
      <c r="G81" s="465" t="s">
        <v>470</v>
      </c>
      <c r="H81" s="468" t="s">
        <v>350</v>
      </c>
      <c r="I81" s="465">
        <f>IF(AND(F79=R80,B81=FALSE),1,0)</f>
        <v>0</v>
      </c>
      <c r="J81" s="481"/>
      <c r="K81" s="12"/>
      <c r="L81" s="810"/>
      <c r="M81" s="844"/>
      <c r="N81" s="455"/>
      <c r="O81" s="135" t="str">
        <f>IF(OR(ISBLANK($J81)=FALSE,B81=TRUE),IF(L81="","No","Yes"),"")</f>
        <v/>
      </c>
      <c r="P81" s="135" t="b">
        <f>IF(ISBLANK($J81)=FALSE,IF(M81="","No","Yes"),IF($B81=TRUE,"NA"))</f>
        <v>0</v>
      </c>
      <c r="Q81" s="164"/>
      <c r="R81" s="531"/>
    </row>
    <row r="82" spans="1:18" ht="45" customHeight="1">
      <c r="A82" s="846"/>
      <c r="B82" s="846"/>
      <c r="C82" s="164"/>
      <c r="D82" s="164"/>
      <c r="E82" s="1305"/>
      <c r="F82" s="1332"/>
      <c r="G82" s="465" t="s">
        <v>472</v>
      </c>
      <c r="H82" s="468" t="s">
        <v>351</v>
      </c>
      <c r="I82" s="465">
        <f>IF($F$79=$R$80,1,0)</f>
        <v>0</v>
      </c>
      <c r="J82" s="481"/>
      <c r="K82" s="12"/>
      <c r="L82" s="810"/>
      <c r="M82" s="844"/>
      <c r="N82" s="455"/>
      <c r="O82" s="135" t="str">
        <f>IF(ISBLANK($J82)=FALSE,IF(L82="","No","Yes"),"")</f>
        <v/>
      </c>
      <c r="P82" s="135" t="str">
        <f>IF(ISBLANK($J82)=FALSE,IF(M82="","No","Yes"),"")</f>
        <v/>
      </c>
      <c r="Q82" s="164"/>
      <c r="R82" s="531"/>
    </row>
    <row r="83" spans="1:18" ht="45" customHeight="1">
      <c r="A83" s="846"/>
      <c r="B83" s="846"/>
      <c r="C83" s="164"/>
      <c r="D83" s="164"/>
      <c r="E83" s="1307"/>
      <c r="F83" s="1323"/>
      <c r="G83" s="465" t="s">
        <v>474</v>
      </c>
      <c r="H83" s="468" t="s">
        <v>352</v>
      </c>
      <c r="I83" s="478">
        <f>IF($F$79=$R$80,1,0)</f>
        <v>0</v>
      </c>
      <c r="J83" s="481"/>
      <c r="K83" s="12"/>
      <c r="L83" s="810"/>
      <c r="M83" s="844"/>
      <c r="N83" s="455"/>
      <c r="O83" s="135" t="str">
        <f>IF(ISBLANK($J83)=FALSE,IF(L83="","No","Yes"),"")</f>
        <v/>
      </c>
      <c r="P83" s="135" t="str">
        <f>IF(ISBLANK($J83)=FALSE,IF(M83="","No","Yes"),"")</f>
        <v/>
      </c>
      <c r="Q83" s="164"/>
      <c r="R83" s="531"/>
    </row>
    <row r="84" spans="1:18" ht="45" customHeight="1">
      <c r="A84" s="846"/>
      <c r="B84" s="846"/>
      <c r="C84" s="164"/>
      <c r="D84" s="164"/>
      <c r="E84" s="16" t="s">
        <v>305</v>
      </c>
      <c r="F84" s="16"/>
      <c r="G84" s="17"/>
      <c r="H84" s="16"/>
      <c r="I84" s="17">
        <f>SUM(I79:I83)</f>
        <v>7</v>
      </c>
      <c r="J84" s="17">
        <f>SUM(J79:J83)</f>
        <v>0</v>
      </c>
      <c r="K84" s="12"/>
      <c r="L84" s="71"/>
      <c r="M84" s="71"/>
      <c r="N84" s="16"/>
      <c r="O84" s="42"/>
      <c r="P84" s="42"/>
      <c r="Q84" s="164"/>
      <c r="R84" s="531"/>
    </row>
    <row r="85" spans="1:18" ht="45" customHeight="1">
      <c r="A85" s="846"/>
      <c r="B85" s="846"/>
      <c r="C85" s="164"/>
      <c r="D85" s="164"/>
      <c r="E85" s="814"/>
      <c r="F85" s="814"/>
      <c r="G85" s="538"/>
      <c r="H85" s="814"/>
      <c r="I85" s="538"/>
      <c r="J85" s="538"/>
      <c r="K85" s="36"/>
      <c r="L85" s="851"/>
      <c r="M85" s="857"/>
      <c r="N85" s="164"/>
      <c r="O85" s="269"/>
      <c r="P85" s="269"/>
      <c r="Q85" s="164"/>
      <c r="R85" s="531"/>
    </row>
    <row r="86" spans="1:18" ht="45" customHeight="1">
      <c r="A86" s="846"/>
      <c r="B86" s="846"/>
      <c r="C86" s="164"/>
      <c r="D86" s="164"/>
      <c r="E86" s="166" t="s">
        <v>353</v>
      </c>
      <c r="F86" s="76"/>
      <c r="G86" s="75"/>
      <c r="H86" s="76"/>
      <c r="I86" s="75">
        <v>5</v>
      </c>
      <c r="J86" s="75"/>
      <c r="K86" s="12"/>
      <c r="L86" s="435"/>
      <c r="M86" s="437"/>
      <c r="N86" s="438"/>
      <c r="O86" s="439"/>
      <c r="P86" s="439"/>
      <c r="Q86" s="164"/>
      <c r="R86" s="531"/>
    </row>
    <row r="87" spans="1:18" ht="45" customHeight="1">
      <c r="A87" s="846"/>
      <c r="B87" s="846"/>
      <c r="C87" s="164"/>
      <c r="D87" s="164"/>
      <c r="E87" s="1314" t="s">
        <v>354</v>
      </c>
      <c r="F87" s="1333" t="s">
        <v>498</v>
      </c>
      <c r="G87" s="465" t="str">
        <f>IF($F$5=$T$6,"18A","18A.1")</f>
        <v>18A.1</v>
      </c>
      <c r="H87" s="466" t="s">
        <v>265</v>
      </c>
      <c r="I87" s="467">
        <f>IF($F$87=R87,5,0)</f>
        <v>5</v>
      </c>
      <c r="J87" s="481"/>
      <c r="K87" s="12"/>
      <c r="L87" s="810"/>
      <c r="M87" s="844"/>
      <c r="N87" s="455"/>
      <c r="O87" s="135" t="str">
        <f>IF(ISBLANK($J87)=FALSE,IF(L87="","No","Yes"),"")</f>
        <v/>
      </c>
      <c r="P87" s="135" t="str">
        <f>IF(ISBLANK($J87)=FALSE,IF(M87="","No","Yes"),"")</f>
        <v/>
      </c>
      <c r="Q87" s="164"/>
      <c r="R87" s="533" t="s">
        <v>498</v>
      </c>
    </row>
    <row r="88" spans="1:18" ht="45" customHeight="1">
      <c r="A88" s="856">
        <f>IF(AND($F$87=$R$88,B88=TRUE),1,0)</f>
        <v>0</v>
      </c>
      <c r="B88" s="822" t="b">
        <v>0</v>
      </c>
      <c r="C88" s="164"/>
      <c r="D88" s="164"/>
      <c r="E88" s="1305"/>
      <c r="F88" s="1225"/>
      <c r="G88" s="465" t="s">
        <v>357</v>
      </c>
      <c r="H88" s="468" t="s">
        <v>358</v>
      </c>
      <c r="I88" s="465">
        <f>IF(AND($F$87=$R$88,B88=FALSE),1,0)</f>
        <v>0</v>
      </c>
      <c r="J88" s="481"/>
      <c r="K88" s="440"/>
      <c r="L88" s="810"/>
      <c r="M88" s="844"/>
      <c r="N88" s="455"/>
      <c r="O88" s="135" t="str">
        <f>IF(OR(ISBLANK($J88)=FALSE,B88=TRUE),IF(L88="","No","Yes"),"")</f>
        <v/>
      </c>
      <c r="P88" s="135" t="b">
        <f>IF(ISBLANK($J88)=FALSE,IF(M88="","No","Yes"),IF($B88=TRUE,"NA"))</f>
        <v>0</v>
      </c>
      <c r="Q88" s="164"/>
      <c r="R88" s="534" t="s">
        <v>496</v>
      </c>
    </row>
    <row r="89" spans="1:18" ht="45" customHeight="1">
      <c r="A89" s="856">
        <f>IF(AND($F$87=$R$88,B89=TRUE),1,0)</f>
        <v>0</v>
      </c>
      <c r="B89" s="846" t="b">
        <v>0</v>
      </c>
      <c r="C89" s="164"/>
      <c r="D89" s="164"/>
      <c r="E89" s="1305"/>
      <c r="F89" s="1225"/>
      <c r="G89" s="465" t="s">
        <v>359</v>
      </c>
      <c r="H89" s="468" t="s">
        <v>582</v>
      </c>
      <c r="I89" s="465">
        <f>IF(AND($F$87=$R$88,B89=FALSE),1,0)</f>
        <v>0</v>
      </c>
      <c r="J89" s="481"/>
      <c r="K89" s="12"/>
      <c r="L89" s="810"/>
      <c r="M89" s="844"/>
      <c r="N89" s="455"/>
      <c r="O89" s="135" t="str">
        <f>IF(OR(ISBLANK($J89)=FALSE,B89=TRUE),IF(L89="","No","Yes"),"")</f>
        <v/>
      </c>
      <c r="P89" s="135" t="b">
        <f>IF(ISBLANK($J89)=FALSE,IF(M89="","No","Yes"),IF($B89=TRUE,"NA"))</f>
        <v>0</v>
      </c>
      <c r="Q89" s="164"/>
      <c r="R89" s="531"/>
    </row>
    <row r="90" spans="1:18" ht="45" customHeight="1">
      <c r="A90" s="856">
        <f>IF(AND($F$87=$R$88,B90=TRUE),1,0)</f>
        <v>0</v>
      </c>
      <c r="B90" s="846" t="b">
        <v>0</v>
      </c>
      <c r="C90" s="164"/>
      <c r="D90" s="164"/>
      <c r="E90" s="1305"/>
      <c r="F90" s="1225"/>
      <c r="G90" s="465" t="s">
        <v>361</v>
      </c>
      <c r="H90" s="468" t="s">
        <v>583</v>
      </c>
      <c r="I90" s="465">
        <f>IF(AND($F$87=$R$88,B90=FALSE),1,0)</f>
        <v>0</v>
      </c>
      <c r="J90" s="481"/>
      <c r="K90" s="12"/>
      <c r="L90" s="810"/>
      <c r="M90" s="844"/>
      <c r="N90" s="455"/>
      <c r="O90" s="135" t="str">
        <f>IF(OR(ISBLANK($J90)=FALSE,B90=TRUE),IF(L90="","No","Yes"),"")</f>
        <v/>
      </c>
      <c r="P90" s="135" t="b">
        <f>IF(ISBLANK($J90)=FALSE,IF(M90="","No","Yes"),IF($B90=TRUE,"NA"))</f>
        <v>0</v>
      </c>
      <c r="Q90" s="164"/>
      <c r="R90" s="531"/>
    </row>
    <row r="91" spans="1:18" ht="45" customHeight="1">
      <c r="A91" s="846"/>
      <c r="B91" s="846"/>
      <c r="C91" s="164"/>
      <c r="D91" s="164"/>
      <c r="E91" s="1305"/>
      <c r="F91" s="1226"/>
      <c r="G91" s="465" t="s">
        <v>363</v>
      </c>
      <c r="H91" s="468" t="s">
        <v>584</v>
      </c>
      <c r="I91" s="465">
        <f>IF($F$87=R88,2,0)</f>
        <v>0</v>
      </c>
      <c r="J91" s="481"/>
      <c r="K91" s="12"/>
      <c r="L91" s="810"/>
      <c r="M91" s="844"/>
      <c r="N91" s="455"/>
      <c r="O91" s="135" t="str">
        <f>IF(ISBLANK($J91)=FALSE,IF(L91="","No","Yes"),"")</f>
        <v/>
      </c>
      <c r="P91" s="135" t="str">
        <f>IF(ISBLANK($J91)=FALSE,IF(M91="","No","Yes"),"")</f>
        <v/>
      </c>
      <c r="Q91" s="164"/>
      <c r="R91" s="531"/>
    </row>
    <row r="92" spans="1:18" ht="45" customHeight="1">
      <c r="A92" s="846"/>
      <c r="B92" s="846"/>
      <c r="C92" s="164"/>
      <c r="D92" s="164"/>
      <c r="E92" s="16" t="s">
        <v>305</v>
      </c>
      <c r="F92" s="16"/>
      <c r="G92" s="17"/>
      <c r="H92" s="16"/>
      <c r="I92" s="17">
        <f>SUM(I87:I91)</f>
        <v>5</v>
      </c>
      <c r="J92" s="17">
        <f>SUM(J87:J91)</f>
        <v>0</v>
      </c>
      <c r="K92" s="12"/>
      <c r="L92" s="71"/>
      <c r="M92" s="71"/>
      <c r="N92" s="16"/>
      <c r="O92" s="42"/>
      <c r="P92" s="42"/>
      <c r="Q92" s="164"/>
      <c r="R92" s="531"/>
    </row>
    <row r="93" spans="1:18" ht="45" customHeight="1">
      <c r="A93" s="846"/>
      <c r="B93" s="846"/>
      <c r="C93" s="164"/>
      <c r="D93" s="164"/>
      <c r="E93" s="814"/>
      <c r="F93" s="814"/>
      <c r="G93" s="538"/>
      <c r="H93" s="814"/>
      <c r="I93" s="538"/>
      <c r="J93" s="538"/>
      <c r="K93" s="36"/>
      <c r="L93" s="851"/>
      <c r="M93" s="857"/>
      <c r="N93" s="164"/>
      <c r="O93" s="269"/>
      <c r="P93" s="269"/>
      <c r="Q93" s="164"/>
      <c r="R93" s="531"/>
    </row>
    <row r="94" spans="1:18" ht="45" customHeight="1">
      <c r="A94" s="846"/>
      <c r="B94" s="846"/>
      <c r="C94" s="164"/>
      <c r="D94" s="164"/>
      <c r="E94" s="166" t="s">
        <v>367</v>
      </c>
      <c r="F94" s="858" t="s">
        <v>477</v>
      </c>
      <c r="G94" s="75"/>
      <c r="H94" s="76"/>
      <c r="I94" s="75">
        <v>24</v>
      </c>
      <c r="J94" s="75"/>
      <c r="K94" s="12"/>
      <c r="L94" s="435"/>
      <c r="M94" s="437"/>
      <c r="N94" s="438"/>
      <c r="O94" s="439"/>
      <c r="P94" s="439"/>
      <c r="Q94" s="164"/>
      <c r="R94" s="533" t="s">
        <v>477</v>
      </c>
    </row>
    <row r="95" spans="1:18" ht="45" customHeight="1">
      <c r="A95" s="846"/>
      <c r="B95" s="846"/>
      <c r="C95" s="164"/>
      <c r="D95" s="164"/>
      <c r="E95" s="1307" t="s">
        <v>477</v>
      </c>
      <c r="F95" s="1310" t="s">
        <v>586</v>
      </c>
      <c r="G95" s="471">
        <v>19.100000000000001</v>
      </c>
      <c r="H95" s="474" t="s">
        <v>371</v>
      </c>
      <c r="I95" s="471">
        <f>IF($F$94=$R$94,18,0)</f>
        <v>18</v>
      </c>
      <c r="J95" s="481"/>
      <c r="K95" s="12"/>
      <c r="L95" s="810"/>
      <c r="M95" s="844"/>
      <c r="N95" s="455"/>
      <c r="O95" s="135" t="str">
        <f>IF(ISBLANK($J95)=FALSE,IF(L95="","No","Yes"),"")</f>
        <v/>
      </c>
      <c r="P95" s="135" t="str">
        <f>IF(ISBLANK($J95)=FALSE,IF(M95="","No","Yes"),"")</f>
        <v/>
      </c>
      <c r="Q95" s="164"/>
      <c r="R95" s="534" t="s">
        <v>590</v>
      </c>
    </row>
    <row r="96" spans="1:18" ht="45" customHeight="1">
      <c r="A96" s="846"/>
      <c r="B96" s="846"/>
      <c r="C96" s="164"/>
      <c r="D96" s="164"/>
      <c r="E96" s="1308"/>
      <c r="F96" s="1315"/>
      <c r="G96" s="471">
        <v>19.2</v>
      </c>
      <c r="H96" s="474" t="str">
        <f>IF($F$5=$T$6,"Additional Reporting","Additional Life Cycle Impact Reporting")</f>
        <v>Additional Life Cycle Impact Reporting</v>
      </c>
      <c r="I96" s="471">
        <f>IF($F$94=$R$94,IF(OR($F$5=$T$5,$F$5=$T$6),7,1),0)</f>
        <v>1</v>
      </c>
      <c r="J96" s="481"/>
      <c r="K96" s="12"/>
      <c r="L96" s="810"/>
      <c r="M96" s="844"/>
      <c r="N96" s="455"/>
      <c r="O96" s="135" t="str">
        <f>IF(ISBLANK($J96)=FALSE,IF(L96="","No","Yes"),"")</f>
        <v/>
      </c>
      <c r="P96" s="135" t="str">
        <f>IF(ISBLANK($J96)=FALSE,IF(M96="","No","Yes"),"")</f>
        <v/>
      </c>
      <c r="Q96" s="164"/>
      <c r="R96" s="531"/>
    </row>
    <row r="97" spans="1:18" ht="45" customHeight="1">
      <c r="A97" s="846">
        <f>IF(B97=TRUE,1,0)</f>
        <v>0</v>
      </c>
      <c r="B97" s="846" t="b">
        <v>0</v>
      </c>
      <c r="C97" s="164"/>
      <c r="D97" s="164"/>
      <c r="E97" s="1307" t="s">
        <v>383</v>
      </c>
      <c r="F97" s="1310" t="s">
        <v>588</v>
      </c>
      <c r="G97" s="479">
        <v>20.100000000000001</v>
      </c>
      <c r="H97" s="472" t="s">
        <v>589</v>
      </c>
      <c r="I97" s="473">
        <f>IF(B97=FALSE,1,0)</f>
        <v>1</v>
      </c>
      <c r="J97" s="482"/>
      <c r="K97" s="15"/>
      <c r="L97" s="810"/>
      <c r="M97" s="844"/>
      <c r="N97" s="455"/>
      <c r="O97" s="135" t="str">
        <f>IF(OR(ISBLANK($J97)=FALSE,B97=TRUE),IF(L97="","No","Yes"),"")</f>
        <v/>
      </c>
      <c r="P97" s="135" t="b">
        <f>IF(ISBLANK($J97)=FALSE,IF(M97="","No","Yes"),IF($B97=TRUE,"NA"))</f>
        <v>0</v>
      </c>
      <c r="Q97" s="164"/>
      <c r="R97" s="531"/>
    </row>
    <row r="98" spans="1:18" ht="45" customHeight="1">
      <c r="A98" s="846">
        <f>IF(B98=TRUE,1,0)</f>
        <v>0</v>
      </c>
      <c r="B98" s="846" t="b">
        <v>0</v>
      </c>
      <c r="C98" s="164"/>
      <c r="D98" s="164"/>
      <c r="E98" s="1309"/>
      <c r="F98" s="1315"/>
      <c r="G98" s="473">
        <v>20.2</v>
      </c>
      <c r="H98" s="474" t="str">
        <f>IF($F$5=$T$5,"Permanent Formwork, Cables, Pipes, Floors and Blinds",IF($F$5=$T$6,"Permanent Formwork, Pipes, Flooring, Blinds and Cables","Cables, Pipes, Floors and Blinds"))</f>
        <v>Cables, Pipes, Floors and Blinds</v>
      </c>
      <c r="I98" s="473">
        <f>IF(B98=FALSE,1,0)</f>
        <v>1</v>
      </c>
      <c r="J98" s="481"/>
      <c r="K98" s="15"/>
      <c r="L98" s="810"/>
      <c r="M98" s="844"/>
      <c r="N98" s="455"/>
      <c r="O98" s="135" t="str">
        <f>IF(OR(ISBLANK($J98)=FALSE,B98=TRUE),IF(L98="","No","Yes"),"")</f>
        <v/>
      </c>
      <c r="P98" s="135" t="b">
        <f>IF(ISBLANK($J98)=FALSE,IF(M98="","No","Yes"),IF($B98=TRUE,"NA"))</f>
        <v>0</v>
      </c>
      <c r="Q98" s="164"/>
      <c r="R98" s="531"/>
    </row>
    <row r="99" spans="1:18" ht="45" customHeight="1">
      <c r="A99" s="846"/>
      <c r="B99" s="846"/>
      <c r="C99" s="164"/>
      <c r="D99" s="164"/>
      <c r="E99" s="77" t="s">
        <v>388</v>
      </c>
      <c r="F99" s="474" t="s">
        <v>389</v>
      </c>
      <c r="G99" s="479">
        <f>IF($F$5=$T$6,21.1,21)</f>
        <v>21</v>
      </c>
      <c r="H99" s="472" t="s">
        <v>390</v>
      </c>
      <c r="I99" s="473">
        <f>IF($F$94=$R$95,19,0)</f>
        <v>0</v>
      </c>
      <c r="J99" s="481"/>
      <c r="K99" s="15"/>
      <c r="L99" s="810"/>
      <c r="M99" s="844"/>
      <c r="N99" s="455"/>
      <c r="O99" s="135" t="str">
        <f t="shared" ref="O99:P102" si="8">IF(ISBLANK($J99)=FALSE,IF(L99="","No","Yes"),"")</f>
        <v/>
      </c>
      <c r="P99" s="135" t="str">
        <f t="shared" si="8"/>
        <v/>
      </c>
      <c r="Q99" s="164"/>
      <c r="R99" s="531"/>
    </row>
    <row r="100" spans="1:18" ht="45" customHeight="1">
      <c r="A100" s="846"/>
      <c r="B100" s="846"/>
      <c r="C100" s="164"/>
      <c r="D100" s="164"/>
      <c r="E100" s="1307" t="s">
        <v>391</v>
      </c>
      <c r="F100" s="1322" t="s">
        <v>644</v>
      </c>
      <c r="G100" s="479" t="str">
        <f>IF($F$5=$T$6,22,"")</f>
        <v/>
      </c>
      <c r="H100" s="472" t="str">
        <f>IF($F$5=$T$6,"Reporting Accuracy","-")</f>
        <v>-</v>
      </c>
      <c r="I100" s="473">
        <f>IF($F$5=$T$6,0,0)</f>
        <v>0</v>
      </c>
      <c r="J100" s="481"/>
      <c r="K100" s="15"/>
      <c r="L100" s="810"/>
      <c r="M100" s="844"/>
      <c r="N100" s="455"/>
      <c r="O100" s="135" t="str">
        <f>IF(ISBLANK($J100)=FALSE,IF(L100="","No","Yes"),"")</f>
        <v/>
      </c>
      <c r="P100" s="135" t="str">
        <f>IF(ISBLANK($J100)=FALSE,IF(M100="","No","Yes"),"")</f>
        <v/>
      </c>
      <c r="Q100" s="164"/>
      <c r="R100" s="531"/>
    </row>
    <row r="101" spans="1:18" ht="45" customHeight="1">
      <c r="A101" s="846"/>
      <c r="B101" s="846"/>
      <c r="C101" s="164"/>
      <c r="D101" s="164"/>
      <c r="E101" s="1308"/>
      <c r="F101" s="1329"/>
      <c r="G101" s="479" t="s">
        <v>393</v>
      </c>
      <c r="H101" s="474" t="str">
        <f>IF($F$5=$T$6,"Fixed Benchmark","Reduction of Construction and Demolition Waste - Fixed Benchmark")</f>
        <v>Reduction of Construction and Demolition Waste - Fixed Benchmark</v>
      </c>
      <c r="I101" s="473">
        <f>IF($F$100=$R$101,3,0)</f>
        <v>3</v>
      </c>
      <c r="J101" s="859"/>
      <c r="K101" s="15"/>
      <c r="L101" s="810"/>
      <c r="M101" s="844"/>
      <c r="N101" s="455"/>
      <c r="O101" s="135" t="str">
        <f t="shared" si="8"/>
        <v/>
      </c>
      <c r="P101" s="135" t="str">
        <f t="shared" si="8"/>
        <v/>
      </c>
      <c r="Q101" s="164"/>
      <c r="R101" s="533" t="s">
        <v>644</v>
      </c>
    </row>
    <row r="102" spans="1:18" ht="45" customHeight="1">
      <c r="A102" s="846"/>
      <c r="B102" s="846"/>
      <c r="C102" s="164"/>
      <c r="D102" s="164"/>
      <c r="E102" s="1314"/>
      <c r="F102" s="1330"/>
      <c r="G102" s="480" t="s">
        <v>395</v>
      </c>
      <c r="H102" s="474" t="str">
        <f>IF($F$5=$T$6,"Percentage Benchmark","Reduction of Construction and Demolition Waste - Percentage Benchmark")</f>
        <v>Reduction of Construction and Demolition Waste - Percentage Benchmark</v>
      </c>
      <c r="I102" s="473">
        <f>IF($F$100=$R$102,1,0)</f>
        <v>0</v>
      </c>
      <c r="J102" s="481"/>
      <c r="K102" s="15"/>
      <c r="L102" s="810"/>
      <c r="M102" s="844"/>
      <c r="N102" s="455"/>
      <c r="O102" s="135" t="str">
        <f t="shared" si="8"/>
        <v/>
      </c>
      <c r="P102" s="135" t="str">
        <f t="shared" si="8"/>
        <v/>
      </c>
      <c r="Q102" s="164"/>
      <c r="R102" s="534" t="s">
        <v>645</v>
      </c>
    </row>
    <row r="103" spans="1:18" ht="45" customHeight="1">
      <c r="A103" s="846"/>
      <c r="B103" s="846"/>
      <c r="C103" s="164"/>
      <c r="D103" s="164"/>
      <c r="E103" s="16" t="s">
        <v>305</v>
      </c>
      <c r="F103" s="16"/>
      <c r="G103" s="17"/>
      <c r="H103" s="16"/>
      <c r="I103" s="17">
        <f>SUM(I95:I102)</f>
        <v>24</v>
      </c>
      <c r="J103" s="17">
        <f>SUM(J95:J102)</f>
        <v>0</v>
      </c>
      <c r="K103" s="12"/>
      <c r="L103" s="71"/>
      <c r="M103" s="71"/>
      <c r="N103" s="16"/>
      <c r="O103" s="42"/>
      <c r="P103" s="42"/>
      <c r="Q103" s="164"/>
      <c r="R103" s="531"/>
    </row>
    <row r="104" spans="1:18" ht="45" customHeight="1">
      <c r="A104" s="846"/>
      <c r="B104" s="846"/>
      <c r="C104" s="164"/>
      <c r="D104" s="164"/>
      <c r="E104" s="814"/>
      <c r="F104" s="814"/>
      <c r="G104" s="538"/>
      <c r="H104" s="814"/>
      <c r="I104" s="538"/>
      <c r="J104" s="538"/>
      <c r="K104" s="36"/>
      <c r="L104" s="851"/>
      <c r="M104" s="857"/>
      <c r="N104" s="164"/>
      <c r="O104" s="269"/>
      <c r="P104" s="269"/>
      <c r="Q104" s="164"/>
      <c r="R104" s="531"/>
    </row>
    <row r="105" spans="1:18" ht="45" customHeight="1">
      <c r="A105" s="846"/>
      <c r="B105" s="846"/>
      <c r="C105" s="164"/>
      <c r="D105" s="164"/>
      <c r="E105" s="1313" t="s">
        <v>396</v>
      </c>
      <c r="F105" s="1313"/>
      <c r="G105" s="1313"/>
      <c r="H105" s="1313"/>
      <c r="I105" s="75">
        <v>5</v>
      </c>
      <c r="J105" s="75"/>
      <c r="K105" s="12"/>
      <c r="L105" s="435"/>
      <c r="M105" s="437"/>
      <c r="N105" s="438"/>
      <c r="O105" s="439"/>
      <c r="P105" s="439"/>
      <c r="Q105" s="164"/>
      <c r="R105" s="531"/>
    </row>
    <row r="106" spans="1:18" ht="45" customHeight="1">
      <c r="A106" s="846"/>
      <c r="B106" s="846"/>
      <c r="C106" s="164"/>
      <c r="D106" s="164"/>
      <c r="E106" s="1307" t="s">
        <v>399</v>
      </c>
      <c r="F106" s="1310" t="s">
        <v>594</v>
      </c>
      <c r="G106" s="479">
        <v>23.1</v>
      </c>
      <c r="H106" s="472" t="s">
        <v>595</v>
      </c>
      <c r="I106" s="473">
        <v>5</v>
      </c>
      <c r="J106" s="481"/>
      <c r="K106" s="1319" t="str">
        <f>IF(SUM(J106:J108)&gt;5,"ERROR: Please enter a total points score less than or equal to 5 for this credit.","")</f>
        <v/>
      </c>
      <c r="L106" s="810"/>
      <c r="M106" s="844"/>
      <c r="N106" s="455"/>
      <c r="O106" s="135" t="str">
        <f>IF(ISBLANK($J106)=FALSE,IF(L106="","No","Yes"),"")</f>
        <v/>
      </c>
      <c r="P106" s="135" t="str">
        <f>IF(ISBLANK($J106)=FALSE,IF(M106="","No","Yes"),"")</f>
        <v/>
      </c>
      <c r="Q106" s="164"/>
      <c r="R106" s="531"/>
    </row>
    <row r="107" spans="1:18" ht="45" customHeight="1">
      <c r="A107" s="846"/>
      <c r="B107" s="846"/>
      <c r="C107" s="164"/>
      <c r="D107" s="164"/>
      <c r="E107" s="1308"/>
      <c r="F107" s="1311"/>
      <c r="G107" s="479">
        <v>23.2</v>
      </c>
      <c r="H107" s="472" t="s">
        <v>596</v>
      </c>
      <c r="I107" s="473">
        <v>2</v>
      </c>
      <c r="J107" s="481"/>
      <c r="K107" s="1319"/>
      <c r="L107" s="810"/>
      <c r="M107" s="844"/>
      <c r="N107" s="455"/>
      <c r="O107" s="135" t="str">
        <f>IF(ISBLANK($J107)=FALSE,IF(L107="","No","Yes"),"")</f>
        <v/>
      </c>
      <c r="P107" s="135" t="str">
        <f>IF(ISBLANK($J107)=FALSE,IF(M107="","No","Yes"),"")</f>
        <v/>
      </c>
      <c r="Q107" s="164"/>
      <c r="R107" s="531"/>
    </row>
    <row r="108" spans="1:18" ht="45" customHeight="1">
      <c r="A108" s="846">
        <f>IF(B108=TRUE,2,0)</f>
        <v>0</v>
      </c>
      <c r="B108" s="846" t="b">
        <v>0</v>
      </c>
      <c r="C108" s="164"/>
      <c r="D108" s="164"/>
      <c r="E108" s="1314"/>
      <c r="F108" s="1312"/>
      <c r="G108" s="479">
        <v>23.3</v>
      </c>
      <c r="H108" s="860" t="s">
        <v>597</v>
      </c>
      <c r="I108" s="473">
        <f>IF(B108=FALSE,2,0)</f>
        <v>2</v>
      </c>
      <c r="J108" s="481"/>
      <c r="K108" s="1319"/>
      <c r="L108" s="810"/>
      <c r="M108" s="844"/>
      <c r="N108" s="455"/>
      <c r="O108" s="135" t="str">
        <f>IF(OR(ISBLANK($J108)=FALSE,B108=TRUE),IF(L108="","No","Yes"),"")</f>
        <v/>
      </c>
      <c r="P108" s="135" t="b">
        <f>IF(ISBLANK($J108)=FALSE,IF(M108="","No","Yes"),IF($B108=TRUE,"NA"))</f>
        <v>0</v>
      </c>
      <c r="Q108" s="164"/>
      <c r="R108" s="531"/>
    </row>
    <row r="109" spans="1:18" ht="45" customHeight="1">
      <c r="A109" s="846"/>
      <c r="B109" s="846"/>
      <c r="C109" s="164"/>
      <c r="D109" s="164"/>
      <c r="E109" s="16" t="s">
        <v>305</v>
      </c>
      <c r="F109" s="16"/>
      <c r="G109" s="17"/>
      <c r="H109" s="16"/>
      <c r="I109" s="17">
        <v>5</v>
      </c>
      <c r="J109" s="17">
        <f>IF(SUM(J106:J108)&gt;5,5,SUM(J106:J108))</f>
        <v>0</v>
      </c>
      <c r="K109" s="12"/>
      <c r="L109" s="71"/>
      <c r="M109" s="71"/>
      <c r="N109" s="16"/>
      <c r="O109" s="42"/>
      <c r="P109" s="42"/>
      <c r="Q109" s="164"/>
      <c r="R109" s="531"/>
    </row>
    <row r="110" spans="1:18" ht="45" customHeight="1">
      <c r="A110" s="846"/>
      <c r="B110" s="846"/>
      <c r="C110" s="164"/>
      <c r="D110" s="164"/>
      <c r="E110" s="814"/>
      <c r="F110" s="814"/>
      <c r="G110" s="538"/>
      <c r="H110" s="814"/>
      <c r="I110" s="538"/>
      <c r="J110" s="538"/>
      <c r="K110" s="36"/>
      <c r="L110" s="851"/>
      <c r="M110" s="857"/>
      <c r="N110" s="164"/>
      <c r="O110" s="269"/>
      <c r="P110" s="269"/>
      <c r="Q110" s="164"/>
      <c r="R110" s="531"/>
    </row>
    <row r="111" spans="1:18" ht="45" customHeight="1">
      <c r="A111" s="846"/>
      <c r="B111" s="846"/>
      <c r="C111" s="164"/>
      <c r="D111" s="164"/>
      <c r="E111" s="1313" t="s">
        <v>404</v>
      </c>
      <c r="F111" s="1313"/>
      <c r="G111" s="1313"/>
      <c r="H111" s="1313"/>
      <c r="I111" s="75">
        <v>3</v>
      </c>
      <c r="J111" s="75"/>
      <c r="K111" s="12"/>
      <c r="L111" s="435"/>
      <c r="M111" s="437"/>
      <c r="N111" s="438"/>
      <c r="O111" s="439"/>
      <c r="P111" s="439"/>
      <c r="Q111" s="164"/>
      <c r="R111" s="531"/>
    </row>
    <row r="112" spans="1:18" ht="45" customHeight="1">
      <c r="A112" s="846"/>
      <c r="B112" s="846"/>
      <c r="C112" s="164"/>
      <c r="D112" s="164"/>
      <c r="E112" s="1305" t="s">
        <v>409</v>
      </c>
      <c r="F112" s="1310" t="s">
        <v>410</v>
      </c>
      <c r="G112" s="479">
        <v>24</v>
      </c>
      <c r="H112" s="472" t="s">
        <v>646</v>
      </c>
      <c r="I112" s="473" t="s">
        <v>264</v>
      </c>
      <c r="J112" s="481"/>
      <c r="K112" s="12"/>
      <c r="L112" s="810"/>
      <c r="M112" s="844"/>
      <c r="N112" s="455"/>
      <c r="O112" s="135" t="str">
        <f>IF(ISBLANK($J112)=FALSE,IF(L112="","No","Yes"),"")</f>
        <v/>
      </c>
      <c r="P112" s="135" t="str">
        <f>IF(ISBLANK($J112)=FALSE,IF(M112="","No","Yes"),"")</f>
        <v/>
      </c>
      <c r="Q112" s="164"/>
      <c r="R112" s="531"/>
    </row>
    <row r="113" spans="1:17" ht="45" customHeight="1">
      <c r="A113" s="846">
        <f>IF(B113=TRUE,1,0)</f>
        <v>0</v>
      </c>
      <c r="B113" s="846" t="b">
        <v>0</v>
      </c>
      <c r="C113" s="164"/>
      <c r="D113" s="164"/>
      <c r="E113" s="1305"/>
      <c r="F113" s="1315"/>
      <c r="G113" s="473">
        <v>24.1</v>
      </c>
      <c r="H113" s="472" t="s">
        <v>412</v>
      </c>
      <c r="I113" s="473">
        <f>IF(B113=FALSE,1,0)</f>
        <v>1</v>
      </c>
      <c r="J113" s="481"/>
      <c r="K113" s="15" t="str">
        <f>IF(AND(J113&gt;0,$J112&lt;&gt;$T$8),"!","")</f>
        <v/>
      </c>
      <c r="L113" s="810"/>
      <c r="M113" s="844"/>
      <c r="N113" s="455"/>
      <c r="O113" s="135" t="str">
        <f>IF(OR(ISBLANK($J113)=FALSE,B113=TRUE),IF(L113="","No","Yes"),"")</f>
        <v/>
      </c>
      <c r="P113" s="135" t="b">
        <f>IF(ISBLANK($J113)=FALSE,IF(M113="","No","Yes"),IF($B113=TRUE,"NA"))</f>
        <v>0</v>
      </c>
      <c r="Q113" s="164"/>
    </row>
    <row r="114" spans="1:17" ht="45" customHeight="1">
      <c r="A114" s="846">
        <f>IF(B114=TRUE,1,0)</f>
        <v>0</v>
      </c>
      <c r="B114" s="846" t="b">
        <v>0</v>
      </c>
      <c r="C114" s="164"/>
      <c r="D114" s="164"/>
      <c r="E114" s="167" t="s">
        <v>413</v>
      </c>
      <c r="F114" s="474" t="s">
        <v>519</v>
      </c>
      <c r="G114" s="479">
        <v>25</v>
      </c>
      <c r="H114" s="474" t="s">
        <v>415</v>
      </c>
      <c r="I114" s="473">
        <f>IF(B114=FALSE,1,0)</f>
        <v>1</v>
      </c>
      <c r="J114" s="481"/>
      <c r="K114" s="12"/>
      <c r="L114" s="810"/>
      <c r="M114" s="844"/>
      <c r="N114" s="455"/>
      <c r="O114" s="135" t="str">
        <f>IF(OR(ISBLANK($J114)=FALSE,B114=TRUE),IF(L114="","No","Yes"),"")</f>
        <v/>
      </c>
      <c r="P114" s="135" t="b">
        <f>IF(ISBLANK($J114)=FALSE,IF(M114="","No","Yes"),IF($B114=TRUE,"NA"))</f>
        <v>0</v>
      </c>
      <c r="Q114" s="164"/>
    </row>
    <row r="115" spans="1:17" ht="45" customHeight="1">
      <c r="A115" s="846">
        <f>IF(B115=TRUE,1,0)</f>
        <v>0</v>
      </c>
      <c r="B115" s="846" t="b">
        <v>0</v>
      </c>
      <c r="C115" s="164"/>
      <c r="D115" s="164"/>
      <c r="E115" s="532" t="s">
        <v>416</v>
      </c>
      <c r="F115" s="861" t="s">
        <v>520</v>
      </c>
      <c r="G115" s="469">
        <f>IF($F$5=$T$6,26.1,26)</f>
        <v>26</v>
      </c>
      <c r="H115" s="470" t="s">
        <v>416</v>
      </c>
      <c r="I115" s="477">
        <f>IF(B115=FALSE,1,0)</f>
        <v>1</v>
      </c>
      <c r="J115" s="481"/>
      <c r="K115" s="12"/>
      <c r="L115" s="810"/>
      <c r="M115" s="844"/>
      <c r="N115" s="862"/>
      <c r="O115" s="135" t="str">
        <f>IF(OR(ISBLANK($J115)=FALSE,B115=TRUE),IF(L115="","No","Yes"),"")</f>
        <v/>
      </c>
      <c r="P115" s="135" t="b">
        <f>IF(ISBLANK($J115)=FALSE,IF(M115="","No","Yes"),IF($B115=TRUE,"NA"))</f>
        <v>0</v>
      </c>
      <c r="Q115" s="164"/>
    </row>
    <row r="116" spans="1:17" ht="45" customHeight="1">
      <c r="A116" s="846"/>
      <c r="B116" s="846"/>
      <c r="C116" s="164"/>
      <c r="D116" s="164"/>
      <c r="E116" s="16" t="s">
        <v>305</v>
      </c>
      <c r="F116" s="16"/>
      <c r="G116" s="17"/>
      <c r="H116" s="16"/>
      <c r="I116" s="17">
        <f>SUM(I112:I115)</f>
        <v>3</v>
      </c>
      <c r="J116" s="17">
        <f>SUM(J112:J115)</f>
        <v>0</v>
      </c>
      <c r="K116" s="12"/>
      <c r="L116" s="71"/>
      <c r="M116" s="71"/>
      <c r="N116" s="16"/>
      <c r="O116" s="42"/>
      <c r="P116" s="42"/>
      <c r="Q116" s="164"/>
    </row>
    <row r="117" spans="1:17" ht="45" customHeight="1">
      <c r="A117" s="846"/>
      <c r="B117" s="846"/>
      <c r="C117" s="164"/>
      <c r="D117" s="164"/>
      <c r="E117" s="828"/>
      <c r="F117" s="828"/>
      <c r="G117" s="817"/>
      <c r="H117" s="828"/>
      <c r="I117" s="817"/>
      <c r="J117" s="538"/>
      <c r="K117" s="12"/>
      <c r="L117" s="851"/>
      <c r="M117" s="851"/>
      <c r="N117" s="531"/>
      <c r="O117" s="434"/>
      <c r="P117" s="434"/>
      <c r="Q117" s="164"/>
    </row>
    <row r="118" spans="1:17" ht="45" customHeight="1">
      <c r="A118" s="846"/>
      <c r="B118" s="846"/>
      <c r="C118" s="164"/>
      <c r="D118" s="164"/>
      <c r="E118" s="1313" t="s">
        <v>419</v>
      </c>
      <c r="F118" s="1313"/>
      <c r="G118" s="1313"/>
      <c r="H118" s="1313"/>
      <c r="I118" s="75">
        <v>10</v>
      </c>
      <c r="J118" s="75"/>
      <c r="K118" s="12"/>
      <c r="L118" s="435"/>
      <c r="M118" s="437"/>
      <c r="N118" s="438"/>
      <c r="O118" s="439"/>
      <c r="P118" s="439"/>
      <c r="Q118" s="164"/>
    </row>
    <row r="119" spans="1:17" ht="45" customHeight="1">
      <c r="A119" s="846"/>
      <c r="B119" s="846"/>
      <c r="C119" s="164"/>
      <c r="D119" s="164"/>
      <c r="E119" s="169" t="s">
        <v>420</v>
      </c>
      <c r="F119" s="863" t="s">
        <v>521</v>
      </c>
      <c r="G119" s="849" t="s">
        <v>647</v>
      </c>
      <c r="H119" s="848" t="s">
        <v>420</v>
      </c>
      <c r="I119" s="1324">
        <v>10</v>
      </c>
      <c r="J119" s="481"/>
      <c r="K119" s="1318" t="str">
        <f>IF(SUM(J119:J123)&gt;10,"ERROR: the total number of points available in the Innovation category is 10. Please enter a points score less than or equal to 10.","")</f>
        <v/>
      </c>
      <c r="L119" s="810"/>
      <c r="M119" s="844"/>
      <c r="N119" s="455"/>
      <c r="O119" s="135" t="str">
        <f t="shared" ref="O119:P123" si="9">IF(ISBLANK($J119)=FALSE,IF(L119="","No","Yes"),"")</f>
        <v/>
      </c>
      <c r="P119" s="135" t="str">
        <f t="shared" si="9"/>
        <v/>
      </c>
      <c r="Q119" s="164"/>
    </row>
    <row r="120" spans="1:17" ht="45" customHeight="1">
      <c r="A120" s="846"/>
      <c r="B120" s="846"/>
      <c r="C120" s="164"/>
      <c r="D120" s="164"/>
      <c r="E120" s="167" t="s">
        <v>422</v>
      </c>
      <c r="F120" s="864" t="s">
        <v>523</v>
      </c>
      <c r="G120" s="473" t="s">
        <v>648</v>
      </c>
      <c r="H120" s="474" t="s">
        <v>422</v>
      </c>
      <c r="I120" s="1324"/>
      <c r="J120" s="481"/>
      <c r="K120" s="1318"/>
      <c r="L120" s="810"/>
      <c r="M120" s="844"/>
      <c r="N120" s="455"/>
      <c r="O120" s="135" t="str">
        <f t="shared" si="9"/>
        <v/>
      </c>
      <c r="P120" s="135" t="str">
        <f t="shared" si="9"/>
        <v/>
      </c>
      <c r="Q120" s="164"/>
    </row>
    <row r="121" spans="1:17" ht="45" customHeight="1">
      <c r="A121" s="846"/>
      <c r="B121" s="846"/>
      <c r="C121" s="164"/>
      <c r="D121" s="164"/>
      <c r="E121" s="167" t="s">
        <v>424</v>
      </c>
      <c r="F121" s="864" t="s">
        <v>525</v>
      </c>
      <c r="G121" s="473" t="s">
        <v>649</v>
      </c>
      <c r="H121" s="474" t="s">
        <v>424</v>
      </c>
      <c r="I121" s="1324"/>
      <c r="J121" s="481"/>
      <c r="K121" s="1318"/>
      <c r="L121" s="810"/>
      <c r="M121" s="844"/>
      <c r="N121" s="455"/>
      <c r="O121" s="135" t="str">
        <f t="shared" si="9"/>
        <v/>
      </c>
      <c r="P121" s="135" t="str">
        <f t="shared" si="9"/>
        <v/>
      </c>
      <c r="Q121" s="164"/>
    </row>
    <row r="122" spans="1:17" ht="45" customHeight="1">
      <c r="A122" s="846"/>
      <c r="B122" s="846"/>
      <c r="C122" s="164"/>
      <c r="D122" s="164"/>
      <c r="E122" s="167" t="s">
        <v>426</v>
      </c>
      <c r="F122" s="864" t="s">
        <v>527</v>
      </c>
      <c r="G122" s="473" t="s">
        <v>650</v>
      </c>
      <c r="H122" s="474" t="s">
        <v>426</v>
      </c>
      <c r="I122" s="1324"/>
      <c r="J122" s="481"/>
      <c r="K122" s="1318"/>
      <c r="L122" s="810"/>
      <c r="M122" s="844"/>
      <c r="N122" s="455"/>
      <c r="O122" s="135" t="str">
        <f t="shared" si="9"/>
        <v/>
      </c>
      <c r="P122" s="135" t="str">
        <f t="shared" si="9"/>
        <v/>
      </c>
      <c r="Q122" s="164"/>
    </row>
    <row r="123" spans="1:17" ht="45" customHeight="1">
      <c r="A123" s="846"/>
      <c r="B123" s="846"/>
      <c r="C123" s="164"/>
      <c r="D123" s="164"/>
      <c r="E123" s="168" t="s">
        <v>428</v>
      </c>
      <c r="F123" s="865" t="s">
        <v>529</v>
      </c>
      <c r="G123" s="477" t="s">
        <v>651</v>
      </c>
      <c r="H123" s="536" t="s">
        <v>428</v>
      </c>
      <c r="I123" s="1324"/>
      <c r="J123" s="481"/>
      <c r="K123" s="1318"/>
      <c r="L123" s="810"/>
      <c r="M123" s="844"/>
      <c r="N123" s="455"/>
      <c r="O123" s="135" t="str">
        <f t="shared" si="9"/>
        <v/>
      </c>
      <c r="P123" s="135" t="str">
        <f t="shared" si="9"/>
        <v/>
      </c>
      <c r="Q123" s="164"/>
    </row>
    <row r="124" spans="1:17" ht="45" customHeight="1">
      <c r="A124" s="846"/>
      <c r="B124" s="846"/>
      <c r="C124" s="164"/>
      <c r="D124" s="164"/>
      <c r="E124" s="16" t="s">
        <v>305</v>
      </c>
      <c r="F124" s="16"/>
      <c r="G124" s="17"/>
      <c r="H124" s="16"/>
      <c r="I124" s="17">
        <f>SUM(I119)</f>
        <v>10</v>
      </c>
      <c r="J124" s="17">
        <f>IF(SUM(J119:J123)&gt;10,10,SUM(J119:J123))</f>
        <v>0</v>
      </c>
      <c r="K124" s="15" t="str">
        <f>IF(J124&gt;10,"!","")</f>
        <v/>
      </c>
      <c r="L124" s="16"/>
      <c r="M124" s="16"/>
      <c r="N124" s="16"/>
      <c r="O124" s="42"/>
      <c r="P124" s="42"/>
      <c r="Q124" s="164"/>
    </row>
    <row r="125" spans="1:17" ht="45" customHeight="1">
      <c r="A125" s="846"/>
      <c r="B125" s="846"/>
      <c r="C125" s="164"/>
      <c r="D125" s="164"/>
      <c r="E125" s="828"/>
      <c r="F125" s="828"/>
      <c r="G125" s="817"/>
      <c r="H125" s="828"/>
      <c r="I125" s="817"/>
      <c r="J125" s="817"/>
      <c r="K125" s="531"/>
      <c r="L125" s="164"/>
      <c r="M125" s="164"/>
      <c r="N125" s="164"/>
      <c r="O125" s="164"/>
      <c r="P125" s="164"/>
      <c r="Q125" s="164"/>
    </row>
    <row r="126" spans="1:17" ht="45" hidden="1" customHeight="1">
      <c r="A126" s="62" t="s">
        <v>430</v>
      </c>
      <c r="B126" s="846"/>
      <c r="C126" s="164"/>
      <c r="D126" s="164"/>
      <c r="E126" s="63"/>
      <c r="F126" s="40"/>
      <c r="G126" s="41"/>
      <c r="H126" s="42" t="s">
        <v>431</v>
      </c>
      <c r="I126" s="7" t="s">
        <v>432</v>
      </c>
      <c r="J126" s="7" t="s">
        <v>433</v>
      </c>
      <c r="K126" s="41"/>
      <c r="L126" s="78"/>
      <c r="M126" s="78"/>
      <c r="N126" s="164"/>
      <c r="O126" s="164"/>
      <c r="P126" s="164"/>
      <c r="Q126" s="164"/>
    </row>
    <row r="127" spans="1:17" ht="45" hidden="1" customHeight="1">
      <c r="A127" s="62">
        <f>SUM(A30:A114)</f>
        <v>0</v>
      </c>
      <c r="B127" s="846"/>
      <c r="C127" s="164"/>
      <c r="D127" s="164"/>
      <c r="E127" s="63"/>
      <c r="F127" s="40"/>
      <c r="G127" s="41"/>
      <c r="H127" s="11" t="s">
        <v>434</v>
      </c>
      <c r="I127" s="79">
        <f>100-A127</f>
        <v>100</v>
      </c>
      <c r="J127" s="80">
        <f>J27+J51+J76+J84+J92+J103+J109+J116</f>
        <v>0</v>
      </c>
      <c r="K127" s="41"/>
      <c r="L127" s="78"/>
      <c r="M127" s="78"/>
      <c r="N127" s="164"/>
      <c r="O127" s="164"/>
      <c r="P127" s="164"/>
      <c r="Q127" s="164"/>
    </row>
    <row r="128" spans="1:17" ht="45" hidden="1" customHeight="1">
      <c r="A128" s="846"/>
      <c r="B128" s="846"/>
      <c r="C128" s="164"/>
      <c r="D128" s="164"/>
      <c r="E128" s="823"/>
      <c r="F128" s="823"/>
      <c r="G128" s="817"/>
      <c r="H128" s="11" t="s">
        <v>601</v>
      </c>
      <c r="I128" s="44"/>
      <c r="J128" s="81">
        <f>J127/I127*100</f>
        <v>0</v>
      </c>
      <c r="K128" s="43"/>
      <c r="L128" s="531"/>
      <c r="M128" s="531"/>
      <c r="N128" s="164"/>
      <c r="O128" s="164"/>
      <c r="P128" s="164"/>
      <c r="Q128" s="164"/>
    </row>
    <row r="129" spans="4:17" ht="45" hidden="1" customHeight="1">
      <c r="D129" s="164"/>
      <c r="E129" s="823"/>
      <c r="F129" s="823"/>
      <c r="G129" s="817"/>
      <c r="H129" s="11" t="s">
        <v>436</v>
      </c>
      <c r="I129" s="79">
        <v>10</v>
      </c>
      <c r="J129" s="80">
        <f>J124</f>
        <v>0</v>
      </c>
      <c r="K129" s="43"/>
      <c r="L129" s="531"/>
      <c r="M129" s="531"/>
      <c r="N129" s="164"/>
      <c r="O129" s="164"/>
      <c r="P129" s="164"/>
      <c r="Q129" s="164"/>
    </row>
    <row r="130" spans="4:17" ht="45" hidden="1" customHeight="1">
      <c r="D130" s="164"/>
      <c r="E130" s="814"/>
      <c r="F130" s="814"/>
      <c r="G130" s="538"/>
      <c r="H130" s="11" t="s">
        <v>237</v>
      </c>
      <c r="I130" s="47"/>
      <c r="J130" s="81">
        <f>(J128)+J129</f>
        <v>0</v>
      </c>
      <c r="K130" s="164"/>
      <c r="L130" s="164"/>
      <c r="M130" s="164"/>
      <c r="N130" s="164"/>
      <c r="O130" s="164"/>
      <c r="P130" s="164"/>
      <c r="Q130" s="164"/>
    </row>
    <row r="131" spans="4:17" hidden="1">
      <c r="D131" s="164"/>
      <c r="E131" s="814"/>
      <c r="F131" s="814"/>
      <c r="G131" s="538"/>
      <c r="H131" s="814"/>
      <c r="I131" s="538"/>
      <c r="J131" s="538"/>
      <c r="K131" s="164"/>
      <c r="L131" s="164"/>
      <c r="M131" s="164"/>
      <c r="N131" s="164"/>
      <c r="O131" s="164"/>
      <c r="P131" s="164"/>
      <c r="Q131" s="270"/>
    </row>
    <row r="132" spans="4:17" ht="45" customHeight="1">
      <c r="D132" s="164"/>
      <c r="E132" s="814"/>
      <c r="F132" s="814"/>
      <c r="G132" s="538"/>
      <c r="H132" s="82" t="s">
        <v>437</v>
      </c>
      <c r="I132" s="82"/>
      <c r="J132" s="82"/>
      <c r="K132" s="164"/>
      <c r="L132" s="83" t="s">
        <v>599</v>
      </c>
      <c r="M132" s="83" t="s">
        <v>600</v>
      </c>
      <c r="N132" s="164"/>
      <c r="O132" s="164"/>
      <c r="P132" s="164"/>
      <c r="Q132" s="270"/>
    </row>
    <row r="133" spans="4:17" ht="45" customHeight="1">
      <c r="D133" s="164"/>
      <c r="E133" s="814"/>
      <c r="F133" s="814"/>
      <c r="G133" s="538"/>
      <c r="H133" s="842" t="s">
        <v>440</v>
      </c>
      <c r="I133" s="843"/>
      <c r="J133" s="844"/>
      <c r="K133" s="164"/>
      <c r="L133" s="441">
        <f>SUMIF(O9:O123,"Yes",L9:L123)</f>
        <v>0</v>
      </c>
      <c r="M133" s="441">
        <f>SUMIF(P9:P123,"Yes",M9:M123)</f>
        <v>0</v>
      </c>
      <c r="N133" s="164"/>
      <c r="O133" s="164"/>
      <c r="P133" s="164"/>
      <c r="Q133" s="442"/>
    </row>
    <row r="134" spans="4:17" ht="45" customHeight="1">
      <c r="D134" s="164"/>
      <c r="E134" s="814"/>
      <c r="F134" s="814"/>
      <c r="G134" s="538"/>
      <c r="H134" s="842" t="s">
        <v>441</v>
      </c>
      <c r="I134" s="843"/>
      <c r="J134" s="844"/>
      <c r="K134" s="164"/>
      <c r="L134" s="164"/>
      <c r="M134" s="164"/>
      <c r="N134" s="164"/>
      <c r="O134" s="164"/>
      <c r="P134" s="164"/>
      <c r="Q134" s="270"/>
    </row>
    <row r="135" spans="4:17" ht="45" customHeight="1">
      <c r="D135" s="164"/>
      <c r="E135" s="814"/>
      <c r="F135" s="814"/>
      <c r="G135" s="538"/>
      <c r="H135" s="167" t="s">
        <v>442</v>
      </c>
      <c r="I135" s="84"/>
      <c r="J135" s="443">
        <f>J133+J134</f>
        <v>0</v>
      </c>
      <c r="K135" s="164"/>
      <c r="L135" s="164"/>
      <c r="M135" s="164"/>
      <c r="N135" s="164"/>
      <c r="O135" s="164"/>
      <c r="P135" s="164"/>
      <c r="Q135" s="270"/>
    </row>
    <row r="136" spans="4:17" ht="45" customHeight="1">
      <c r="D136" s="164"/>
      <c r="E136" s="814"/>
      <c r="F136" s="814"/>
      <c r="G136" s="538"/>
      <c r="H136" s="842" t="s">
        <v>443</v>
      </c>
      <c r="I136" s="843"/>
      <c r="J136" s="844"/>
      <c r="K136" s="164"/>
      <c r="L136" s="164"/>
      <c r="M136" s="164"/>
      <c r="N136" s="164"/>
      <c r="O136" s="164"/>
      <c r="P136" s="164"/>
      <c r="Q136" s="270"/>
    </row>
    <row r="137" spans="4:17" ht="45" customHeight="1">
      <c r="D137" s="164"/>
      <c r="E137" s="814"/>
      <c r="F137" s="270"/>
      <c r="G137" s="538"/>
      <c r="H137" s="167" t="s">
        <v>107</v>
      </c>
      <c r="I137" s="843"/>
      <c r="J137" s="443">
        <f>L133</f>
        <v>0</v>
      </c>
      <c r="K137" s="164"/>
      <c r="L137" s="164"/>
      <c r="M137" s="164"/>
      <c r="N137" s="164"/>
      <c r="O137" s="164"/>
      <c r="P137" s="164"/>
      <c r="Q137" s="270"/>
    </row>
    <row r="138" spans="4:17" ht="45" customHeight="1">
      <c r="D138" s="164"/>
      <c r="E138" s="814"/>
      <c r="F138" s="270"/>
      <c r="G138" s="538"/>
      <c r="H138" s="167" t="s">
        <v>444</v>
      </c>
      <c r="I138" s="843"/>
      <c r="J138" s="443">
        <f>M133</f>
        <v>0</v>
      </c>
      <c r="K138" s="164"/>
      <c r="L138" s="164"/>
      <c r="M138" s="164"/>
      <c r="N138" s="164"/>
      <c r="O138" s="164"/>
      <c r="P138" s="164"/>
      <c r="Q138" s="270"/>
    </row>
    <row r="139" spans="4:17" ht="45" customHeight="1">
      <c r="D139" s="164"/>
      <c r="E139" s="814"/>
      <c r="F139" s="270"/>
      <c r="G139" s="538"/>
      <c r="H139" s="167" t="s">
        <v>445</v>
      </c>
      <c r="I139" s="84"/>
      <c r="J139" s="443">
        <f>SUM(J136:J138)</f>
        <v>0</v>
      </c>
      <c r="K139" s="164"/>
      <c r="L139" s="164"/>
      <c r="M139" s="164"/>
      <c r="N139" s="164"/>
      <c r="O139" s="164"/>
      <c r="P139" s="164"/>
      <c r="Q139" s="270"/>
    </row>
    <row r="140" spans="4:17" ht="45" customHeight="1">
      <c r="D140" s="164"/>
      <c r="E140" s="814"/>
      <c r="F140" s="270"/>
      <c r="G140" s="538"/>
      <c r="H140" s="167" t="s">
        <v>112</v>
      </c>
      <c r="I140" s="84"/>
      <c r="J140" s="444">
        <f>IFERROR(J139/J135,0)</f>
        <v>0</v>
      </c>
      <c r="K140" s="164"/>
      <c r="L140" s="164"/>
      <c r="M140" s="164"/>
      <c r="N140" s="164"/>
      <c r="O140" s="164"/>
      <c r="P140" s="164"/>
      <c r="Q140" s="270"/>
    </row>
    <row r="141" spans="4:17" ht="20.100000000000001" customHeight="1">
      <c r="D141" s="164"/>
      <c r="E141" s="814"/>
      <c r="F141" s="270"/>
      <c r="G141" s="538"/>
      <c r="H141" s="164"/>
      <c r="I141" s="164"/>
      <c r="J141" s="164"/>
      <c r="K141" s="164"/>
      <c r="L141" s="164"/>
      <c r="M141" s="164"/>
      <c r="N141" s="164"/>
      <c r="O141" s="164"/>
      <c r="P141" s="164"/>
      <c r="Q141" s="164"/>
    </row>
    <row r="142" spans="4:17" ht="30" customHeight="1">
      <c r="D142" s="143"/>
      <c r="E142" s="814"/>
      <c r="F142" s="270"/>
      <c r="G142" s="538"/>
      <c r="H142" s="230" t="s">
        <v>101</v>
      </c>
      <c r="I142" s="243"/>
      <c r="J142" s="244" t="s">
        <v>602</v>
      </c>
      <c r="K142" s="243"/>
      <c r="L142" s="164"/>
      <c r="M142" s="164"/>
      <c r="N142" s="164"/>
      <c r="O142" s="164"/>
      <c r="P142" s="164"/>
      <c r="Q142" s="164"/>
    </row>
    <row r="143" spans="4:17" ht="35.1" customHeight="1">
      <c r="D143" s="143"/>
      <c r="E143" s="814"/>
      <c r="F143" s="270"/>
      <c r="G143" s="538"/>
      <c r="H143" s="117" t="s">
        <v>447</v>
      </c>
      <c r="I143" s="797" t="s">
        <v>603</v>
      </c>
      <c r="J143" s="1227" t="str">
        <f>IF(I143="Yes","No Issues", IF(I143="No","Contact project team","Check scorecard points"))</f>
        <v>No Issues</v>
      </c>
      <c r="K143" s="1227"/>
      <c r="L143" s="164"/>
      <c r="M143" s="164"/>
      <c r="N143" s="164"/>
      <c r="O143" s="164"/>
      <c r="P143" s="164"/>
      <c r="Q143" s="164"/>
    </row>
    <row r="144" spans="4:17" ht="35.1" customHeight="1">
      <c r="D144" s="143"/>
      <c r="E144" s="814"/>
      <c r="F144" s="270"/>
      <c r="G144" s="538"/>
      <c r="H144" s="117" t="s">
        <v>604</v>
      </c>
      <c r="I144" s="797">
        <f>COUNTA(J9:J25,J30:J50,J54:J73,J79:J83,J87:J91,J95:J102,J106:J108,J112:J114,J119:J123)+COUNTIF(B9:B123,"TRUE")</f>
        <v>0</v>
      </c>
      <c r="J144" s="1227" t="str">
        <f>IF(I144=0,"No credits entered","No Issues")</f>
        <v>No credits entered</v>
      </c>
      <c r="K144" s="1227"/>
      <c r="L144" s="164"/>
      <c r="M144" s="164"/>
      <c r="N144" s="164"/>
      <c r="O144" s="164"/>
      <c r="P144" s="164"/>
      <c r="Q144" s="164"/>
    </row>
    <row r="145" spans="3:13" ht="35.1" customHeight="1">
      <c r="C145" s="164"/>
      <c r="D145" s="143"/>
      <c r="E145" s="814"/>
      <c r="F145" s="270"/>
      <c r="G145" s="538"/>
      <c r="H145" s="117" t="s">
        <v>450</v>
      </c>
      <c r="I145" s="797">
        <f>COUNTIF(B9:B123,"TRUE")</f>
        <v>0</v>
      </c>
      <c r="J145" s="1304" t="str">
        <f>IF(I145=0,"No Issues - No NA credits claimed",CONCATENATE("No Issues - ",I145," Implementation Costs not needed"))</f>
        <v>No Issues - No NA credits claimed</v>
      </c>
      <c r="K145" s="1304"/>
      <c r="L145" s="164"/>
      <c r="M145" s="164"/>
    </row>
    <row r="146" spans="3:13" ht="60" customHeight="1">
      <c r="C146" s="164"/>
      <c r="D146" s="143"/>
      <c r="E146" s="814"/>
      <c r="F146" s="814"/>
      <c r="G146" s="538"/>
      <c r="H146" s="117" t="s">
        <v>451</v>
      </c>
      <c r="I146" s="797">
        <f>COUNTIF(O9:O123,"Yes")</f>
        <v>0</v>
      </c>
      <c r="J146" s="1229" t="str">
        <f>IF(I146&lt;I144,CONCATENATE(I144-I146," documentation cost missing"),IF(I146=0,"No credits entered",IF(COUNTIF(L9:L123,0)&gt;0,CONCATENATE(COUNTIF(L9:L123,0),"$0 cost(s) provided. Enter a value or explain the $0 value in the Comments column."),"No Issues")))</f>
        <v>No credits entered</v>
      </c>
      <c r="K146" s="1229"/>
      <c r="L146" s="454"/>
      <c r="M146" s="594"/>
    </row>
    <row r="147" spans="3:13" ht="60" customHeight="1">
      <c r="C147" s="164"/>
      <c r="D147" s="143"/>
      <c r="E147" s="814"/>
      <c r="F147" s="814"/>
      <c r="G147" s="538"/>
      <c r="H147" s="117" t="s">
        <v>452</v>
      </c>
      <c r="I147" s="797">
        <f>COUNTIF(P9:P123,"Yes")</f>
        <v>0</v>
      </c>
      <c r="J147" s="1229" t="str">
        <f>IF(I147&lt;(I144-I145),CONCATENATE(I144-I147-I145," implementation cost missing"),IF(I147=0,"No credits entered",IF(COUNTIF(M9:M123,0)&gt;ROUND(0.25*I144,0),CONCATENATE(COUNTIF(M9:M123,0)," $0 cost(s) provided.  Enter a value or explain the $0 value in the Comments column."),"No Issues")))</f>
        <v>No credits entered</v>
      </c>
      <c r="K147" s="1229"/>
      <c r="L147" s="454"/>
      <c r="M147" s="594"/>
    </row>
    <row r="148" spans="3:13" ht="35.1" customHeight="1">
      <c r="C148" s="164"/>
      <c r="D148" s="143"/>
      <c r="E148" s="814"/>
      <c r="F148" s="814"/>
      <c r="G148" s="538"/>
      <c r="H148" s="117" t="s">
        <v>453</v>
      </c>
      <c r="I148" s="797" t="str">
        <f>IF(J133&gt;0,"Yes","No")</f>
        <v>No</v>
      </c>
      <c r="J148" s="1229" t="str">
        <f>IF(I148="No","Total Design Cost missing","No Issues")</f>
        <v>Total Design Cost missing</v>
      </c>
      <c r="K148" s="1229"/>
      <c r="L148" s="164"/>
      <c r="M148" s="31"/>
    </row>
    <row r="149" spans="3:13" ht="35.1" customHeight="1">
      <c r="C149" s="164"/>
      <c r="D149" s="143"/>
      <c r="E149" s="814"/>
      <c r="F149" s="814"/>
      <c r="G149" s="538"/>
      <c r="H149" s="117" t="s">
        <v>454</v>
      </c>
      <c r="I149" s="797" t="str">
        <f>IF(J134&gt;0,"Yes","No")</f>
        <v>No</v>
      </c>
      <c r="J149" s="1229" t="str">
        <f>IF(I149="No","Total Construction Cost missing","No Issues")</f>
        <v>Total Construction Cost missing</v>
      </c>
      <c r="K149" s="1229"/>
      <c r="L149" s="164"/>
      <c r="M149" s="31"/>
    </row>
    <row r="150" spans="3:13" ht="35.1" customHeight="1">
      <c r="C150" s="164"/>
      <c r="D150" s="143"/>
      <c r="E150" s="814"/>
      <c r="F150" s="814"/>
      <c r="G150" s="538"/>
      <c r="H150" s="117" t="s">
        <v>455</v>
      </c>
      <c r="I150" s="797" t="str">
        <f>IF(J136&gt;0,"Yes","No")</f>
        <v>No</v>
      </c>
      <c r="J150" s="1229" t="str">
        <f>IF(I150="No","Green Star Certification Fees missing","No Issues")</f>
        <v>Green Star Certification Fees missing</v>
      </c>
      <c r="K150" s="1229"/>
      <c r="L150" s="164"/>
      <c r="M150" s="31"/>
    </row>
    <row r="151" spans="3:13" ht="90" customHeight="1">
      <c r="C151" s="164"/>
      <c r="D151" s="143"/>
      <c r="E151" s="814"/>
      <c r="F151" s="814"/>
      <c r="G151" s="538"/>
      <c r="H151" s="117" t="s">
        <v>112</v>
      </c>
      <c r="I151" s="845">
        <f>J140</f>
        <v>0</v>
      </c>
      <c r="J151" s="1229" t="str">
        <f>IF(I151=0,"Additional Costs have not been entered yet",IF(I151&gt;=0.1,"Implementing Green Star cost is unusually high. Check that only additional costs incurred as a result of pursuing a rating were included in the Green Star Certification Fees.","No Issues"))</f>
        <v>Additional Costs have not been entered yet</v>
      </c>
      <c r="K151" s="1229"/>
      <c r="L151" s="454"/>
      <c r="M151" s="594"/>
    </row>
    <row r="152" spans="3:13" ht="35.1" hidden="1" customHeight="1">
      <c r="C152" s="54" t="s">
        <v>14</v>
      </c>
      <c r="D152" s="143"/>
      <c r="E152" s="814"/>
      <c r="F152" s="814"/>
      <c r="G152" s="538"/>
      <c r="H152" s="582" t="s">
        <v>188</v>
      </c>
      <c r="I152" s="583"/>
      <c r="J152" s="1230" t="s">
        <v>652</v>
      </c>
      <c r="K152" s="1230"/>
      <c r="L152" s="454"/>
      <c r="M152" s="545"/>
    </row>
    <row r="153" spans="3:13" ht="45" hidden="1" customHeight="1">
      <c r="C153" s="54" t="s">
        <v>14</v>
      </c>
      <c r="D153" s="143"/>
      <c r="E153" s="814"/>
      <c r="F153" s="814"/>
      <c r="G153" s="538"/>
      <c r="H153" s="116" t="s">
        <v>457</v>
      </c>
      <c r="I153" s="1303" t="str">
        <f>IF(OR(COUNTIF(J143:K151,"No Issues*")=9,J152="YES"),"1 POINT AWARDED","1 POINT NOT AWARDED")</f>
        <v>1 POINT NOT AWARDED</v>
      </c>
      <c r="J153" s="1303"/>
      <c r="K153" s="1303"/>
      <c r="L153" s="164"/>
      <c r="M153" s="164"/>
    </row>
  </sheetData>
  <dataConsolidate/>
  <customSheetViews>
    <customSheetView guid="{CEACA748-A46A-4C8B-98CF-30E51B671B84}" scale="80" showGridLines="0" fitToPage="1" printArea="1" hiddenRows="1" hiddenColumns="1" topLeftCell="C1">
      <pane ySplit="7" topLeftCell="A147" activePane="bottomLeft" state="frozen"/>
      <selection pane="bottomLeft" activeCell="I153" sqref="I153:K153"/>
      <pageMargins left="0" right="0" top="0" bottom="0" header="0" footer="0"/>
      <pageSetup paperSize="9" scale="55" orientation="portrait" horizontalDpi="1200" verticalDpi="1200" r:id="rId1"/>
    </customSheetView>
    <customSheetView guid="{2ED91B50-D126-4494-B9B8-889B5F8EA715}" scale="50" showGridLines="0" fitToPage="1" printArea="1" hiddenRows="1" hiddenColumns="1">
      <pane ySplit="6" topLeftCell="A15" activePane="bottomLeft" state="frozen"/>
      <selection pane="bottomLeft" activeCell="I24" sqref="I24"/>
      <pageMargins left="0" right="0" top="0" bottom="0" header="0" footer="0"/>
      <pageSetup paperSize="9" scale="55" orientation="portrait" horizontalDpi="1200" verticalDpi="1200" r:id="rId2"/>
    </customSheetView>
  </customSheetViews>
  <mergeCells count="70">
    <mergeCell ref="E118:H118"/>
    <mergeCell ref="I119:I123"/>
    <mergeCell ref="E54:E75"/>
    <mergeCell ref="F54:F75"/>
    <mergeCell ref="E100:E102"/>
    <mergeCell ref="F100:F102"/>
    <mergeCell ref="E79:E83"/>
    <mergeCell ref="F79:F83"/>
    <mergeCell ref="E87:E91"/>
    <mergeCell ref="F87:F91"/>
    <mergeCell ref="E106:E108"/>
    <mergeCell ref="F106:F108"/>
    <mergeCell ref="E111:H111"/>
    <mergeCell ref="E112:E113"/>
    <mergeCell ref="F112:F113"/>
    <mergeCell ref="E95:E96"/>
    <mergeCell ref="F95:F96"/>
    <mergeCell ref="E97:E98"/>
    <mergeCell ref="F97:F98"/>
    <mergeCell ref="E105:H105"/>
    <mergeCell ref="E46:E47"/>
    <mergeCell ref="F46:F47"/>
    <mergeCell ref="E48:E49"/>
    <mergeCell ref="F48:F49"/>
    <mergeCell ref="E53:H53"/>
    <mergeCell ref="E36:E39"/>
    <mergeCell ref="F36:F39"/>
    <mergeCell ref="E40:E42"/>
    <mergeCell ref="F40:F42"/>
    <mergeCell ref="E43:E45"/>
    <mergeCell ref="F43:F45"/>
    <mergeCell ref="E1:H1"/>
    <mergeCell ref="F4:G4"/>
    <mergeCell ref="F5:G5"/>
    <mergeCell ref="E8:H8"/>
    <mergeCell ref="E10:E14"/>
    <mergeCell ref="F10:F14"/>
    <mergeCell ref="F2:G2"/>
    <mergeCell ref="F3:G3"/>
    <mergeCell ref="L6:M6"/>
    <mergeCell ref="J144:K144"/>
    <mergeCell ref="J146:K146"/>
    <mergeCell ref="J147:K147"/>
    <mergeCell ref="K55:K60"/>
    <mergeCell ref="K63:K67"/>
    <mergeCell ref="K119:K123"/>
    <mergeCell ref="K106:K108"/>
    <mergeCell ref="E33:E35"/>
    <mergeCell ref="F33:F35"/>
    <mergeCell ref="E15:E16"/>
    <mergeCell ref="F15:F16"/>
    <mergeCell ref="E17:E19"/>
    <mergeCell ref="F17:F19"/>
    <mergeCell ref="E20:E21"/>
    <mergeCell ref="F20:F21"/>
    <mergeCell ref="E29:H29"/>
    <mergeCell ref="E30:E32"/>
    <mergeCell ref="F30:F32"/>
    <mergeCell ref="E22:E24"/>
    <mergeCell ref="F22:F24"/>
    <mergeCell ref="E25:E26"/>
    <mergeCell ref="F25:F26"/>
    <mergeCell ref="J150:K150"/>
    <mergeCell ref="I153:K153"/>
    <mergeCell ref="J143:K143"/>
    <mergeCell ref="J149:K149"/>
    <mergeCell ref="J148:K148"/>
    <mergeCell ref="J145:K145"/>
    <mergeCell ref="J151:K151"/>
    <mergeCell ref="J152:K152"/>
  </mergeCells>
  <conditionalFormatting sqref="G48:J48">
    <cfRule type="expression" dxfId="174" priority="27">
      <formula>$F$48=$R$49</formula>
    </cfRule>
  </conditionalFormatting>
  <conditionalFormatting sqref="G49:J49">
    <cfRule type="expression" dxfId="173" priority="26">
      <formula>$F$48=$R$48</formula>
    </cfRule>
  </conditionalFormatting>
  <conditionalFormatting sqref="G54:J71">
    <cfRule type="expression" dxfId="172" priority="128">
      <formula>$F$54=$R$57</formula>
    </cfRule>
  </conditionalFormatting>
  <conditionalFormatting sqref="G62:J75">
    <cfRule type="expression" dxfId="171" priority="29">
      <formula>$F$54=$R$54</formula>
    </cfRule>
  </conditionalFormatting>
  <conditionalFormatting sqref="G9:J123">
    <cfRule type="expression" dxfId="170" priority="11">
      <formula>$H9="-"</formula>
    </cfRule>
    <cfRule type="expression" dxfId="169" priority="12">
      <formula>$B9=TRUE</formula>
    </cfRule>
  </conditionalFormatting>
  <conditionalFormatting sqref="F2:G5">
    <cfRule type="containsText" dxfId="168" priority="7" operator="containsText" text="Please">
      <formula>NOT(ISERROR(SEARCH("Please",F2)))</formula>
    </cfRule>
  </conditionalFormatting>
  <conditionalFormatting sqref="L6:N6">
    <cfRule type="containsText" dxfId="167" priority="8" operator="containsText" text="Select">
      <formula>NOT(ISERROR(SEARCH("Select",L6)))</formula>
    </cfRule>
  </conditionalFormatting>
  <conditionalFormatting sqref="L9:P26 L119:P123 L54:P75 L112:P115 L106:P108 L95:P102 L87:P91 L79:P83 L30:P50">
    <cfRule type="expression" dxfId="166" priority="10">
      <formula>$J9=""</formula>
    </cfRule>
  </conditionalFormatting>
  <conditionalFormatting sqref="L9:L26 L30:L50 L79:L83 L87:L91 L95:L102 L106:L108 L119:L123 L54:L75 L112:L115 N9:O123">
    <cfRule type="expression" dxfId="165" priority="9">
      <formula>$B9=TRUE</formula>
    </cfRule>
  </conditionalFormatting>
  <conditionalFormatting sqref="P113:P115 P108 P97:P98 P88:P90 P81 P47 P41:P42 P39">
    <cfRule type="cellIs" dxfId="164" priority="3" operator="equal">
      <formula>"NA"</formula>
    </cfRule>
  </conditionalFormatting>
  <conditionalFormatting sqref="J143:K151">
    <cfRule type="containsText" dxfId="163" priority="2" operator="containsText" text="No Issues">
      <formula>NOT(ISERROR(SEARCH("No Issues",J143)))</formula>
    </cfRule>
    <cfRule type="containsText" dxfId="162" priority="6" operator="containsText" text="No Issues">
      <formula>NOT(ISERROR(SEARCH("No Issues",J143)))</formula>
    </cfRule>
  </conditionalFormatting>
  <conditionalFormatting sqref="G54:J61 G69:J75">
    <cfRule type="expression" dxfId="161" priority="34">
      <formula>$F$54=$R$55</formula>
    </cfRule>
  </conditionalFormatting>
  <conditionalFormatting sqref="G72:J75 G54:J68">
    <cfRule type="expression" dxfId="160" priority="35">
      <formula>$F$54=$R$56</formula>
    </cfRule>
  </conditionalFormatting>
  <conditionalFormatting sqref="G80:J83">
    <cfRule type="expression" dxfId="159" priority="130">
      <formula>$F$79=$R$79</formula>
    </cfRule>
  </conditionalFormatting>
  <conditionalFormatting sqref="G79:J79">
    <cfRule type="expression" dxfId="158" priority="144">
      <formula>$F$79=$R$80</formula>
    </cfRule>
  </conditionalFormatting>
  <conditionalFormatting sqref="G88:J91">
    <cfRule type="expression" dxfId="157" priority="174">
      <formula>$F$87=$R$87</formula>
    </cfRule>
  </conditionalFormatting>
  <conditionalFormatting sqref="G87:J87">
    <cfRule type="expression" dxfId="156" priority="175">
      <formula>$F$87=$R$88</formula>
    </cfRule>
  </conditionalFormatting>
  <conditionalFormatting sqref="E99:J99">
    <cfRule type="expression" dxfId="155" priority="235">
      <formula>$F$94=$R$94</formula>
    </cfRule>
  </conditionalFormatting>
  <conditionalFormatting sqref="E95:J96">
    <cfRule type="expression" dxfId="154" priority="236">
      <formula>$F$94=$R$95</formula>
    </cfRule>
  </conditionalFormatting>
  <conditionalFormatting sqref="G102:J102">
    <cfRule type="expression" dxfId="153" priority="240">
      <formula>$F$100=$R$101</formula>
    </cfRule>
  </conditionalFormatting>
  <conditionalFormatting sqref="G101:J101">
    <cfRule type="expression" dxfId="152" priority="237">
      <formula>$F$100=$R$102</formula>
    </cfRule>
  </conditionalFormatting>
  <conditionalFormatting sqref="G26:J26">
    <cfRule type="expression" dxfId="151" priority="13">
      <formula>$F$25=$R$25</formula>
    </cfRule>
  </conditionalFormatting>
  <conditionalFormatting sqref="G25:J25">
    <cfRule type="expression" dxfId="150" priority="17">
      <formula>$F$25=$R$26</formula>
    </cfRule>
  </conditionalFormatting>
  <conditionalFormatting sqref="J152">
    <cfRule type="cellIs" dxfId="149" priority="1" operator="equal">
      <formula>"YES"</formula>
    </cfRule>
  </conditionalFormatting>
  <dataValidations count="24">
    <dataValidation type="list" allowBlank="1" showInputMessage="1" showErrorMessage="1" promptTitle="Selection Required" prompt="For the Materials category, either the 'Life Cycle Impacts' OR 'Sustainable Products' pathway must be selected." sqref="F94" xr:uid="{00000000-0002-0000-0500-000000000000}">
      <formula1>$R$94:$R$95</formula1>
    </dataValidation>
    <dataValidation type="list" allowBlank="1" showInputMessage="1" showErrorMessage="1" promptTitle="Selection Required" prompt="Please indicate the project's desired pathway." sqref="F48:F49" xr:uid="{00000000-0002-0000-0500-000001000000}">
      <formula1>$H$48:$H$49</formula1>
    </dataValidation>
    <dataValidation type="list" allowBlank="1" showInputMessage="1" showErrorMessage="1" promptTitle="Selection Required" prompt="Please indicate the project's desired pathway." sqref="F79:F83" xr:uid="{00000000-0002-0000-0500-000002000000}">
      <formula1>$R$79:$R$80</formula1>
    </dataValidation>
    <dataValidation type="decimal" operator="lessThanOrEqual" allowBlank="1" showInputMessage="1" showErrorMessage="1" sqref="J119:J123" xr:uid="{00000000-0002-0000-0500-000003000000}">
      <formula1>10</formula1>
    </dataValidation>
    <dataValidation type="list" allowBlank="1" showInputMessage="1" showErrorMessage="1" sqref="F93" xr:uid="{00000000-0002-0000-0500-000004000000}">
      <formula1>$L$87:$L$88</formula1>
    </dataValidation>
    <dataValidation type="decimal" allowBlank="1" showInputMessage="1" showErrorMessage="1" sqref="J21 J9 J23:J26 J11:J19" xr:uid="{00000000-0002-0000-0500-000005000000}">
      <formula1>0</formula1>
      <formula2>I9</formula2>
    </dataValidation>
    <dataValidation type="list" allowBlank="1" showInputMessage="1" showErrorMessage="1" sqref="F77" xr:uid="{00000000-0002-0000-0500-000006000000}">
      <formula1>#REF!</formula1>
    </dataValidation>
    <dataValidation type="list" allowBlank="1" showInputMessage="1" showErrorMessage="1" sqref="F85" xr:uid="{00000000-0002-0000-0500-000007000000}">
      <formula1>$R$79:$R$80</formula1>
    </dataValidation>
    <dataValidation type="list" allowBlank="1" showInputMessage="1" showErrorMessage="1" promptTitle="Selection Required" prompt="Please indicate the project's desired pathway." sqref="F87:F91" xr:uid="{00000000-0002-0000-0500-000008000000}">
      <formula1>$R$87:$R$88</formula1>
    </dataValidation>
    <dataValidation type="decimal" operator="lessThanOrEqual" allowBlank="1" showInputMessage="1" showErrorMessage="1" sqref="J30:J35 J37:J39 J124 J41:J50 J95:J102 J106:J108 J79:J83 J87:J91 J113:J115 J55:J61 J70:J71 J73:J75" xr:uid="{00000000-0002-0000-0500-000009000000}">
      <formula1>I30</formula1>
    </dataValidation>
    <dataValidation type="list" allowBlank="1" showInputMessage="1" showErrorMessage="1" promptTitle="Green Star Rating" prompt="Please select the project's targeted rating" sqref="F4:G4" xr:uid="{00000000-0002-0000-0500-00000A000000}">
      <formula1>$R$4:$R$7</formula1>
    </dataValidation>
    <dataValidation type="list" allowBlank="1" showInputMessage="1" showErrorMessage="1" sqref="L6:M6" xr:uid="{00000000-0002-0000-0500-00000B000000}">
      <formula1>$R$8:$R$10</formula1>
    </dataValidation>
    <dataValidation type="list" allowBlank="1" showInputMessage="1" showErrorMessage="1" sqref="N6" xr:uid="{00000000-0002-0000-0500-00000C000000}">
      <formula1>$S$8:$S$10</formula1>
    </dataValidation>
    <dataValidation allowBlank="1" showInputMessage="1" showErrorMessage="1" promptTitle="Project Number" prompt="Please enter the Green Star number " sqref="F2:G2" xr:uid="{00000000-0002-0000-0500-00000D000000}"/>
    <dataValidation allowBlank="1" showInputMessage="1" showErrorMessage="1" promptTitle="Project Name" prompt="Please enter the project name" sqref="F3:G3" xr:uid="{00000000-0002-0000-0500-00000E000000}"/>
    <dataValidation type="list" allowBlank="1" showInputMessage="1" showErrorMessage="1" sqref="I143" xr:uid="{00000000-0002-0000-0500-00000F000000}">
      <formula1>"Please select, Yes, No"</formula1>
    </dataValidation>
    <dataValidation type="list" allowBlank="1" showInputMessage="1" showErrorMessage="1" promptTitle="Rating Tool Version" prompt="Please select the project's rating tool version" sqref="F5:G5" xr:uid="{00000000-0002-0000-0500-000010000000}">
      <formula1>$T$2:$T$6</formula1>
    </dataValidation>
    <dataValidation type="decimal" operator="greaterThanOrEqual" allowBlank="1" showInputMessage="1" showErrorMessage="1" sqref="J136 J133:J134 L9:M123" xr:uid="{00000000-0002-0000-0500-000011000000}">
      <formula1>0</formula1>
    </dataValidation>
    <dataValidation type="list" allowBlank="1" showInputMessage="1" showErrorMessage="1" sqref="J10 J20 J22 J36 J40 J54 J62 J69 J72 J112" xr:uid="{00000000-0002-0000-0500-000012000000}">
      <formula1>$T$8:$T$9</formula1>
    </dataValidation>
    <dataValidation type="list" allowBlank="1" showInputMessage="1" showErrorMessage="1" promptTitle="Selection Required" prompt="Please indicate the project's desired pathway." sqref="F100" xr:uid="{00000000-0002-0000-0500-000013000000}">
      <formula1>$R$101:$R$102</formula1>
    </dataValidation>
    <dataValidation type="list" allowBlank="1" showInputMessage="1" showErrorMessage="1" promptTitle="Selection Required" prompt="Please indicate the project's desired pathway." sqref="F54:F73" xr:uid="{00000000-0002-0000-0500-000014000000}">
      <formula1>$R$54:$R$57</formula1>
    </dataValidation>
    <dataValidation allowBlank="1" showErrorMessage="1" sqref="H25:H26" xr:uid="{00000000-0002-0000-0500-000015000000}"/>
    <dataValidation type="list" allowBlank="1" showInputMessage="1" showErrorMessage="1" sqref="F25:F26" xr:uid="{00000000-0002-0000-0500-000016000000}">
      <formula1>$R$25:$R$26</formula1>
    </dataValidation>
    <dataValidation type="list" allowBlank="1" showInputMessage="1" showErrorMessage="1" sqref="J152:K152" xr:uid="{00000000-0002-0000-0500-000017000000}">
      <formula1>"YES/NO, YES, NO"</formula1>
    </dataValidation>
  </dataValidations>
  <pageMargins left="0.70866141732283472" right="0.70866141732283472" top="0.74803149606299213" bottom="0.74803149606299213" header="0.31496062992125984" footer="0.31496062992125984"/>
  <pageSetup paperSize="9" scale="55" orientation="portrait" horizontalDpi="1200" verticalDpi="1200" r:id="rId3"/>
  <ignoredErrors>
    <ignoredError sqref="O39 O40"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4337" r:id="rId6" name="Check Box 1">
              <controlPr locked="0" defaultSize="0" autoFill="0" autoLine="0" autoPict="0">
                <anchor moveWithCells="1">
                  <from>
                    <xdr:col>3</xdr:col>
                    <xdr:colOff>69850</xdr:colOff>
                    <xdr:row>38</xdr:row>
                    <xdr:rowOff>171450</xdr:rowOff>
                  </from>
                  <to>
                    <xdr:col>4</xdr:col>
                    <xdr:colOff>628650</xdr:colOff>
                    <xdr:row>38</xdr:row>
                    <xdr:rowOff>381000</xdr:rowOff>
                  </to>
                </anchor>
              </controlPr>
            </control>
          </mc:Choice>
        </mc:AlternateContent>
        <mc:AlternateContent xmlns:mc="http://schemas.openxmlformats.org/markup-compatibility/2006">
          <mc:Choice Requires="x14">
            <control shapeId="14338" r:id="rId7" name="Check Box 2">
              <controlPr locked="0" defaultSize="0" autoFill="0" autoLine="0" autoPict="0">
                <anchor moveWithCells="1">
                  <from>
                    <xdr:col>3</xdr:col>
                    <xdr:colOff>69850</xdr:colOff>
                    <xdr:row>40</xdr:row>
                    <xdr:rowOff>171450</xdr:rowOff>
                  </from>
                  <to>
                    <xdr:col>4</xdr:col>
                    <xdr:colOff>628650</xdr:colOff>
                    <xdr:row>40</xdr:row>
                    <xdr:rowOff>381000</xdr:rowOff>
                  </to>
                </anchor>
              </controlPr>
            </control>
          </mc:Choice>
        </mc:AlternateContent>
        <mc:AlternateContent xmlns:mc="http://schemas.openxmlformats.org/markup-compatibility/2006">
          <mc:Choice Requires="x14">
            <control shapeId="14339" r:id="rId8" name="Check Box 3">
              <controlPr locked="0" defaultSize="0" autoFill="0" autoLine="0" autoPict="0">
                <anchor moveWithCells="1">
                  <from>
                    <xdr:col>3</xdr:col>
                    <xdr:colOff>69850</xdr:colOff>
                    <xdr:row>41</xdr:row>
                    <xdr:rowOff>171450</xdr:rowOff>
                  </from>
                  <to>
                    <xdr:col>4</xdr:col>
                    <xdr:colOff>603250</xdr:colOff>
                    <xdr:row>41</xdr:row>
                    <xdr:rowOff>381000</xdr:rowOff>
                  </to>
                </anchor>
              </controlPr>
            </control>
          </mc:Choice>
        </mc:AlternateContent>
        <mc:AlternateContent xmlns:mc="http://schemas.openxmlformats.org/markup-compatibility/2006">
          <mc:Choice Requires="x14">
            <control shapeId="14340" r:id="rId9" name="Check Box 4">
              <controlPr locked="0" defaultSize="0" autoFill="0" autoLine="0" autoPict="0">
                <anchor moveWithCells="1">
                  <from>
                    <xdr:col>3</xdr:col>
                    <xdr:colOff>69850</xdr:colOff>
                    <xdr:row>46</xdr:row>
                    <xdr:rowOff>171450</xdr:rowOff>
                  </from>
                  <to>
                    <xdr:col>4</xdr:col>
                    <xdr:colOff>609600</xdr:colOff>
                    <xdr:row>46</xdr:row>
                    <xdr:rowOff>381000</xdr:rowOff>
                  </to>
                </anchor>
              </controlPr>
            </control>
          </mc:Choice>
        </mc:AlternateContent>
        <mc:AlternateContent xmlns:mc="http://schemas.openxmlformats.org/markup-compatibility/2006">
          <mc:Choice Requires="x14">
            <control shapeId="14341" r:id="rId10" name="Check Box 5">
              <controlPr locked="0" defaultSize="0" autoFill="0" autoLine="0" autoPict="0">
                <anchor moveWithCells="1">
                  <from>
                    <xdr:col>3</xdr:col>
                    <xdr:colOff>69850</xdr:colOff>
                    <xdr:row>96</xdr:row>
                    <xdr:rowOff>171450</xdr:rowOff>
                  </from>
                  <to>
                    <xdr:col>4</xdr:col>
                    <xdr:colOff>609600</xdr:colOff>
                    <xdr:row>96</xdr:row>
                    <xdr:rowOff>381000</xdr:rowOff>
                  </to>
                </anchor>
              </controlPr>
            </control>
          </mc:Choice>
        </mc:AlternateContent>
        <mc:AlternateContent xmlns:mc="http://schemas.openxmlformats.org/markup-compatibility/2006">
          <mc:Choice Requires="x14">
            <control shapeId="14342" r:id="rId11" name="Check Box 6">
              <controlPr locked="0" defaultSize="0" autoFill="0" autoLine="0" autoPict="0">
                <anchor moveWithCells="1">
                  <from>
                    <xdr:col>3</xdr:col>
                    <xdr:colOff>69850</xdr:colOff>
                    <xdr:row>113</xdr:row>
                    <xdr:rowOff>171450</xdr:rowOff>
                  </from>
                  <to>
                    <xdr:col>4</xdr:col>
                    <xdr:colOff>609600</xdr:colOff>
                    <xdr:row>113</xdr:row>
                    <xdr:rowOff>381000</xdr:rowOff>
                  </to>
                </anchor>
              </controlPr>
            </control>
          </mc:Choice>
        </mc:AlternateContent>
        <mc:AlternateContent xmlns:mc="http://schemas.openxmlformats.org/markup-compatibility/2006">
          <mc:Choice Requires="x14">
            <control shapeId="14343" r:id="rId12" name="Check Box 7">
              <controlPr locked="0" defaultSize="0" autoFill="0" autoLine="0" autoPict="0">
                <anchor moveWithCells="1">
                  <from>
                    <xdr:col>3</xdr:col>
                    <xdr:colOff>69850</xdr:colOff>
                    <xdr:row>112</xdr:row>
                    <xdr:rowOff>171450</xdr:rowOff>
                  </from>
                  <to>
                    <xdr:col>4</xdr:col>
                    <xdr:colOff>609600</xdr:colOff>
                    <xdr:row>112</xdr:row>
                    <xdr:rowOff>381000</xdr:rowOff>
                  </to>
                </anchor>
              </controlPr>
            </control>
          </mc:Choice>
        </mc:AlternateContent>
        <mc:AlternateContent xmlns:mc="http://schemas.openxmlformats.org/markup-compatibility/2006">
          <mc:Choice Requires="x14">
            <control shapeId="14345" r:id="rId13" name="Check Box 9">
              <controlPr locked="0" defaultSize="0" autoFill="0" autoLine="0" autoPict="0">
                <anchor moveWithCells="1">
                  <from>
                    <xdr:col>3</xdr:col>
                    <xdr:colOff>69850</xdr:colOff>
                    <xdr:row>87</xdr:row>
                    <xdr:rowOff>171450</xdr:rowOff>
                  </from>
                  <to>
                    <xdr:col>4</xdr:col>
                    <xdr:colOff>609600</xdr:colOff>
                    <xdr:row>87</xdr:row>
                    <xdr:rowOff>381000</xdr:rowOff>
                  </to>
                </anchor>
              </controlPr>
            </control>
          </mc:Choice>
        </mc:AlternateContent>
        <mc:AlternateContent xmlns:mc="http://schemas.openxmlformats.org/markup-compatibility/2006">
          <mc:Choice Requires="x14">
            <control shapeId="14346" r:id="rId14" name="Check Box 10">
              <controlPr locked="0" defaultSize="0" autoFill="0" autoLine="0" autoPict="0">
                <anchor moveWithCells="1">
                  <from>
                    <xdr:col>3</xdr:col>
                    <xdr:colOff>69850</xdr:colOff>
                    <xdr:row>88</xdr:row>
                    <xdr:rowOff>171450</xdr:rowOff>
                  </from>
                  <to>
                    <xdr:col>4</xdr:col>
                    <xdr:colOff>609600</xdr:colOff>
                    <xdr:row>88</xdr:row>
                    <xdr:rowOff>381000</xdr:rowOff>
                  </to>
                </anchor>
              </controlPr>
            </control>
          </mc:Choice>
        </mc:AlternateContent>
        <mc:AlternateContent xmlns:mc="http://schemas.openxmlformats.org/markup-compatibility/2006">
          <mc:Choice Requires="x14">
            <control shapeId="14347" r:id="rId15" name="Check Box 11">
              <controlPr locked="0" defaultSize="0" autoFill="0" autoLine="0" autoPict="0">
                <anchor moveWithCells="1">
                  <from>
                    <xdr:col>3</xdr:col>
                    <xdr:colOff>69850</xdr:colOff>
                    <xdr:row>89</xdr:row>
                    <xdr:rowOff>171450</xdr:rowOff>
                  </from>
                  <to>
                    <xdr:col>4</xdr:col>
                    <xdr:colOff>609600</xdr:colOff>
                    <xdr:row>89</xdr:row>
                    <xdr:rowOff>381000</xdr:rowOff>
                  </to>
                </anchor>
              </controlPr>
            </control>
          </mc:Choice>
        </mc:AlternateContent>
        <mc:AlternateContent xmlns:mc="http://schemas.openxmlformats.org/markup-compatibility/2006">
          <mc:Choice Requires="x14">
            <control shapeId="14348" r:id="rId16" name="Check Box 12">
              <controlPr locked="0" defaultSize="0" autoFill="0" autoLine="0" autoPict="0">
                <anchor moveWithCells="1">
                  <from>
                    <xdr:col>3</xdr:col>
                    <xdr:colOff>69850</xdr:colOff>
                    <xdr:row>97</xdr:row>
                    <xdr:rowOff>171450</xdr:rowOff>
                  </from>
                  <to>
                    <xdr:col>4</xdr:col>
                    <xdr:colOff>609600</xdr:colOff>
                    <xdr:row>97</xdr:row>
                    <xdr:rowOff>381000</xdr:rowOff>
                  </to>
                </anchor>
              </controlPr>
            </control>
          </mc:Choice>
        </mc:AlternateContent>
        <mc:AlternateContent xmlns:mc="http://schemas.openxmlformats.org/markup-compatibility/2006">
          <mc:Choice Requires="x14">
            <control shapeId="14349" r:id="rId17" name="Check Box 13">
              <controlPr locked="0" defaultSize="0" autoFill="0" autoLine="0" autoPict="0">
                <anchor moveWithCells="1">
                  <from>
                    <xdr:col>3</xdr:col>
                    <xdr:colOff>69850</xdr:colOff>
                    <xdr:row>80</xdr:row>
                    <xdr:rowOff>171450</xdr:rowOff>
                  </from>
                  <to>
                    <xdr:col>4</xdr:col>
                    <xdr:colOff>609600</xdr:colOff>
                    <xdr:row>80</xdr:row>
                    <xdr:rowOff>381000</xdr:rowOff>
                  </to>
                </anchor>
              </controlPr>
            </control>
          </mc:Choice>
        </mc:AlternateContent>
        <mc:AlternateContent xmlns:mc="http://schemas.openxmlformats.org/markup-compatibility/2006">
          <mc:Choice Requires="x14">
            <control shapeId="14350" r:id="rId18" name="Check Box 14">
              <controlPr locked="0" defaultSize="0" autoFill="0" autoLine="0" autoPict="0">
                <anchor moveWithCells="1">
                  <from>
                    <xdr:col>3</xdr:col>
                    <xdr:colOff>69850</xdr:colOff>
                    <xdr:row>107</xdr:row>
                    <xdr:rowOff>171450</xdr:rowOff>
                  </from>
                  <to>
                    <xdr:col>4</xdr:col>
                    <xdr:colOff>609600</xdr:colOff>
                    <xdr:row>107</xdr:row>
                    <xdr:rowOff>381000</xdr:rowOff>
                  </to>
                </anchor>
              </controlPr>
            </control>
          </mc:Choice>
        </mc:AlternateContent>
        <mc:AlternateContent xmlns:mc="http://schemas.openxmlformats.org/markup-compatibility/2006">
          <mc:Choice Requires="x14">
            <control shapeId="14359" r:id="rId19" name="Check Box 23">
              <controlPr locked="0" defaultSize="0" autoFill="0" autoLine="0" autoPict="0">
                <anchor moveWithCells="1">
                  <from>
                    <xdr:col>3</xdr:col>
                    <xdr:colOff>69850</xdr:colOff>
                    <xdr:row>114</xdr:row>
                    <xdr:rowOff>171450</xdr:rowOff>
                  </from>
                  <to>
                    <xdr:col>4</xdr:col>
                    <xdr:colOff>609600</xdr:colOff>
                    <xdr:row>114</xdr:row>
                    <xdr:rowOff>381000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92D050"/>
    <pageSetUpPr fitToPage="1"/>
  </sheetPr>
  <dimension ref="A1:AG132"/>
  <sheetViews>
    <sheetView showGridLines="0" showRowColHeaders="0" topLeftCell="E1" zoomScale="80" zoomScaleNormal="80" workbookViewId="0">
      <pane ySplit="7" topLeftCell="A78" activePane="bottomLeft" state="frozen"/>
      <selection pane="bottomLeft" activeCell="N9" sqref="N9"/>
      <selection activeCell="E1" sqref="E1"/>
    </sheetView>
  </sheetViews>
  <sheetFormatPr defaultColWidth="10.28515625" defaultRowHeight="14.1"/>
  <cols>
    <col min="1" max="2" width="10.28515625" style="1" hidden="1" customWidth="1"/>
    <col min="3" max="3" width="10.28515625" style="73" hidden="1" customWidth="1"/>
    <col min="4" max="4" width="3.140625" style="1" hidden="1" customWidth="1"/>
    <col min="5" max="5" width="4.7109375" style="1" customWidth="1"/>
    <col min="6" max="6" width="30.7109375" style="33" customWidth="1"/>
    <col min="7" max="7" width="55.7109375" style="73" customWidth="1"/>
    <col min="8" max="8" width="10.7109375" style="55" customWidth="1"/>
    <col min="9" max="9" width="50.7109375" style="33" customWidth="1"/>
    <col min="10" max="10" width="15.7109375" style="55" customWidth="1"/>
    <col min="11" max="11" width="15.7109375" style="1071" customWidth="1"/>
    <col min="12" max="12" width="10.7109375" style="1071" customWidth="1"/>
    <col min="13" max="14" width="26.7109375" style="1072" customWidth="1"/>
    <col min="15" max="15" width="45.7109375" style="1072" customWidth="1"/>
    <col min="16" max="17" width="19.7109375" style="1" hidden="1" customWidth="1"/>
    <col min="18" max="18" width="10.28515625" style="1" hidden="1" customWidth="1"/>
    <col min="19" max="20" width="18" style="1" hidden="1" customWidth="1"/>
    <col min="21" max="21" width="10.28515625" style="1" hidden="1" customWidth="1"/>
    <col min="22" max="22" width="27.5703125" style="1" hidden="1" customWidth="1"/>
    <col min="23" max="23" width="22.7109375" style="1" hidden="1" customWidth="1"/>
    <col min="24" max="25" width="16.140625" style="1" hidden="1" customWidth="1"/>
    <col min="26" max="28" width="16.140625" style="1" customWidth="1"/>
    <col min="29" max="29" width="13.28515625" style="1" customWidth="1"/>
    <col min="30" max="31" width="16.140625" style="1" customWidth="1"/>
    <col min="32" max="32" width="10.28515625" style="1" customWidth="1"/>
    <col min="33" max="16384" width="10.28515625" style="1"/>
  </cols>
  <sheetData>
    <row r="1" spans="1:33" s="55" customFormat="1" ht="43.5" customHeight="1">
      <c r="A1" s="142" t="s">
        <v>14</v>
      </c>
      <c r="B1" s="142" t="s">
        <v>14</v>
      </c>
      <c r="C1" s="142" t="s">
        <v>14</v>
      </c>
      <c r="D1" s="142" t="s">
        <v>14</v>
      </c>
      <c r="E1" s="838"/>
      <c r="F1" s="1366" t="s">
        <v>0</v>
      </c>
      <c r="G1" s="1366"/>
      <c r="H1" s="1366"/>
      <c r="I1" s="1366"/>
      <c r="J1" s="866"/>
      <c r="K1" s="1027"/>
      <c r="L1" s="1027"/>
      <c r="M1" s="1027"/>
      <c r="N1" s="1033"/>
      <c r="O1" s="1033"/>
      <c r="P1" s="142" t="s">
        <v>14</v>
      </c>
      <c r="Q1" s="142" t="s">
        <v>14</v>
      </c>
      <c r="R1" s="838"/>
      <c r="S1" s="142" t="s">
        <v>14</v>
      </c>
      <c r="T1" s="142" t="s">
        <v>14</v>
      </c>
      <c r="U1" s="142" t="s">
        <v>14</v>
      </c>
      <c r="V1" s="142" t="s">
        <v>14</v>
      </c>
      <c r="W1" s="142" t="s">
        <v>14</v>
      </c>
      <c r="X1" s="838" t="s">
        <v>488</v>
      </c>
      <c r="Y1" s="838"/>
      <c r="Z1" s="838"/>
      <c r="AA1" s="838"/>
      <c r="AB1" s="838"/>
      <c r="AC1" s="838"/>
      <c r="AD1" s="838"/>
      <c r="AE1" s="838"/>
      <c r="AF1" s="838"/>
      <c r="AG1" s="838"/>
    </row>
    <row r="2" spans="1:33" ht="37.5" customHeight="1">
      <c r="A2" s="867" t="s">
        <v>231</v>
      </c>
      <c r="B2" s="867" t="s">
        <v>232</v>
      </c>
      <c r="C2" s="868" t="s">
        <v>233</v>
      </c>
      <c r="D2" s="821"/>
      <c r="E2" s="821"/>
      <c r="F2" s="25" t="s">
        <v>227</v>
      </c>
      <c r="G2" s="1367" t="s">
        <v>228</v>
      </c>
      <c r="H2" s="1368"/>
      <c r="I2" s="6"/>
      <c r="J2" s="344" t="s">
        <v>485</v>
      </c>
      <c r="K2" s="1073" t="s">
        <v>486</v>
      </c>
      <c r="L2" s="1074"/>
      <c r="M2" s="1075"/>
      <c r="N2" s="1031"/>
      <c r="O2" s="1031"/>
      <c r="P2" s="821"/>
      <c r="Q2" s="821"/>
      <c r="R2" s="821"/>
      <c r="S2" s="821"/>
      <c r="T2" s="821"/>
      <c r="U2" s="821"/>
      <c r="V2" s="821"/>
      <c r="W2" s="821"/>
      <c r="X2" s="821" t="s">
        <v>653</v>
      </c>
      <c r="Y2" s="821"/>
      <c r="Z2" s="821"/>
      <c r="AA2" s="821"/>
      <c r="AB2" s="821"/>
      <c r="AC2" s="821"/>
      <c r="AD2" s="821"/>
      <c r="AE2" s="821"/>
      <c r="AF2" s="821"/>
      <c r="AG2" s="821"/>
    </row>
    <row r="3" spans="1:33" ht="37.5" customHeight="1">
      <c r="A3" s="869"/>
      <c r="B3" s="869"/>
      <c r="C3" s="838"/>
      <c r="D3" s="821"/>
      <c r="E3" s="821"/>
      <c r="F3" s="26" t="s">
        <v>229</v>
      </c>
      <c r="G3" s="1335" t="s">
        <v>531</v>
      </c>
      <c r="H3" s="1336"/>
      <c r="I3" s="6"/>
      <c r="J3" s="347">
        <f>J105</f>
        <v>100</v>
      </c>
      <c r="K3" s="1076">
        <f>K108</f>
        <v>0</v>
      </c>
      <c r="L3" s="1074"/>
      <c r="M3" s="1075"/>
      <c r="N3" s="1031"/>
      <c r="O3" s="1031"/>
      <c r="P3" s="821"/>
      <c r="Q3" s="821"/>
      <c r="R3" s="821"/>
      <c r="S3" s="821"/>
      <c r="T3" s="821"/>
      <c r="U3" s="821"/>
      <c r="V3" s="821"/>
      <c r="W3" s="821"/>
      <c r="X3" s="821" t="s">
        <v>654</v>
      </c>
      <c r="Y3" s="821"/>
      <c r="Z3" s="821"/>
      <c r="AA3" s="821"/>
      <c r="AB3" s="821"/>
      <c r="AC3" s="821"/>
      <c r="AD3" s="821"/>
      <c r="AE3" s="821"/>
      <c r="AF3" s="821"/>
      <c r="AG3" s="821"/>
    </row>
    <row r="4" spans="1:33" ht="37.5" customHeight="1">
      <c r="A4" s="821"/>
      <c r="B4" s="821"/>
      <c r="C4" s="846"/>
      <c r="D4" s="821"/>
      <c r="E4" s="821"/>
      <c r="F4" s="26" t="s">
        <v>234</v>
      </c>
      <c r="G4" s="1369" t="s">
        <v>235</v>
      </c>
      <c r="H4" s="1370"/>
      <c r="I4" s="9"/>
      <c r="J4" s="821"/>
      <c r="K4" s="1031"/>
      <c r="L4" s="1077"/>
      <c r="M4" s="1075"/>
      <c r="N4" s="1031"/>
      <c r="O4" s="1031"/>
      <c r="P4" s="821"/>
      <c r="Q4" s="821"/>
      <c r="R4" s="821"/>
      <c r="S4" s="164" t="s">
        <v>255</v>
      </c>
      <c r="T4" s="164" t="s">
        <v>241</v>
      </c>
      <c r="U4" s="821"/>
      <c r="V4" s="821"/>
      <c r="W4" s="821" t="s">
        <v>235</v>
      </c>
      <c r="X4" s="821"/>
      <c r="Y4" s="821"/>
      <c r="Z4" s="821"/>
      <c r="AA4" s="821"/>
      <c r="AB4" s="821"/>
      <c r="AC4" s="821"/>
      <c r="AD4" s="821"/>
      <c r="AE4" s="821"/>
      <c r="AF4" s="821"/>
      <c r="AG4" s="821"/>
    </row>
    <row r="5" spans="1:33" ht="37.5" customHeight="1">
      <c r="A5" s="821"/>
      <c r="B5" s="821"/>
      <c r="C5" s="846"/>
      <c r="D5" s="821"/>
      <c r="E5" s="821"/>
      <c r="F5" s="27" t="s">
        <v>487</v>
      </c>
      <c r="G5" s="1374" t="s">
        <v>654</v>
      </c>
      <c r="H5" s="1375"/>
      <c r="I5" s="9"/>
      <c r="J5" s="164"/>
      <c r="K5" s="580"/>
      <c r="L5" s="1077"/>
      <c r="M5" s="1075"/>
      <c r="N5" s="1031"/>
      <c r="O5" s="1031"/>
      <c r="P5" s="821"/>
      <c r="Q5" s="821"/>
      <c r="R5" s="821"/>
      <c r="S5" s="164" t="s">
        <v>655</v>
      </c>
      <c r="T5" s="164" t="s">
        <v>259</v>
      </c>
      <c r="U5" s="821"/>
      <c r="V5" s="821"/>
      <c r="W5" s="821" t="s">
        <v>256</v>
      </c>
      <c r="X5" s="821"/>
      <c r="Y5" s="821"/>
      <c r="Z5" s="821"/>
      <c r="AA5" s="821"/>
      <c r="AB5" s="821"/>
      <c r="AC5" s="821"/>
      <c r="AD5" s="821"/>
      <c r="AE5" s="821"/>
      <c r="AF5" s="821"/>
      <c r="AG5" s="821"/>
    </row>
    <row r="6" spans="1:33" ht="24.95" customHeight="1">
      <c r="A6" s="821"/>
      <c r="B6" s="821"/>
      <c r="C6" s="846"/>
      <c r="D6" s="821"/>
      <c r="E6" s="821"/>
      <c r="F6" s="814"/>
      <c r="G6" s="496"/>
      <c r="H6" s="817"/>
      <c r="I6" s="823"/>
      <c r="J6" s="866"/>
      <c r="K6" s="1027"/>
      <c r="L6" s="1027"/>
      <c r="M6" s="1337" t="s">
        <v>255</v>
      </c>
      <c r="N6" s="1337"/>
      <c r="O6" s="1078" t="s">
        <v>241</v>
      </c>
      <c r="P6" s="164"/>
      <c r="Q6" s="164"/>
      <c r="R6" s="821"/>
      <c r="S6" s="164" t="s">
        <v>656</v>
      </c>
      <c r="T6" s="164" t="s">
        <v>268</v>
      </c>
      <c r="U6" s="821"/>
      <c r="V6" s="821"/>
      <c r="W6" s="821" t="s">
        <v>260</v>
      </c>
      <c r="X6" s="821"/>
      <c r="Y6" s="821"/>
      <c r="Z6" s="821"/>
      <c r="AA6" s="821"/>
      <c r="AB6" s="821"/>
      <c r="AC6" s="821"/>
      <c r="AD6" s="821"/>
      <c r="AE6" s="821"/>
      <c r="AF6" s="821"/>
      <c r="AG6" s="821"/>
    </row>
    <row r="7" spans="1:33" ht="45" customHeight="1">
      <c r="A7" s="821"/>
      <c r="B7" s="821"/>
      <c r="C7" s="846"/>
      <c r="D7" s="821"/>
      <c r="E7" s="355" t="s">
        <v>242</v>
      </c>
      <c r="F7" s="351" t="s">
        <v>243</v>
      </c>
      <c r="G7" s="352" t="s">
        <v>244</v>
      </c>
      <c r="H7" s="353" t="s">
        <v>245</v>
      </c>
      <c r="I7" s="351" t="s">
        <v>246</v>
      </c>
      <c r="J7" s="353" t="s">
        <v>247</v>
      </c>
      <c r="K7" s="1079" t="s">
        <v>248</v>
      </c>
      <c r="L7" s="990"/>
      <c r="M7" s="1073" t="s">
        <v>657</v>
      </c>
      <c r="N7" s="1073" t="s">
        <v>658</v>
      </c>
      <c r="O7" s="1080" t="s">
        <v>251</v>
      </c>
      <c r="P7" s="355" t="s">
        <v>252</v>
      </c>
      <c r="Q7" s="355" t="s">
        <v>253</v>
      </c>
      <c r="R7" s="821"/>
      <c r="S7" s="821"/>
      <c r="T7" s="821"/>
      <c r="U7" s="821"/>
      <c r="V7" s="821"/>
      <c r="W7" s="821" t="s">
        <v>269</v>
      </c>
      <c r="X7" s="821"/>
      <c r="Y7" s="821"/>
      <c r="Z7" s="821"/>
      <c r="AA7" s="821"/>
      <c r="AB7" s="821"/>
      <c r="AC7" s="821"/>
      <c r="AD7" s="821"/>
      <c r="AE7" s="821"/>
      <c r="AF7" s="821"/>
      <c r="AG7" s="821"/>
    </row>
    <row r="8" spans="1:33" ht="45" customHeight="1">
      <c r="A8" s="821"/>
      <c r="B8" s="821"/>
      <c r="C8" s="846"/>
      <c r="D8" s="821"/>
      <c r="E8" s="821"/>
      <c r="F8" s="1350" t="s">
        <v>659</v>
      </c>
      <c r="G8" s="1371"/>
      <c r="H8" s="1371"/>
      <c r="I8" s="1371"/>
      <c r="J8" s="356"/>
      <c r="K8" s="1081"/>
      <c r="L8" s="990"/>
      <c r="M8" s="1082"/>
      <c r="N8" s="1082"/>
      <c r="O8" s="1083"/>
      <c r="P8" s="359"/>
      <c r="Q8" s="359"/>
      <c r="R8" s="192"/>
      <c r="S8" s="192"/>
      <c r="T8" s="192"/>
      <c r="U8" s="192"/>
      <c r="V8" s="192"/>
      <c r="W8" s="192"/>
      <c r="X8" s="192"/>
      <c r="Y8" s="192"/>
      <c r="Z8" s="192"/>
      <c r="AA8" s="192"/>
      <c r="AB8" s="192"/>
      <c r="AC8" s="192"/>
      <c r="AD8" s="192"/>
      <c r="AE8" s="192"/>
      <c r="AF8" s="192"/>
      <c r="AG8" s="192"/>
    </row>
    <row r="9" spans="1:33" ht="45" customHeight="1">
      <c r="A9" s="821"/>
      <c r="B9" s="821"/>
      <c r="C9" s="846"/>
      <c r="D9" s="821"/>
      <c r="E9" s="821"/>
      <c r="F9" s="360" t="s">
        <v>257</v>
      </c>
      <c r="G9" s="870" t="s">
        <v>258</v>
      </c>
      <c r="H9" s="871">
        <v>1</v>
      </c>
      <c r="I9" s="872" t="s">
        <v>257</v>
      </c>
      <c r="J9" s="873">
        <v>1</v>
      </c>
      <c r="K9" s="998"/>
      <c r="L9" s="990"/>
      <c r="M9" s="983"/>
      <c r="N9" s="983"/>
      <c r="O9" s="1006"/>
      <c r="P9" s="135" t="str">
        <f t="shared" ref="P9:P23" si="0">IF(ISBLANK($K9)=FALSE,IF(M9="","No","Yes"),"")</f>
        <v/>
      </c>
      <c r="Q9" s="135" t="str">
        <f t="shared" ref="Q9:Q23" si="1">IF(ISBLANK($K9)=FALSE,IF(N9="","No","Yes"),"")</f>
        <v/>
      </c>
      <c r="R9" s="192"/>
      <c r="S9" s="192"/>
      <c r="T9" s="164" t="s">
        <v>266</v>
      </c>
      <c r="U9" s="192"/>
      <c r="V9" s="192"/>
      <c r="W9" s="192"/>
      <c r="X9" s="192"/>
      <c r="Y9" s="192"/>
      <c r="Z9" s="192"/>
      <c r="AA9" s="192"/>
      <c r="AB9" s="192"/>
      <c r="AC9" s="192"/>
      <c r="AD9" s="192"/>
      <c r="AE9" s="192"/>
      <c r="AF9" s="192"/>
      <c r="AG9" s="192"/>
    </row>
    <row r="10" spans="1:33" ht="45" customHeight="1">
      <c r="A10" s="821"/>
      <c r="B10" s="821"/>
      <c r="C10" s="846"/>
      <c r="D10" s="821"/>
      <c r="E10" s="821"/>
      <c r="F10" s="1341" t="s">
        <v>240</v>
      </c>
      <c r="G10" s="1347" t="s">
        <v>660</v>
      </c>
      <c r="H10" s="871">
        <v>2.1</v>
      </c>
      <c r="I10" s="872" t="s">
        <v>661</v>
      </c>
      <c r="J10" s="873">
        <v>4</v>
      </c>
      <c r="K10" s="998"/>
      <c r="L10" s="990"/>
      <c r="M10" s="983"/>
      <c r="N10" s="983"/>
      <c r="O10" s="1006"/>
      <c r="P10" s="135" t="str">
        <f t="shared" si="0"/>
        <v/>
      </c>
      <c r="Q10" s="135" t="str">
        <f t="shared" si="1"/>
        <v/>
      </c>
      <c r="R10" s="192"/>
      <c r="S10" s="192"/>
      <c r="T10" s="164" t="s">
        <v>274</v>
      </c>
      <c r="U10" s="192"/>
      <c r="V10" s="192"/>
      <c r="W10" s="192"/>
      <c r="X10" s="192"/>
      <c r="Y10" s="192"/>
      <c r="Z10" s="192"/>
      <c r="AA10" s="192"/>
      <c r="AB10" s="192"/>
      <c r="AC10" s="192"/>
      <c r="AD10" s="192"/>
      <c r="AE10" s="192"/>
      <c r="AF10" s="192"/>
      <c r="AG10" s="192"/>
    </row>
    <row r="11" spans="1:33" ht="45" customHeight="1">
      <c r="A11" s="821"/>
      <c r="B11" s="821"/>
      <c r="C11" s="846"/>
      <c r="D11" s="821"/>
      <c r="E11" s="821"/>
      <c r="F11" s="1372"/>
      <c r="G11" s="1373"/>
      <c r="H11" s="871">
        <v>2.2000000000000002</v>
      </c>
      <c r="I11" s="872" t="s">
        <v>662</v>
      </c>
      <c r="J11" s="873">
        <v>4</v>
      </c>
      <c r="K11" s="998"/>
      <c r="L11" s="990"/>
      <c r="M11" s="983"/>
      <c r="N11" s="983"/>
      <c r="O11" s="1006"/>
      <c r="P11" s="135" t="str">
        <f t="shared" si="0"/>
        <v/>
      </c>
      <c r="Q11" s="135" t="str">
        <f t="shared" si="1"/>
        <v/>
      </c>
      <c r="R11" s="192"/>
      <c r="S11" s="192"/>
      <c r="T11" s="192"/>
      <c r="U11" s="192"/>
      <c r="V11" s="192"/>
      <c r="W11" s="192"/>
      <c r="X11" s="192"/>
      <c r="Y11" s="192"/>
      <c r="Z11" s="192"/>
      <c r="AA11" s="192"/>
      <c r="AB11" s="192"/>
      <c r="AC11" s="192"/>
      <c r="AD11" s="192"/>
      <c r="AE11" s="192"/>
      <c r="AF11" s="192"/>
      <c r="AG11" s="192"/>
    </row>
    <row r="12" spans="1:33" ht="45" customHeight="1">
      <c r="A12" s="821"/>
      <c r="B12" s="821"/>
      <c r="C12" s="846"/>
      <c r="D12" s="821"/>
      <c r="E12" s="821"/>
      <c r="F12" s="1341" t="s">
        <v>663</v>
      </c>
      <c r="G12" s="1347" t="s">
        <v>664</v>
      </c>
      <c r="H12" s="871">
        <v>3.1</v>
      </c>
      <c r="I12" s="872" t="s">
        <v>665</v>
      </c>
      <c r="J12" s="873">
        <v>3</v>
      </c>
      <c r="K12" s="998"/>
      <c r="L12" s="990"/>
      <c r="M12" s="983"/>
      <c r="N12" s="983"/>
      <c r="O12" s="1006"/>
      <c r="P12" s="135" t="str">
        <f t="shared" si="0"/>
        <v/>
      </c>
      <c r="Q12" s="135" t="str">
        <f t="shared" si="1"/>
        <v/>
      </c>
      <c r="R12" s="192"/>
      <c r="S12" s="192"/>
      <c r="T12" s="192"/>
      <c r="U12" s="192"/>
      <c r="V12" s="192"/>
      <c r="W12" s="192"/>
      <c r="X12" s="192"/>
      <c r="Y12" s="192"/>
      <c r="Z12" s="192"/>
      <c r="AA12" s="192"/>
      <c r="AB12" s="192"/>
      <c r="AC12" s="192"/>
      <c r="AD12" s="192"/>
      <c r="AE12" s="192"/>
      <c r="AF12" s="192"/>
      <c r="AG12" s="192"/>
    </row>
    <row r="13" spans="1:33" ht="45" customHeight="1">
      <c r="A13" s="821"/>
      <c r="B13" s="821"/>
      <c r="C13" s="846"/>
      <c r="D13" s="821"/>
      <c r="E13" s="821"/>
      <c r="F13" s="1362"/>
      <c r="G13" s="1349"/>
      <c r="H13" s="871">
        <v>3.2</v>
      </c>
      <c r="I13" s="872" t="s">
        <v>666</v>
      </c>
      <c r="J13" s="873">
        <v>3</v>
      </c>
      <c r="K13" s="998"/>
      <c r="L13" s="990"/>
      <c r="M13" s="983"/>
      <c r="N13" s="983"/>
      <c r="O13" s="1006"/>
      <c r="P13" s="135" t="str">
        <f t="shared" si="0"/>
        <v/>
      </c>
      <c r="Q13" s="135" t="str">
        <f t="shared" si="1"/>
        <v/>
      </c>
      <c r="R13" s="192"/>
      <c r="S13" s="192"/>
      <c r="T13" s="192"/>
      <c r="U13" s="192"/>
      <c r="V13" s="192"/>
      <c r="W13" s="192"/>
      <c r="X13" s="192"/>
      <c r="Y13" s="192"/>
      <c r="Z13" s="192"/>
      <c r="AA13" s="192"/>
      <c r="AB13" s="192"/>
      <c r="AC13" s="192"/>
      <c r="AD13" s="192"/>
      <c r="AE13" s="192"/>
      <c r="AF13" s="192"/>
      <c r="AG13" s="192"/>
    </row>
    <row r="14" spans="1:33" ht="45" customHeight="1">
      <c r="A14" s="821"/>
      <c r="B14" s="821"/>
      <c r="C14" s="846"/>
      <c r="D14" s="821"/>
      <c r="E14" s="821"/>
      <c r="F14" s="1341" t="s">
        <v>283</v>
      </c>
      <c r="G14" s="1356" t="s">
        <v>284</v>
      </c>
      <c r="H14" s="871">
        <v>4.0999999999999996</v>
      </c>
      <c r="I14" s="872" t="s">
        <v>667</v>
      </c>
      <c r="J14" s="873">
        <v>2</v>
      </c>
      <c r="K14" s="998"/>
      <c r="L14" s="990"/>
      <c r="M14" s="983"/>
      <c r="N14" s="983"/>
      <c r="O14" s="1006"/>
      <c r="P14" s="135" t="str">
        <f t="shared" si="0"/>
        <v/>
      </c>
      <c r="Q14" s="135" t="str">
        <f t="shared" si="1"/>
        <v/>
      </c>
      <c r="R14" s="192"/>
      <c r="S14" s="192"/>
      <c r="T14" s="192"/>
      <c r="U14" s="192"/>
      <c r="V14" s="192"/>
      <c r="W14" s="192"/>
      <c r="X14" s="192"/>
      <c r="Y14" s="192"/>
      <c r="Z14" s="192"/>
      <c r="AA14" s="192"/>
      <c r="AB14" s="192"/>
      <c r="AC14" s="192"/>
      <c r="AD14" s="192"/>
      <c r="AE14" s="192"/>
      <c r="AF14" s="192"/>
      <c r="AG14" s="192"/>
    </row>
    <row r="15" spans="1:33" ht="45" customHeight="1">
      <c r="A15" s="821"/>
      <c r="B15" s="821"/>
      <c r="C15" s="846"/>
      <c r="D15" s="821"/>
      <c r="E15" s="821"/>
      <c r="F15" s="1362"/>
      <c r="G15" s="1357"/>
      <c r="H15" s="871">
        <v>4.2</v>
      </c>
      <c r="I15" s="872" t="s">
        <v>668</v>
      </c>
      <c r="J15" s="873">
        <v>2</v>
      </c>
      <c r="K15" s="998"/>
      <c r="L15" s="990"/>
      <c r="M15" s="983"/>
      <c r="N15" s="983"/>
      <c r="O15" s="1006"/>
      <c r="P15" s="135" t="str">
        <f t="shared" si="0"/>
        <v/>
      </c>
      <c r="Q15" s="135" t="str">
        <f t="shared" si="1"/>
        <v/>
      </c>
      <c r="R15" s="192"/>
      <c r="S15" s="192"/>
      <c r="T15" s="192"/>
      <c r="U15" s="192"/>
      <c r="V15" s="192"/>
      <c r="W15" s="192"/>
      <c r="X15" s="192"/>
      <c r="Y15" s="192"/>
      <c r="Z15" s="192"/>
      <c r="AA15" s="192"/>
      <c r="AB15" s="192"/>
      <c r="AC15" s="192"/>
      <c r="AD15" s="192"/>
      <c r="AE15" s="192"/>
      <c r="AF15" s="192"/>
      <c r="AG15" s="192"/>
    </row>
    <row r="16" spans="1:33" ht="45" customHeight="1">
      <c r="A16" s="821"/>
      <c r="B16" s="821"/>
      <c r="C16" s="846"/>
      <c r="D16" s="821"/>
      <c r="E16" s="821"/>
      <c r="F16" s="1341" t="s">
        <v>669</v>
      </c>
      <c r="G16" s="1356" t="s">
        <v>670</v>
      </c>
      <c r="H16" s="871">
        <v>5.0999999999999996</v>
      </c>
      <c r="I16" s="872" t="s">
        <v>669</v>
      </c>
      <c r="J16" s="873">
        <v>1</v>
      </c>
      <c r="K16" s="998"/>
      <c r="L16" s="990"/>
      <c r="M16" s="983"/>
      <c r="N16" s="983"/>
      <c r="O16" s="1006"/>
      <c r="P16" s="135" t="str">
        <f t="shared" si="0"/>
        <v/>
      </c>
      <c r="Q16" s="135" t="str">
        <f t="shared" si="1"/>
        <v/>
      </c>
      <c r="R16" s="192"/>
      <c r="S16" s="192"/>
      <c r="T16" s="192"/>
      <c r="U16" s="192"/>
      <c r="V16" s="192"/>
      <c r="W16" s="192"/>
      <c r="X16" s="192"/>
      <c r="Y16" s="192"/>
      <c r="Z16" s="192"/>
      <c r="AA16" s="192"/>
      <c r="AB16" s="192"/>
      <c r="AC16" s="192"/>
      <c r="AD16" s="192"/>
      <c r="AE16" s="192"/>
      <c r="AF16" s="192"/>
      <c r="AG16" s="192"/>
    </row>
    <row r="17" spans="1:33" ht="45" customHeight="1">
      <c r="A17" s="821"/>
      <c r="B17" s="821"/>
      <c r="C17" s="846"/>
      <c r="D17" s="821"/>
      <c r="E17" s="821"/>
      <c r="F17" s="1362"/>
      <c r="G17" s="1357"/>
      <c r="H17" s="871">
        <v>5.2</v>
      </c>
      <c r="I17" s="872" t="s">
        <v>671</v>
      </c>
      <c r="J17" s="873">
        <v>2</v>
      </c>
      <c r="K17" s="998"/>
      <c r="L17" s="990"/>
      <c r="M17" s="983"/>
      <c r="N17" s="983"/>
      <c r="O17" s="1006"/>
      <c r="P17" s="135" t="str">
        <f t="shared" si="0"/>
        <v/>
      </c>
      <c r="Q17" s="135" t="str">
        <f t="shared" si="1"/>
        <v/>
      </c>
      <c r="R17" s="192"/>
      <c r="S17" s="192"/>
      <c r="T17" s="192"/>
      <c r="U17" s="192"/>
      <c r="V17" s="192"/>
      <c r="W17" s="192"/>
      <c r="X17" s="192"/>
      <c r="Y17" s="192"/>
      <c r="Z17" s="192"/>
      <c r="AA17" s="192"/>
      <c r="AB17" s="192"/>
      <c r="AC17" s="192"/>
      <c r="AD17" s="192"/>
      <c r="AE17" s="192"/>
      <c r="AF17" s="192"/>
      <c r="AG17" s="192"/>
    </row>
    <row r="18" spans="1:33" ht="45" customHeight="1">
      <c r="A18" s="821"/>
      <c r="B18" s="821"/>
      <c r="C18" s="846"/>
      <c r="D18" s="821"/>
      <c r="E18" s="821"/>
      <c r="F18" s="1341" t="s">
        <v>672</v>
      </c>
      <c r="G18" s="1356" t="s">
        <v>673</v>
      </c>
      <c r="H18" s="871">
        <v>6.1</v>
      </c>
      <c r="I18" s="872" t="s">
        <v>674</v>
      </c>
      <c r="J18" s="873">
        <v>1</v>
      </c>
      <c r="K18" s="998"/>
      <c r="L18" s="990"/>
      <c r="M18" s="983"/>
      <c r="N18" s="983"/>
      <c r="O18" s="1006"/>
      <c r="P18" s="135" t="str">
        <f t="shared" si="0"/>
        <v/>
      </c>
      <c r="Q18" s="135" t="str">
        <f t="shared" si="1"/>
        <v/>
      </c>
      <c r="R18" s="192"/>
      <c r="S18" s="192"/>
      <c r="T18" s="192"/>
      <c r="U18" s="192"/>
      <c r="V18" s="192"/>
      <c r="W18" s="192"/>
      <c r="X18" s="192"/>
      <c r="Y18" s="192"/>
      <c r="Z18" s="192"/>
      <c r="AA18" s="192"/>
      <c r="AB18" s="192"/>
      <c r="AC18" s="192"/>
      <c r="AD18" s="192"/>
      <c r="AE18" s="192"/>
      <c r="AF18" s="192"/>
      <c r="AG18" s="192"/>
    </row>
    <row r="19" spans="1:33" ht="45" customHeight="1">
      <c r="A19" s="821"/>
      <c r="B19" s="821"/>
      <c r="C19" s="846"/>
      <c r="D19" s="821"/>
      <c r="E19" s="821"/>
      <c r="F19" s="1362"/>
      <c r="G19" s="1357"/>
      <c r="H19" s="871">
        <v>6.2</v>
      </c>
      <c r="I19" s="872" t="s">
        <v>675</v>
      </c>
      <c r="J19" s="873">
        <v>1</v>
      </c>
      <c r="K19" s="998"/>
      <c r="L19" s="990"/>
      <c r="M19" s="983"/>
      <c r="N19" s="983"/>
      <c r="O19" s="1006"/>
      <c r="P19" s="135" t="str">
        <f t="shared" si="0"/>
        <v/>
      </c>
      <c r="Q19" s="135" t="str">
        <f t="shared" si="1"/>
        <v/>
      </c>
      <c r="R19" s="821"/>
      <c r="S19" s="874"/>
      <c r="T19" s="874"/>
      <c r="U19" s="874"/>
      <c r="V19" s="821"/>
      <c r="W19" s="821"/>
      <c r="X19" s="821"/>
      <c r="Y19" s="821"/>
      <c r="Z19" s="821"/>
      <c r="AA19" s="821"/>
      <c r="AB19" s="821"/>
      <c r="AC19" s="821"/>
      <c r="AD19" s="821"/>
      <c r="AE19" s="821"/>
      <c r="AF19" s="821"/>
      <c r="AG19" s="821"/>
    </row>
    <row r="20" spans="1:33" ht="45" customHeight="1">
      <c r="A20" s="821"/>
      <c r="B20" s="821"/>
      <c r="C20" s="846"/>
      <c r="D20" s="821"/>
      <c r="E20" s="821"/>
      <c r="F20" s="1341" t="s">
        <v>676</v>
      </c>
      <c r="G20" s="1356" t="s">
        <v>677</v>
      </c>
      <c r="H20" s="871">
        <v>7.1</v>
      </c>
      <c r="I20" s="872" t="s">
        <v>678</v>
      </c>
      <c r="J20" s="873">
        <v>1</v>
      </c>
      <c r="K20" s="1084"/>
      <c r="L20" s="990"/>
      <c r="M20" s="983"/>
      <c r="N20" s="983"/>
      <c r="O20" s="1006"/>
      <c r="P20" s="135" t="str">
        <f t="shared" si="0"/>
        <v/>
      </c>
      <c r="Q20" s="135" t="str">
        <f t="shared" si="1"/>
        <v/>
      </c>
      <c r="R20" s="821"/>
      <c r="S20" s="874"/>
      <c r="T20" s="874"/>
      <c r="U20" s="874"/>
      <c r="V20" s="821"/>
      <c r="W20" s="821"/>
      <c r="X20" s="821"/>
      <c r="Y20" s="821"/>
      <c r="Z20" s="821"/>
      <c r="AA20" s="821"/>
      <c r="AB20" s="821"/>
      <c r="AC20" s="821"/>
      <c r="AD20" s="821"/>
      <c r="AE20" s="821"/>
      <c r="AF20" s="821"/>
      <c r="AG20" s="821"/>
    </row>
    <row r="21" spans="1:33" ht="45" customHeight="1">
      <c r="A21" s="821"/>
      <c r="B21" s="821"/>
      <c r="C21" s="846"/>
      <c r="D21" s="821"/>
      <c r="E21" s="821"/>
      <c r="F21" s="1362"/>
      <c r="G21" s="1357"/>
      <c r="H21" s="871">
        <v>7.2</v>
      </c>
      <c r="I21" s="872" t="s">
        <v>679</v>
      </c>
      <c r="J21" s="873">
        <v>1</v>
      </c>
      <c r="K21" s="1085"/>
      <c r="L21" s="990"/>
      <c r="M21" s="983"/>
      <c r="N21" s="983"/>
      <c r="O21" s="1006"/>
      <c r="P21" s="135" t="str">
        <f t="shared" si="0"/>
        <v/>
      </c>
      <c r="Q21" s="135" t="str">
        <f t="shared" si="1"/>
        <v/>
      </c>
      <c r="R21" s="821"/>
      <c r="S21" s="874"/>
      <c r="T21" s="874"/>
      <c r="U21" s="874"/>
      <c r="V21" s="821"/>
      <c r="W21" s="821"/>
      <c r="X21" s="821"/>
      <c r="Y21" s="821"/>
      <c r="Z21" s="821"/>
      <c r="AA21" s="821"/>
      <c r="AB21" s="821"/>
      <c r="AC21" s="821"/>
      <c r="AD21" s="821"/>
      <c r="AE21" s="821"/>
      <c r="AF21" s="821"/>
      <c r="AG21" s="821"/>
    </row>
    <row r="22" spans="1:33" ht="45" customHeight="1">
      <c r="A22" s="821"/>
      <c r="B22" s="821"/>
      <c r="C22" s="846"/>
      <c r="D22" s="821"/>
      <c r="E22" s="821"/>
      <c r="F22" s="1341" t="s">
        <v>680</v>
      </c>
      <c r="G22" s="1356" t="s">
        <v>681</v>
      </c>
      <c r="H22" s="871">
        <v>8.1</v>
      </c>
      <c r="I22" s="872" t="s">
        <v>682</v>
      </c>
      <c r="J22" s="873">
        <v>1</v>
      </c>
      <c r="K22" s="1085"/>
      <c r="L22" s="990"/>
      <c r="M22" s="983"/>
      <c r="N22" s="983"/>
      <c r="O22" s="1006"/>
      <c r="P22" s="135" t="str">
        <f t="shared" si="0"/>
        <v/>
      </c>
      <c r="Q22" s="135" t="str">
        <f t="shared" si="1"/>
        <v/>
      </c>
      <c r="R22" s="821"/>
      <c r="S22" s="874"/>
      <c r="T22" s="874"/>
      <c r="U22" s="874"/>
      <c r="V22" s="821"/>
      <c r="W22" s="821"/>
      <c r="X22" s="821"/>
      <c r="Y22" s="821"/>
      <c r="Z22" s="821"/>
      <c r="AA22" s="821"/>
      <c r="AB22" s="821"/>
      <c r="AC22" s="821"/>
      <c r="AD22" s="821"/>
      <c r="AE22" s="821"/>
      <c r="AF22" s="821"/>
      <c r="AG22" s="821"/>
    </row>
    <row r="23" spans="1:33" ht="45" customHeight="1">
      <c r="A23" s="821"/>
      <c r="B23" s="821"/>
      <c r="C23" s="846"/>
      <c r="D23" s="821"/>
      <c r="E23" s="821"/>
      <c r="F23" s="1362"/>
      <c r="G23" s="1357"/>
      <c r="H23" s="871">
        <v>8.1999999999999993</v>
      </c>
      <c r="I23" s="872" t="s">
        <v>298</v>
      </c>
      <c r="J23" s="873">
        <v>1</v>
      </c>
      <c r="K23" s="1085"/>
      <c r="L23" s="990"/>
      <c r="M23" s="983"/>
      <c r="N23" s="983"/>
      <c r="O23" s="1006"/>
      <c r="P23" s="135" t="str">
        <f t="shared" si="0"/>
        <v/>
      </c>
      <c r="Q23" s="135" t="str">
        <f t="shared" si="1"/>
        <v/>
      </c>
      <c r="R23" s="821"/>
      <c r="S23" s="821"/>
      <c r="T23" s="821"/>
      <c r="U23" s="821"/>
      <c r="V23" s="821"/>
      <c r="W23" s="821"/>
      <c r="X23" s="821"/>
      <c r="Y23" s="821"/>
      <c r="Z23" s="821"/>
      <c r="AA23" s="821"/>
      <c r="AB23" s="821"/>
      <c r="AC23" s="821"/>
      <c r="AD23" s="821"/>
      <c r="AE23" s="821"/>
      <c r="AF23" s="821"/>
      <c r="AG23" s="821"/>
    </row>
    <row r="24" spans="1:33" ht="37.5" customHeight="1">
      <c r="A24" s="821"/>
      <c r="B24" s="821"/>
      <c r="C24" s="846"/>
      <c r="D24" s="821"/>
      <c r="E24" s="821"/>
      <c r="F24" s="362" t="s">
        <v>305</v>
      </c>
      <c r="G24" s="363"/>
      <c r="H24" s="362"/>
      <c r="I24" s="362"/>
      <c r="J24" s="364">
        <f>SUM(J9:J23)</f>
        <v>28</v>
      </c>
      <c r="K24" s="1086">
        <f>SUM(K9:K23)</f>
        <v>0</v>
      </c>
      <c r="L24" s="990"/>
      <c r="M24" s="1087"/>
      <c r="N24" s="1088"/>
      <c r="O24" s="1089"/>
      <c r="P24" s="367"/>
      <c r="Q24" s="367"/>
      <c r="R24" s="821"/>
      <c r="S24" s="821"/>
      <c r="T24" s="821"/>
      <c r="U24" s="821"/>
      <c r="V24" s="821"/>
      <c r="W24" s="821"/>
      <c r="X24" s="821"/>
      <c r="Y24" s="821"/>
      <c r="Z24" s="821"/>
      <c r="AA24" s="821"/>
      <c r="AB24" s="821"/>
      <c r="AC24" s="821"/>
      <c r="AD24" s="821"/>
      <c r="AE24" s="821"/>
      <c r="AF24" s="821"/>
      <c r="AG24" s="821"/>
    </row>
    <row r="25" spans="1:33" ht="45" customHeight="1">
      <c r="A25" s="821"/>
      <c r="B25" s="821"/>
      <c r="C25" s="846"/>
      <c r="D25" s="821"/>
      <c r="E25" s="821"/>
      <c r="F25" s="540"/>
      <c r="G25" s="875"/>
      <c r="H25" s="30"/>
      <c r="I25" s="31"/>
      <c r="J25" s="32"/>
      <c r="K25" s="1045"/>
      <c r="L25" s="990"/>
      <c r="M25" s="1090"/>
      <c r="N25" s="1091"/>
      <c r="O25" s="1092"/>
      <c r="P25" s="429"/>
      <c r="Q25" s="429"/>
      <c r="R25" s="821"/>
      <c r="S25" s="821"/>
      <c r="T25" s="821"/>
      <c r="U25" s="821"/>
      <c r="V25" s="821"/>
      <c r="W25" s="821"/>
      <c r="X25" s="821"/>
      <c r="Y25" s="821"/>
      <c r="Z25" s="821"/>
      <c r="AA25" s="821"/>
      <c r="AB25" s="821"/>
      <c r="AC25" s="821"/>
      <c r="AD25" s="821"/>
      <c r="AE25" s="821"/>
      <c r="AF25" s="821"/>
      <c r="AG25" s="821"/>
    </row>
    <row r="26" spans="1:33" ht="45" customHeight="1">
      <c r="A26" s="821"/>
      <c r="B26" s="821"/>
      <c r="C26" s="846"/>
      <c r="D26" s="821"/>
      <c r="E26" s="821"/>
      <c r="F26" s="1363" t="s">
        <v>683</v>
      </c>
      <c r="G26" s="1364"/>
      <c r="H26" s="1364"/>
      <c r="I26" s="1364"/>
      <c r="J26" s="358">
        <v>25</v>
      </c>
      <c r="K26" s="1093"/>
      <c r="L26" s="990"/>
      <c r="M26" s="1094"/>
      <c r="N26" s="1094"/>
      <c r="O26" s="1095"/>
      <c r="P26" s="359"/>
      <c r="Q26" s="359"/>
      <c r="R26" s="821"/>
      <c r="S26" s="821"/>
      <c r="T26" s="821"/>
      <c r="U26" s="821"/>
      <c r="V26" s="821"/>
      <c r="W26" s="821"/>
      <c r="X26" s="821"/>
      <c r="Y26" s="821"/>
      <c r="Z26" s="821"/>
      <c r="AA26" s="821"/>
      <c r="AB26" s="821"/>
      <c r="AC26" s="821"/>
      <c r="AD26" s="821"/>
      <c r="AE26" s="821"/>
      <c r="AF26" s="821"/>
      <c r="AG26" s="821"/>
    </row>
    <row r="27" spans="1:33" ht="45" customHeight="1">
      <c r="A27" s="821">
        <v>1</v>
      </c>
      <c r="B27" s="821">
        <f>IF(C27=TRUE,A27,0)</f>
        <v>0</v>
      </c>
      <c r="C27" s="846" t="b">
        <v>0</v>
      </c>
      <c r="D27" s="821"/>
      <c r="E27" s="192"/>
      <c r="F27" s="1345" t="s">
        <v>684</v>
      </c>
      <c r="G27" s="1356" t="s">
        <v>685</v>
      </c>
      <c r="H27" s="871">
        <v>9</v>
      </c>
      <c r="I27" s="877" t="s">
        <v>686</v>
      </c>
      <c r="J27" s="873" t="s">
        <v>264</v>
      </c>
      <c r="K27" s="998"/>
      <c r="L27" s="990"/>
      <c r="M27" s="983"/>
      <c r="N27" s="983"/>
      <c r="O27" s="1006"/>
      <c r="P27" s="135" t="str">
        <f>IF(OR(ISBLANK($K27)=FALSE,C27=TRUE),IF(M27="","No","Yes"),"")</f>
        <v/>
      </c>
      <c r="Q27" s="135" t="b">
        <f>IF(ISBLANK($K27)=FALSE,IF(N27="","No","Yes"),IF(C27=TRUE,"NA"))</f>
        <v>0</v>
      </c>
      <c r="R27" s="821"/>
      <c r="S27" s="821"/>
      <c r="T27" s="821"/>
      <c r="U27" s="821"/>
      <c r="V27" s="821"/>
      <c r="W27" s="821"/>
      <c r="X27" s="821"/>
      <c r="Y27" s="821"/>
      <c r="Z27" s="821"/>
      <c r="AA27" s="821"/>
      <c r="AB27" s="821"/>
      <c r="AC27" s="821"/>
      <c r="AD27" s="821"/>
      <c r="AE27" s="821"/>
      <c r="AF27" s="821"/>
      <c r="AG27" s="821"/>
    </row>
    <row r="28" spans="1:33" ht="45" customHeight="1">
      <c r="A28" s="821"/>
      <c r="B28" s="821"/>
      <c r="C28" s="846"/>
      <c r="D28" s="821"/>
      <c r="E28" s="822"/>
      <c r="F28" s="1244"/>
      <c r="G28" s="1357"/>
      <c r="H28" s="871">
        <v>9.1</v>
      </c>
      <c r="I28" s="877" t="s">
        <v>687</v>
      </c>
      <c r="J28" s="873">
        <v>2</v>
      </c>
      <c r="K28" s="998"/>
      <c r="L28" s="989" t="str">
        <f>IF(AND(K28&gt;0,$K$27&lt;&gt;$T$9),"!","")</f>
        <v/>
      </c>
      <c r="M28" s="983"/>
      <c r="N28" s="983"/>
      <c r="O28" s="1006"/>
      <c r="P28" s="135" t="str">
        <f>IF(ISBLANK($K28)=FALSE,IF(M28="","No","Yes"),"")</f>
        <v/>
      </c>
      <c r="Q28" s="135" t="str">
        <f>IF(ISBLANK($K28)=FALSE,IF(N28="","No","Yes"),"")</f>
        <v/>
      </c>
      <c r="R28" s="821"/>
      <c r="S28" s="821"/>
      <c r="T28" s="821"/>
      <c r="U28" s="821"/>
      <c r="V28" s="821"/>
      <c r="W28" s="821"/>
      <c r="X28" s="821"/>
      <c r="Y28" s="821"/>
      <c r="Z28" s="821"/>
      <c r="AA28" s="821"/>
      <c r="AB28" s="821"/>
      <c r="AC28" s="821"/>
      <c r="AD28" s="821"/>
      <c r="AE28" s="821"/>
      <c r="AF28" s="821"/>
      <c r="AG28" s="821"/>
    </row>
    <row r="29" spans="1:33" ht="45" customHeight="1">
      <c r="A29" s="821">
        <v>2</v>
      </c>
      <c r="B29" s="821">
        <f t="shared" ref="B29:B42" si="2">IF(C29=TRUE,A29,0)</f>
        <v>0</v>
      </c>
      <c r="C29" s="846" t="b">
        <v>0</v>
      </c>
      <c r="D29" s="821"/>
      <c r="E29" s="192"/>
      <c r="F29" s="1244"/>
      <c r="G29" s="1357"/>
      <c r="H29" s="871">
        <v>9.1999999999999993</v>
      </c>
      <c r="I29" s="877" t="s">
        <v>688</v>
      </c>
      <c r="J29" s="873">
        <v>2</v>
      </c>
      <c r="K29" s="998"/>
      <c r="L29" s="989" t="str">
        <f>IF(AND(K29&gt;0,$K$27&lt;&gt;$T$9),"!","")</f>
        <v/>
      </c>
      <c r="M29" s="983"/>
      <c r="N29" s="983"/>
      <c r="O29" s="1006"/>
      <c r="P29" s="135" t="str">
        <f>IF(OR(ISBLANK($K29)=FALSE,C29=TRUE),IF(M29="","No","Yes"),"")</f>
        <v/>
      </c>
      <c r="Q29" s="135" t="b">
        <f>IF(ISBLANK($K29)=FALSE,IF(N29="","No","Yes"),IF(C29=TRUE,"NA"))</f>
        <v>0</v>
      </c>
      <c r="R29" s="821"/>
      <c r="S29" s="821"/>
      <c r="T29" s="821"/>
      <c r="U29" s="821"/>
      <c r="V29" s="821"/>
      <c r="W29" s="821"/>
      <c r="X29" s="821"/>
      <c r="Y29" s="821"/>
      <c r="Z29" s="821"/>
      <c r="AA29" s="821"/>
      <c r="AB29" s="821"/>
      <c r="AC29" s="821"/>
      <c r="AD29" s="821"/>
      <c r="AE29" s="821"/>
      <c r="AF29" s="821"/>
      <c r="AG29" s="821"/>
    </row>
    <row r="30" spans="1:33" ht="45" customHeight="1">
      <c r="A30" s="821">
        <v>1</v>
      </c>
      <c r="B30" s="821">
        <f t="shared" si="2"/>
        <v>0</v>
      </c>
      <c r="C30" s="846" t="b">
        <v>0</v>
      </c>
      <c r="D30" s="821"/>
      <c r="E30" s="192"/>
      <c r="F30" s="1244"/>
      <c r="G30" s="1357"/>
      <c r="H30" s="871">
        <v>9.3000000000000007</v>
      </c>
      <c r="I30" s="877" t="s">
        <v>689</v>
      </c>
      <c r="J30" s="873">
        <v>1</v>
      </c>
      <c r="K30" s="998"/>
      <c r="L30" s="989" t="str">
        <f>IF(AND(K30&gt;0,$K$27&lt;&gt;$T$9),"!","")</f>
        <v/>
      </c>
      <c r="M30" s="983"/>
      <c r="N30" s="983"/>
      <c r="O30" s="1006"/>
      <c r="P30" s="135" t="str">
        <f>IF(OR(ISBLANK($K30)=FALSE,C30=TRUE),IF(M30="","No","Yes"),"")</f>
        <v/>
      </c>
      <c r="Q30" s="135" t="b">
        <f>IF(ISBLANK($K30)=FALSE,IF(N30="","No","Yes"),IF(C30=TRUE,"NA"))</f>
        <v>0</v>
      </c>
      <c r="R30" s="821"/>
      <c r="S30" s="821"/>
      <c r="T30" s="821"/>
      <c r="U30" s="821"/>
      <c r="V30" s="821"/>
      <c r="W30" s="821"/>
      <c r="X30" s="821"/>
      <c r="Y30" s="821"/>
      <c r="Z30" s="821"/>
      <c r="AA30" s="821"/>
      <c r="AB30" s="821"/>
      <c r="AC30" s="821"/>
      <c r="AD30" s="821"/>
      <c r="AE30" s="821"/>
      <c r="AF30" s="821"/>
      <c r="AG30" s="821"/>
    </row>
    <row r="31" spans="1:33" ht="45" customHeight="1">
      <c r="A31" s="821"/>
      <c r="B31" s="821"/>
      <c r="C31" s="846"/>
      <c r="D31" s="821"/>
      <c r="E31" s="821"/>
      <c r="F31" s="1341" t="s">
        <v>690</v>
      </c>
      <c r="G31" s="1347" t="s">
        <v>691</v>
      </c>
      <c r="H31" s="871">
        <v>10</v>
      </c>
      <c r="I31" s="872" t="s">
        <v>692</v>
      </c>
      <c r="J31" s="873" t="s">
        <v>264</v>
      </c>
      <c r="K31" s="998"/>
      <c r="L31" s="990"/>
      <c r="M31" s="983"/>
      <c r="N31" s="983"/>
      <c r="O31" s="1006"/>
      <c r="P31" s="135" t="str">
        <f>IF(ISBLANK($K31)=FALSE,IF(M31="","No","Yes"),"")</f>
        <v/>
      </c>
      <c r="Q31" s="135" t="str">
        <f>IF(ISBLANK($K31)=FALSE,IF(N31="","No","Yes"),"")</f>
        <v/>
      </c>
      <c r="R31" s="821"/>
      <c r="S31" s="821"/>
      <c r="T31" s="821"/>
      <c r="U31" s="821"/>
      <c r="V31" s="821"/>
      <c r="W31" s="821"/>
      <c r="X31" s="821"/>
      <c r="Y31" s="821"/>
      <c r="Z31" s="821"/>
      <c r="AA31" s="821"/>
      <c r="AB31" s="821"/>
      <c r="AC31" s="821"/>
      <c r="AD31" s="821"/>
      <c r="AE31" s="821"/>
      <c r="AF31" s="821"/>
      <c r="AG31" s="821"/>
    </row>
    <row r="32" spans="1:33" ht="45" customHeight="1">
      <c r="A32" s="821">
        <v>1</v>
      </c>
      <c r="B32" s="821">
        <f t="shared" si="2"/>
        <v>0</v>
      </c>
      <c r="C32" s="846" t="b">
        <v>0</v>
      </c>
      <c r="D32" s="821"/>
      <c r="E32" s="192"/>
      <c r="F32" s="1365"/>
      <c r="G32" s="1348"/>
      <c r="H32" s="871">
        <v>10.1</v>
      </c>
      <c r="I32" s="877" t="s">
        <v>693</v>
      </c>
      <c r="J32" s="873">
        <v>1</v>
      </c>
      <c r="K32" s="998"/>
      <c r="L32" s="989" t="str">
        <f>IF(AND(K32&gt;0,$K$31&lt;&gt;$T$9),"!","")</f>
        <v/>
      </c>
      <c r="M32" s="983"/>
      <c r="N32" s="983"/>
      <c r="O32" s="1006"/>
      <c r="P32" s="135" t="str">
        <f>IF(OR(ISBLANK($K32)=FALSE,C32=TRUE),IF(M32="","No","Yes"),"")</f>
        <v/>
      </c>
      <c r="Q32" s="135" t="b">
        <f>IF(ISBLANK($K32)=FALSE,IF(N32="","No","Yes"),IF(C32=TRUE,"NA"))</f>
        <v>0</v>
      </c>
      <c r="R32" s="821"/>
      <c r="S32" s="821"/>
      <c r="T32" s="821"/>
      <c r="U32" s="821"/>
      <c r="V32" s="821"/>
      <c r="W32" s="821"/>
      <c r="X32" s="821"/>
      <c r="Y32" s="821"/>
      <c r="Z32" s="821"/>
      <c r="AA32" s="821"/>
      <c r="AB32" s="821"/>
      <c r="AC32" s="821"/>
      <c r="AD32" s="821"/>
      <c r="AE32" s="821"/>
      <c r="AF32" s="821"/>
      <c r="AG32" s="821"/>
    </row>
    <row r="33" spans="1:24" ht="45" customHeight="1">
      <c r="A33" s="821">
        <v>1</v>
      </c>
      <c r="B33" s="821">
        <f t="shared" si="2"/>
        <v>0</v>
      </c>
      <c r="C33" s="846" t="b">
        <v>0</v>
      </c>
      <c r="D33" s="821"/>
      <c r="E33" s="192"/>
      <c r="F33" s="1365"/>
      <c r="G33" s="1348"/>
      <c r="H33" s="871">
        <v>10.199999999999999</v>
      </c>
      <c r="I33" s="877" t="s">
        <v>694</v>
      </c>
      <c r="J33" s="873">
        <v>1</v>
      </c>
      <c r="K33" s="998"/>
      <c r="L33" s="989" t="str">
        <f t="shared" ref="L33:L35" si="3">IF(AND(K33&gt;0,$K$31&lt;&gt;$T$9),"!","")</f>
        <v/>
      </c>
      <c r="M33" s="983"/>
      <c r="N33" s="983"/>
      <c r="O33" s="1006"/>
      <c r="P33" s="135" t="str">
        <f>IF(OR(ISBLANK($K33)=FALSE,C33=TRUE),IF(M33="","No","Yes"),"")</f>
        <v/>
      </c>
      <c r="Q33" s="135" t="b">
        <f>IF(ISBLANK($K33)=FALSE,IF(N33="","No","Yes"),IF(C33=TRUE,"NA"))</f>
        <v>0</v>
      </c>
      <c r="R33" s="821"/>
      <c r="S33" s="821"/>
      <c r="T33" s="821"/>
      <c r="U33" s="821"/>
      <c r="V33" s="821"/>
      <c r="W33" s="821"/>
      <c r="X33" s="821"/>
    </row>
    <row r="34" spans="1:24" ht="45" customHeight="1">
      <c r="A34" s="821"/>
      <c r="B34" s="821"/>
      <c r="C34" s="846"/>
      <c r="D34" s="821"/>
      <c r="E34" s="821"/>
      <c r="F34" s="1365"/>
      <c r="G34" s="1348"/>
      <c r="H34" s="871">
        <v>10.3</v>
      </c>
      <c r="I34" s="877" t="s">
        <v>695</v>
      </c>
      <c r="J34" s="873">
        <v>1</v>
      </c>
      <c r="K34" s="998"/>
      <c r="L34" s="989" t="str">
        <f t="shared" si="3"/>
        <v/>
      </c>
      <c r="M34" s="983"/>
      <c r="N34" s="983"/>
      <c r="O34" s="1006"/>
      <c r="P34" s="135" t="str">
        <f>IF(ISBLANK($K34)=FALSE,IF(M34="","No","Yes"),"")</f>
        <v/>
      </c>
      <c r="Q34" s="135" t="str">
        <f>IF(ISBLANK($K34)=FALSE,IF(N34="","No","Yes"),"")</f>
        <v/>
      </c>
      <c r="R34" s="821"/>
      <c r="S34" s="821"/>
      <c r="T34" s="821"/>
      <c r="U34" s="821"/>
      <c r="V34" s="821"/>
      <c r="W34" s="821"/>
      <c r="X34" s="821"/>
    </row>
    <row r="35" spans="1:24" ht="45" customHeight="1">
      <c r="A35" s="821">
        <v>1</v>
      </c>
      <c r="B35" s="821">
        <f t="shared" si="2"/>
        <v>0</v>
      </c>
      <c r="C35" s="846" t="b">
        <v>0</v>
      </c>
      <c r="D35" s="821"/>
      <c r="E35" s="192"/>
      <c r="F35" s="1342"/>
      <c r="G35" s="1349"/>
      <c r="H35" s="871">
        <v>10.4</v>
      </c>
      <c r="I35" s="877" t="s">
        <v>696</v>
      </c>
      <c r="J35" s="873">
        <v>1</v>
      </c>
      <c r="K35" s="998"/>
      <c r="L35" s="989" t="str">
        <f t="shared" si="3"/>
        <v/>
      </c>
      <c r="M35" s="983"/>
      <c r="N35" s="983"/>
      <c r="O35" s="1006"/>
      <c r="P35" s="135" t="str">
        <f>IF(OR(ISBLANK($K35)=FALSE,C35=TRUE),IF(M35="","No","Yes"),"")</f>
        <v/>
      </c>
      <c r="Q35" s="135" t="b">
        <f>IF(ISBLANK($K35)=FALSE,IF(N35="","No","Yes"),IF(C35=TRUE,"NA"))</f>
        <v>0</v>
      </c>
      <c r="R35" s="821"/>
      <c r="S35" s="821"/>
      <c r="T35" s="821"/>
      <c r="U35" s="821"/>
      <c r="V35" s="821"/>
      <c r="W35" s="821"/>
      <c r="X35" s="821"/>
    </row>
    <row r="36" spans="1:24" ht="45" customHeight="1">
      <c r="A36" s="821"/>
      <c r="B36" s="821"/>
      <c r="C36" s="846"/>
      <c r="D36" s="821"/>
      <c r="E36" s="821"/>
      <c r="F36" s="1345" t="s">
        <v>697</v>
      </c>
      <c r="G36" s="1361" t="s">
        <v>698</v>
      </c>
      <c r="H36" s="871">
        <v>11.1</v>
      </c>
      <c r="I36" s="877" t="s">
        <v>698</v>
      </c>
      <c r="J36" s="873">
        <f>IF(G36=X36, 4, 0)</f>
        <v>4</v>
      </c>
      <c r="K36" s="998"/>
      <c r="L36" s="990"/>
      <c r="M36" s="983"/>
      <c r="N36" s="983"/>
      <c r="O36" s="1006"/>
      <c r="P36" s="135" t="str">
        <f>IF(ISBLANK($K36)=FALSE,IF(M36="","No","Yes"),"")</f>
        <v/>
      </c>
      <c r="Q36" s="135" t="str">
        <f>IF(ISBLANK($K36)=FALSE,IF(N36="","No","Yes"),"")</f>
        <v/>
      </c>
      <c r="R36" s="821"/>
      <c r="S36" s="821"/>
      <c r="T36" s="821"/>
      <c r="U36" s="821"/>
      <c r="V36" s="821"/>
      <c r="W36" s="821"/>
      <c r="X36" s="821" t="s">
        <v>698</v>
      </c>
    </row>
    <row r="37" spans="1:24" ht="45" customHeight="1">
      <c r="A37" s="821">
        <v>1</v>
      </c>
      <c r="B37" s="821">
        <f t="shared" si="2"/>
        <v>0</v>
      </c>
      <c r="C37" s="846" t="b">
        <v>0</v>
      </c>
      <c r="D37" s="821"/>
      <c r="E37" s="192"/>
      <c r="F37" s="1244"/>
      <c r="G37" s="1361"/>
      <c r="H37" s="871">
        <v>11.2</v>
      </c>
      <c r="I37" s="877" t="s">
        <v>699</v>
      </c>
      <c r="J37" s="873">
        <f>IF(G36=X37, 4,0)</f>
        <v>0</v>
      </c>
      <c r="K37" s="998"/>
      <c r="L37" s="990"/>
      <c r="M37" s="983"/>
      <c r="N37" s="983"/>
      <c r="O37" s="1006"/>
      <c r="P37" s="135" t="str">
        <f>IF(OR(ISBLANK($K37)=FALSE,C37=TRUE),IF(M37="","No","Yes"),"")</f>
        <v/>
      </c>
      <c r="Q37" s="135" t="b">
        <f>IF(ISBLANK($K37)=FALSE,IF(N37="","No","Yes"),IF(C37=TRUE,"NA"))</f>
        <v>0</v>
      </c>
      <c r="R37" s="821"/>
      <c r="S37" s="821"/>
      <c r="T37" s="821"/>
      <c r="U37" s="821"/>
      <c r="V37" s="821"/>
      <c r="W37" s="821"/>
      <c r="X37" s="821" t="s">
        <v>699</v>
      </c>
    </row>
    <row r="38" spans="1:24" ht="45" customHeight="1">
      <c r="A38" s="821"/>
      <c r="B38" s="821"/>
      <c r="C38" s="846"/>
      <c r="D38" s="821"/>
      <c r="E38" s="821"/>
      <c r="F38" s="1345" t="s">
        <v>700</v>
      </c>
      <c r="G38" s="1356" t="s">
        <v>701</v>
      </c>
      <c r="H38" s="871">
        <v>12.1</v>
      </c>
      <c r="I38" s="877" t="s">
        <v>702</v>
      </c>
      <c r="J38" s="873">
        <v>1</v>
      </c>
      <c r="K38" s="998"/>
      <c r="L38" s="990"/>
      <c r="M38" s="983"/>
      <c r="N38" s="983"/>
      <c r="O38" s="1006"/>
      <c r="P38" s="135" t="str">
        <f>IF(ISBLANK($K38)=FALSE,IF(M38="","No","Yes"),"")</f>
        <v/>
      </c>
      <c r="Q38" s="135" t="str">
        <f>IF(ISBLANK($K38)=FALSE,IF(N38="","No","Yes"),"")</f>
        <v/>
      </c>
      <c r="R38" s="821"/>
      <c r="S38" s="821"/>
      <c r="T38" s="821"/>
      <c r="U38" s="821"/>
      <c r="V38" s="821"/>
      <c r="W38" s="821"/>
      <c r="X38" s="821"/>
    </row>
    <row r="39" spans="1:24" ht="45" customHeight="1">
      <c r="A39" s="821">
        <v>2</v>
      </c>
      <c r="B39" s="821">
        <f t="shared" si="2"/>
        <v>0</v>
      </c>
      <c r="C39" s="846" t="b">
        <v>0</v>
      </c>
      <c r="D39" s="821"/>
      <c r="E39" s="192"/>
      <c r="F39" s="1244"/>
      <c r="G39" s="1357"/>
      <c r="H39" s="871">
        <v>12.2</v>
      </c>
      <c r="I39" s="872" t="s">
        <v>703</v>
      </c>
      <c r="J39" s="873">
        <v>2</v>
      </c>
      <c r="K39" s="998"/>
      <c r="L39" s="990"/>
      <c r="M39" s="983"/>
      <c r="N39" s="983"/>
      <c r="O39" s="1006"/>
      <c r="P39" s="135" t="str">
        <f>IF(OR(ISBLANK($K39)=FALSE,C39=TRUE),IF(M39="","No","Yes"),"")</f>
        <v/>
      </c>
      <c r="Q39" s="135" t="b">
        <f>IF(ISBLANK($K39)=FALSE,IF(N39="","No","Yes"),IF(C39=TRUE,"NA"))</f>
        <v>0</v>
      </c>
      <c r="R39" s="821"/>
      <c r="S39" s="821"/>
      <c r="T39" s="821"/>
      <c r="U39" s="821"/>
      <c r="V39" s="821"/>
      <c r="W39" s="821"/>
      <c r="X39" s="821"/>
    </row>
    <row r="40" spans="1:24" ht="45" customHeight="1">
      <c r="A40" s="821">
        <v>1</v>
      </c>
      <c r="B40" s="821">
        <f t="shared" si="2"/>
        <v>0</v>
      </c>
      <c r="C40" s="846" t="b">
        <v>0</v>
      </c>
      <c r="D40" s="821"/>
      <c r="E40" s="192"/>
      <c r="F40" s="373" t="s">
        <v>704</v>
      </c>
      <c r="G40" s="878" t="s">
        <v>705</v>
      </c>
      <c r="H40" s="871">
        <v>13.1</v>
      </c>
      <c r="I40" s="877" t="s">
        <v>704</v>
      </c>
      <c r="J40" s="873">
        <v>2</v>
      </c>
      <c r="K40" s="998"/>
      <c r="L40" s="990"/>
      <c r="M40" s="983"/>
      <c r="N40" s="983"/>
      <c r="O40" s="1006"/>
      <c r="P40" s="135" t="str">
        <f>IF(OR(ISBLANK($K40)=FALSE,C40=TRUE),IF(M40="","No","Yes"),"")</f>
        <v/>
      </c>
      <c r="Q40" s="135" t="b">
        <f>IF(ISBLANK($K40)=FALSE,IF(N40="","No","Yes"),IF(C40=TRUE,"NA"))</f>
        <v>0</v>
      </c>
      <c r="R40" s="821"/>
      <c r="S40" s="821"/>
      <c r="T40" s="821"/>
      <c r="U40" s="821"/>
      <c r="V40" s="821"/>
      <c r="W40" s="821"/>
      <c r="X40" s="821"/>
    </row>
    <row r="41" spans="1:24" ht="45" customHeight="1">
      <c r="A41" s="821">
        <v>1</v>
      </c>
      <c r="B41" s="821">
        <f t="shared" si="2"/>
        <v>0</v>
      </c>
      <c r="C41" s="846" t="b">
        <v>0</v>
      </c>
      <c r="D41" s="821"/>
      <c r="E41" s="192"/>
      <c r="F41" s="1345" t="s">
        <v>706</v>
      </c>
      <c r="G41" s="1356" t="s">
        <v>707</v>
      </c>
      <c r="H41" s="871">
        <v>14.1</v>
      </c>
      <c r="I41" s="877" t="s">
        <v>706</v>
      </c>
      <c r="J41" s="873">
        <f>IF(C41=FALSE,A41,0)</f>
        <v>1</v>
      </c>
      <c r="K41" s="998"/>
      <c r="L41" s="990"/>
      <c r="M41" s="983"/>
      <c r="N41" s="983"/>
      <c r="O41" s="1006"/>
      <c r="P41" s="135" t="str">
        <f>IF(OR(ISBLANK($K41)=FALSE,C41=TRUE),IF(M41="","No","Yes"),"")</f>
        <v/>
      </c>
      <c r="Q41" s="135" t="b">
        <f>IF(ISBLANK($K41)=FALSE,IF(N41="","No","Yes"),IF(C41=TRUE,"NA"))</f>
        <v>0</v>
      </c>
      <c r="R41" s="821"/>
      <c r="S41" s="821"/>
      <c r="T41" s="821"/>
      <c r="U41" s="821"/>
      <c r="V41" s="821"/>
      <c r="W41" s="821"/>
      <c r="X41" s="821"/>
    </row>
    <row r="42" spans="1:24" ht="45" customHeight="1">
      <c r="A42" s="821">
        <v>1</v>
      </c>
      <c r="B42" s="821">
        <f t="shared" si="2"/>
        <v>0</v>
      </c>
      <c r="C42" s="846" t="b">
        <v>0</v>
      </c>
      <c r="D42" s="821"/>
      <c r="E42" s="192"/>
      <c r="F42" s="1245"/>
      <c r="G42" s="1358"/>
      <c r="H42" s="871">
        <v>14.2</v>
      </c>
      <c r="I42" s="877" t="s">
        <v>708</v>
      </c>
      <c r="J42" s="873">
        <f>IF(C42=FALSE,A42,0)</f>
        <v>1</v>
      </c>
      <c r="K42" s="998"/>
      <c r="L42" s="990"/>
      <c r="M42" s="983"/>
      <c r="N42" s="983"/>
      <c r="O42" s="1006"/>
      <c r="P42" s="135" t="str">
        <f>IF(OR(ISBLANK($K42)=FALSE,C42=TRUE),IF(M42="","No","Yes"),"")</f>
        <v/>
      </c>
      <c r="Q42" s="135" t="b">
        <f>IF(ISBLANK($K42)=FALSE,IF(N42="","No","Yes"),IF(C42=TRUE,"NA"))</f>
        <v>0</v>
      </c>
      <c r="R42" s="821"/>
      <c r="S42" s="821"/>
      <c r="T42" s="821"/>
      <c r="U42" s="821"/>
      <c r="V42" s="821"/>
      <c r="W42" s="821"/>
      <c r="X42" s="821"/>
    </row>
    <row r="43" spans="1:24" ht="45" customHeight="1">
      <c r="A43" s="821"/>
      <c r="B43" s="821"/>
      <c r="C43" s="846"/>
      <c r="D43" s="821"/>
      <c r="E43" s="821"/>
      <c r="F43" s="1345" t="s">
        <v>709</v>
      </c>
      <c r="G43" s="1356" t="s">
        <v>710</v>
      </c>
      <c r="H43" s="871">
        <v>15</v>
      </c>
      <c r="I43" s="877" t="s">
        <v>711</v>
      </c>
      <c r="J43" s="873" t="s">
        <v>264</v>
      </c>
      <c r="K43" s="998"/>
      <c r="L43" s="990"/>
      <c r="M43" s="983"/>
      <c r="N43" s="983"/>
      <c r="O43" s="1006"/>
      <c r="P43" s="135" t="str">
        <f>IF(ISBLANK($K43)=FALSE,IF(M43="","No","Yes"),"")</f>
        <v/>
      </c>
      <c r="Q43" s="135" t="str">
        <f>IF(ISBLANK($K43)=FALSE,IF(N43="","No","Yes"),"")</f>
        <v/>
      </c>
      <c r="R43" s="821"/>
      <c r="S43" s="821"/>
      <c r="T43" s="821"/>
      <c r="U43" s="821"/>
      <c r="V43" s="821"/>
      <c r="W43" s="821"/>
      <c r="X43" s="821"/>
    </row>
    <row r="44" spans="1:24" ht="45" customHeight="1">
      <c r="A44" s="821"/>
      <c r="B44" s="821"/>
      <c r="C44" s="846"/>
      <c r="D44" s="821"/>
      <c r="E44" s="821"/>
      <c r="F44" s="1245"/>
      <c r="G44" s="1358"/>
      <c r="H44" s="871">
        <v>15.1</v>
      </c>
      <c r="I44" s="877" t="s">
        <v>712</v>
      </c>
      <c r="J44" s="873">
        <v>2</v>
      </c>
      <c r="K44" s="998"/>
      <c r="L44" s="989" t="str">
        <f>IF(AND(K44&gt;0,$K$43&lt;&gt;$T$9),"!","")</f>
        <v/>
      </c>
      <c r="M44" s="983"/>
      <c r="N44" s="983"/>
      <c r="O44" s="1006"/>
      <c r="P44" s="135" t="str">
        <f>IF(ISBLANK($K44)=FALSE,IF(M44="","No","Yes"),"")</f>
        <v/>
      </c>
      <c r="Q44" s="135" t="str">
        <f>IF(ISBLANK($K44)=FALSE,IF(N44="","No","Yes"),"")</f>
        <v/>
      </c>
      <c r="R44" s="821"/>
      <c r="S44" s="821"/>
      <c r="T44" s="821"/>
      <c r="U44" s="821"/>
      <c r="V44" s="821"/>
      <c r="W44" s="821"/>
      <c r="X44" s="821"/>
    </row>
    <row r="45" spans="1:24" ht="45" customHeight="1">
      <c r="A45" s="821"/>
      <c r="B45" s="821"/>
      <c r="C45" s="846"/>
      <c r="D45" s="821"/>
      <c r="E45" s="821"/>
      <c r="F45" s="362" t="s">
        <v>305</v>
      </c>
      <c r="G45" s="363"/>
      <c r="H45" s="362"/>
      <c r="I45" s="362"/>
      <c r="J45" s="376">
        <f>SUM(J27:J44)</f>
        <v>22</v>
      </c>
      <c r="K45" s="1096">
        <f>SUM(K27:K44)</f>
        <v>0</v>
      </c>
      <c r="L45" s="990"/>
      <c r="M45" s="1088"/>
      <c r="N45" s="1088"/>
      <c r="O45" s="1089"/>
      <c r="P45" s="367"/>
      <c r="Q45" s="367"/>
      <c r="R45" s="821"/>
      <c r="S45" s="821"/>
      <c r="T45" s="821"/>
      <c r="U45" s="821"/>
      <c r="V45" s="821"/>
      <c r="W45" s="821"/>
      <c r="X45" s="821"/>
    </row>
    <row r="46" spans="1:24" ht="45" customHeight="1">
      <c r="A46" s="821"/>
      <c r="B46" s="821"/>
      <c r="C46" s="846"/>
      <c r="D46" s="821"/>
      <c r="E46" s="821"/>
      <c r="F46" s="828"/>
      <c r="G46" s="531"/>
      <c r="H46" s="817"/>
      <c r="I46" s="828"/>
      <c r="J46" s="817"/>
      <c r="K46" s="1027"/>
      <c r="L46" s="990"/>
      <c r="M46" s="1097"/>
      <c r="N46" s="1097"/>
      <c r="O46" s="1098"/>
      <c r="P46" s="430"/>
      <c r="Q46" s="430"/>
      <c r="R46" s="821"/>
      <c r="S46" s="821"/>
      <c r="T46" s="821"/>
      <c r="U46" s="821"/>
      <c r="V46" s="821"/>
      <c r="W46" s="821"/>
      <c r="X46" s="821"/>
    </row>
    <row r="47" spans="1:24" ht="45" customHeight="1">
      <c r="A47" s="821"/>
      <c r="B47" s="821"/>
      <c r="C47" s="846"/>
      <c r="D47" s="821"/>
      <c r="E47" s="821"/>
      <c r="F47" s="1350" t="s">
        <v>713</v>
      </c>
      <c r="G47" s="1231"/>
      <c r="H47" s="1231"/>
      <c r="I47" s="1231"/>
      <c r="J47" s="356">
        <v>21</v>
      </c>
      <c r="K47" s="1093"/>
      <c r="L47" s="990"/>
      <c r="M47" s="1099"/>
      <c r="N47" s="1099"/>
      <c r="O47" s="1095"/>
      <c r="P47" s="359"/>
      <c r="Q47" s="359"/>
      <c r="R47" s="821"/>
      <c r="S47" s="821"/>
      <c r="T47" s="821"/>
      <c r="U47" s="821"/>
      <c r="V47" s="821"/>
      <c r="W47" s="821"/>
      <c r="X47" s="821"/>
    </row>
    <row r="48" spans="1:24" ht="45" customHeight="1">
      <c r="A48" s="821"/>
      <c r="B48" s="821"/>
      <c r="C48" s="846"/>
      <c r="D48" s="821"/>
      <c r="E48" s="821"/>
      <c r="F48" s="431" t="s">
        <v>714</v>
      </c>
      <c r="G48" s="878" t="s">
        <v>715</v>
      </c>
      <c r="H48" s="879">
        <v>16.100000000000001</v>
      </c>
      <c r="I48" s="880" t="s">
        <v>716</v>
      </c>
      <c r="J48" s="879">
        <v>4</v>
      </c>
      <c r="K48" s="1085"/>
      <c r="L48" s="990"/>
      <c r="M48" s="983"/>
      <c r="N48" s="983"/>
      <c r="O48" s="1006"/>
      <c r="P48" s="135" t="str">
        <f t="shared" ref="P48:P66" si="4">IF(ISBLANK($K48)=FALSE,IF(M48="","No","Yes"),"")</f>
        <v/>
      </c>
      <c r="Q48" s="135" t="str">
        <f t="shared" ref="Q48:Q66" si="5">IF(ISBLANK($K48)=FALSE,IF(N48="","No","Yes"),"")</f>
        <v/>
      </c>
      <c r="R48" s="821"/>
      <c r="S48" s="821"/>
      <c r="T48" s="821"/>
      <c r="U48" s="821"/>
      <c r="V48" s="821"/>
      <c r="W48" s="821"/>
      <c r="X48" s="821"/>
    </row>
    <row r="49" spans="6:24" ht="45" customHeight="1">
      <c r="F49" s="1345" t="s">
        <v>717</v>
      </c>
      <c r="G49" s="1359" t="s">
        <v>718</v>
      </c>
      <c r="H49" s="881">
        <v>17.100000000000001</v>
      </c>
      <c r="I49" s="877" t="s">
        <v>718</v>
      </c>
      <c r="J49" s="881">
        <f>IF(G49=X49,4, 0)</f>
        <v>4</v>
      </c>
      <c r="K49" s="1085"/>
      <c r="L49" s="990"/>
      <c r="M49" s="983"/>
      <c r="N49" s="983"/>
      <c r="O49" s="1006"/>
      <c r="P49" s="135" t="str">
        <f t="shared" si="4"/>
        <v/>
      </c>
      <c r="Q49" s="135" t="str">
        <f t="shared" si="5"/>
        <v/>
      </c>
      <c r="R49" s="821"/>
      <c r="S49" s="821"/>
      <c r="T49" s="821"/>
      <c r="U49" s="821"/>
      <c r="V49" s="821"/>
      <c r="W49" s="821"/>
      <c r="X49" s="821" t="s">
        <v>718</v>
      </c>
    </row>
    <row r="50" spans="6:24" ht="45" customHeight="1">
      <c r="F50" s="1244"/>
      <c r="G50" s="1360"/>
      <c r="H50" s="881">
        <v>17.2</v>
      </c>
      <c r="I50" s="877" t="s">
        <v>719</v>
      </c>
      <c r="J50" s="881">
        <f>IF(G49=X50,4, 0)</f>
        <v>0</v>
      </c>
      <c r="K50" s="1085"/>
      <c r="L50" s="990"/>
      <c r="M50" s="983"/>
      <c r="N50" s="983"/>
      <c r="O50" s="1006"/>
      <c r="P50" s="135" t="str">
        <f t="shared" si="4"/>
        <v/>
      </c>
      <c r="Q50" s="135" t="str">
        <f t="shared" si="5"/>
        <v/>
      </c>
      <c r="R50" s="821"/>
      <c r="S50" s="821"/>
      <c r="T50" s="821"/>
      <c r="U50" s="821"/>
      <c r="V50" s="821"/>
      <c r="W50" s="821"/>
      <c r="X50" s="821" t="s">
        <v>719</v>
      </c>
    </row>
    <row r="51" spans="6:24" ht="45" customHeight="1">
      <c r="F51" s="1345" t="s">
        <v>720</v>
      </c>
      <c r="G51" s="878" t="s">
        <v>721</v>
      </c>
      <c r="H51" s="871">
        <v>18.100000000000001</v>
      </c>
      <c r="I51" s="877" t="s">
        <v>722</v>
      </c>
      <c r="J51" s="881">
        <v>1</v>
      </c>
      <c r="K51" s="1085"/>
      <c r="L51" s="990"/>
      <c r="M51" s="983"/>
      <c r="N51" s="983"/>
      <c r="O51" s="1006"/>
      <c r="P51" s="135" t="str">
        <f t="shared" si="4"/>
        <v/>
      </c>
      <c r="Q51" s="135" t="str">
        <f t="shared" si="5"/>
        <v/>
      </c>
      <c r="R51" s="821"/>
      <c r="S51" s="821"/>
      <c r="T51" s="821"/>
      <c r="U51" s="821"/>
      <c r="V51" s="821"/>
      <c r="W51" s="821"/>
      <c r="X51" s="821"/>
    </row>
    <row r="52" spans="6:24" ht="45" customHeight="1">
      <c r="F52" s="1244"/>
      <c r="G52" s="1343" t="s">
        <v>723</v>
      </c>
      <c r="H52" s="871" t="s">
        <v>724</v>
      </c>
      <c r="I52" s="877" t="s">
        <v>725</v>
      </c>
      <c r="J52" s="881">
        <f>IF(G52=X52,1,0)</f>
        <v>1</v>
      </c>
      <c r="K52" s="1085"/>
      <c r="L52" s="990"/>
      <c r="M52" s="983"/>
      <c r="N52" s="983"/>
      <c r="O52" s="1006"/>
      <c r="P52" s="135" t="str">
        <f t="shared" si="4"/>
        <v/>
      </c>
      <c r="Q52" s="135" t="str">
        <f t="shared" si="5"/>
        <v/>
      </c>
      <c r="R52" s="821"/>
      <c r="S52" s="821"/>
      <c r="T52" s="821"/>
      <c r="U52" s="821"/>
      <c r="V52" s="821"/>
      <c r="W52" s="821"/>
      <c r="X52" s="821" t="s">
        <v>723</v>
      </c>
    </row>
    <row r="53" spans="6:24" ht="45" customHeight="1">
      <c r="F53" s="1244"/>
      <c r="G53" s="1346"/>
      <c r="H53" s="871" t="s">
        <v>726</v>
      </c>
      <c r="I53" s="877" t="s">
        <v>727</v>
      </c>
      <c r="J53" s="881">
        <f>IF(G52=X53, 1, 0)</f>
        <v>0</v>
      </c>
      <c r="K53" s="1085"/>
      <c r="L53" s="990"/>
      <c r="M53" s="983"/>
      <c r="N53" s="983"/>
      <c r="O53" s="1006"/>
      <c r="P53" s="135" t="str">
        <f t="shared" si="4"/>
        <v/>
      </c>
      <c r="Q53" s="135" t="str">
        <f t="shared" si="5"/>
        <v/>
      </c>
      <c r="R53" s="821"/>
      <c r="S53" s="821"/>
      <c r="T53" s="821"/>
      <c r="U53" s="821"/>
      <c r="V53" s="821"/>
      <c r="W53" s="821"/>
      <c r="X53" s="821" t="s">
        <v>728</v>
      </c>
    </row>
    <row r="54" spans="6:24" ht="45" customHeight="1">
      <c r="F54" s="1244"/>
      <c r="G54" s="1344"/>
      <c r="H54" s="871" t="s">
        <v>729</v>
      </c>
      <c r="I54" s="877" t="s">
        <v>730</v>
      </c>
      <c r="J54" s="881">
        <f>IF(G52=X54, 1, 0)</f>
        <v>0</v>
      </c>
      <c r="K54" s="1085"/>
      <c r="L54" s="990"/>
      <c r="M54" s="983"/>
      <c r="N54" s="983"/>
      <c r="O54" s="1006"/>
      <c r="P54" s="135" t="str">
        <f t="shared" si="4"/>
        <v/>
      </c>
      <c r="Q54" s="135" t="str">
        <f t="shared" si="5"/>
        <v/>
      </c>
      <c r="R54" s="821"/>
      <c r="S54" s="821"/>
      <c r="T54" s="821"/>
      <c r="U54" s="821"/>
      <c r="V54" s="821"/>
      <c r="W54" s="821"/>
      <c r="X54" s="821" t="s">
        <v>731</v>
      </c>
    </row>
    <row r="55" spans="6:24" ht="45" customHeight="1">
      <c r="F55" s="1345" t="s">
        <v>732</v>
      </c>
      <c r="G55" s="1347" t="s">
        <v>733</v>
      </c>
      <c r="H55" s="871">
        <v>19.100000000000001</v>
      </c>
      <c r="I55" s="877" t="s">
        <v>734</v>
      </c>
      <c r="J55" s="881">
        <v>1</v>
      </c>
      <c r="K55" s="1085"/>
      <c r="L55" s="990"/>
      <c r="M55" s="983"/>
      <c r="N55" s="983"/>
      <c r="O55" s="1006"/>
      <c r="P55" s="135" t="str">
        <f t="shared" si="4"/>
        <v/>
      </c>
      <c r="Q55" s="135" t="str">
        <f t="shared" si="5"/>
        <v/>
      </c>
      <c r="R55" s="821"/>
      <c r="S55" s="821"/>
      <c r="T55" s="821"/>
      <c r="U55" s="821"/>
      <c r="V55" s="821"/>
      <c r="W55" s="821"/>
      <c r="X55" s="821"/>
    </row>
    <row r="56" spans="6:24" ht="45" customHeight="1">
      <c r="F56" s="1244"/>
      <c r="G56" s="1348"/>
      <c r="H56" s="871">
        <v>19.2</v>
      </c>
      <c r="I56" s="877" t="s">
        <v>735</v>
      </c>
      <c r="J56" s="881">
        <v>1</v>
      </c>
      <c r="K56" s="1085"/>
      <c r="L56" s="990"/>
      <c r="M56" s="983"/>
      <c r="N56" s="983"/>
      <c r="O56" s="1006"/>
      <c r="P56" s="135" t="str">
        <f t="shared" si="4"/>
        <v/>
      </c>
      <c r="Q56" s="135" t="str">
        <f t="shared" si="5"/>
        <v/>
      </c>
      <c r="R56" s="821"/>
      <c r="S56" s="821"/>
      <c r="T56" s="821"/>
      <c r="U56" s="821"/>
      <c r="V56" s="821"/>
      <c r="W56" s="821"/>
      <c r="X56" s="821"/>
    </row>
    <row r="57" spans="6:24" ht="45" customHeight="1">
      <c r="F57" s="1244"/>
      <c r="G57" s="1348"/>
      <c r="H57" s="871">
        <v>19.3</v>
      </c>
      <c r="I57" s="877" t="s">
        <v>736</v>
      </c>
      <c r="J57" s="881">
        <v>1</v>
      </c>
      <c r="K57" s="1085"/>
      <c r="L57" s="990"/>
      <c r="M57" s="983"/>
      <c r="N57" s="983"/>
      <c r="O57" s="1006"/>
      <c r="P57" s="135" t="str">
        <f t="shared" si="4"/>
        <v/>
      </c>
      <c r="Q57" s="135" t="str">
        <f t="shared" si="5"/>
        <v/>
      </c>
      <c r="R57" s="821"/>
      <c r="S57" s="821"/>
      <c r="T57" s="821"/>
      <c r="U57" s="821"/>
      <c r="V57" s="821"/>
      <c r="W57" s="821"/>
      <c r="X57" s="821"/>
    </row>
    <row r="58" spans="6:24" ht="45" customHeight="1">
      <c r="F58" s="1345" t="s">
        <v>737</v>
      </c>
      <c r="G58" s="1347" t="s">
        <v>738</v>
      </c>
      <c r="H58" s="871">
        <v>20.100000000000001</v>
      </c>
      <c r="I58" s="877" t="s">
        <v>739</v>
      </c>
      <c r="J58" s="881">
        <v>1</v>
      </c>
      <c r="K58" s="1085"/>
      <c r="L58" s="990"/>
      <c r="M58" s="983"/>
      <c r="N58" s="983"/>
      <c r="O58" s="1006"/>
      <c r="P58" s="135" t="str">
        <f t="shared" si="4"/>
        <v/>
      </c>
      <c r="Q58" s="135" t="str">
        <f t="shared" si="5"/>
        <v/>
      </c>
      <c r="R58" s="821"/>
      <c r="S58" s="821"/>
      <c r="T58" s="821"/>
      <c r="U58" s="821"/>
      <c r="V58" s="821"/>
      <c r="W58" s="821"/>
      <c r="X58" s="821"/>
    </row>
    <row r="59" spans="6:24" ht="45" customHeight="1">
      <c r="F59" s="1244"/>
      <c r="G59" s="1348"/>
      <c r="H59" s="871">
        <v>20.2</v>
      </c>
      <c r="I59" s="877" t="s">
        <v>740</v>
      </c>
      <c r="J59" s="881">
        <v>1</v>
      </c>
      <c r="K59" s="1085"/>
      <c r="L59" s="990"/>
      <c r="M59" s="983"/>
      <c r="N59" s="983"/>
      <c r="O59" s="1006"/>
      <c r="P59" s="135" t="str">
        <f t="shared" si="4"/>
        <v/>
      </c>
      <c r="Q59" s="135" t="str">
        <f t="shared" si="5"/>
        <v/>
      </c>
      <c r="R59" s="821"/>
      <c r="S59" s="821"/>
      <c r="T59" s="821"/>
      <c r="U59" s="821"/>
      <c r="V59" s="821"/>
      <c r="W59" s="821"/>
      <c r="X59" s="821"/>
    </row>
    <row r="60" spans="6:24" ht="45" customHeight="1">
      <c r="F60" s="1341" t="s">
        <v>741</v>
      </c>
      <c r="G60" s="1343" t="s">
        <v>742</v>
      </c>
      <c r="H60" s="871">
        <v>21.1</v>
      </c>
      <c r="I60" s="877" t="s">
        <v>742</v>
      </c>
      <c r="J60" s="881">
        <f>IF(G60=X60, 2, 0)</f>
        <v>2</v>
      </c>
      <c r="K60" s="1085"/>
      <c r="L60" s="990"/>
      <c r="M60" s="983"/>
      <c r="N60" s="983"/>
      <c r="O60" s="1006"/>
      <c r="P60" s="135" t="str">
        <f t="shared" si="4"/>
        <v/>
      </c>
      <c r="Q60" s="135" t="str">
        <f t="shared" si="5"/>
        <v/>
      </c>
      <c r="R60" s="821"/>
      <c r="S60" s="821"/>
      <c r="T60" s="821"/>
      <c r="U60" s="821"/>
      <c r="V60" s="821"/>
      <c r="W60" s="821"/>
      <c r="X60" s="821" t="s">
        <v>742</v>
      </c>
    </row>
    <row r="61" spans="6:24" ht="45" customHeight="1">
      <c r="F61" s="1342"/>
      <c r="G61" s="1344"/>
      <c r="H61" s="871">
        <v>21.2</v>
      </c>
      <c r="I61" s="877" t="s">
        <v>743</v>
      </c>
      <c r="J61" s="881">
        <f>IF(G60=X61, 2, 0)</f>
        <v>0</v>
      </c>
      <c r="K61" s="1085"/>
      <c r="L61" s="990"/>
      <c r="M61" s="983"/>
      <c r="N61" s="983"/>
      <c r="O61" s="1006"/>
      <c r="P61" s="135" t="str">
        <f t="shared" si="4"/>
        <v/>
      </c>
      <c r="Q61" s="135" t="str">
        <f t="shared" si="5"/>
        <v/>
      </c>
      <c r="R61" s="821"/>
      <c r="S61" s="821"/>
      <c r="T61" s="821"/>
      <c r="U61" s="821"/>
      <c r="V61" s="821"/>
      <c r="W61" s="821"/>
      <c r="X61" s="821" t="s">
        <v>743</v>
      </c>
    </row>
    <row r="62" spans="6:24" ht="45" customHeight="1">
      <c r="F62" s="1341" t="s">
        <v>744</v>
      </c>
      <c r="G62" s="1347" t="s">
        <v>745</v>
      </c>
      <c r="H62" s="871">
        <v>22.1</v>
      </c>
      <c r="I62" s="877" t="s">
        <v>746</v>
      </c>
      <c r="J62" s="881">
        <v>1</v>
      </c>
      <c r="K62" s="1085"/>
      <c r="L62" s="990"/>
      <c r="M62" s="983"/>
      <c r="N62" s="983"/>
      <c r="O62" s="1006"/>
      <c r="P62" s="135" t="str">
        <f t="shared" si="4"/>
        <v/>
      </c>
      <c r="Q62" s="135" t="str">
        <f t="shared" si="5"/>
        <v/>
      </c>
      <c r="R62" s="821"/>
      <c r="S62" s="821"/>
      <c r="T62" s="821"/>
      <c r="U62" s="821"/>
      <c r="V62" s="821"/>
      <c r="W62" s="821"/>
      <c r="X62" s="821"/>
    </row>
    <row r="63" spans="6:24" ht="45" customHeight="1">
      <c r="F63" s="1342"/>
      <c r="G63" s="1348"/>
      <c r="H63" s="871">
        <v>22.2</v>
      </c>
      <c r="I63" s="877" t="s">
        <v>747</v>
      </c>
      <c r="J63" s="881">
        <v>1</v>
      </c>
      <c r="K63" s="1085"/>
      <c r="L63" s="990"/>
      <c r="M63" s="983"/>
      <c r="N63" s="983"/>
      <c r="O63" s="1006"/>
      <c r="P63" s="135" t="str">
        <f t="shared" si="4"/>
        <v/>
      </c>
      <c r="Q63" s="135" t="str">
        <f t="shared" si="5"/>
        <v/>
      </c>
      <c r="R63" s="821"/>
      <c r="S63" s="821"/>
      <c r="T63" s="821"/>
      <c r="U63" s="821"/>
      <c r="V63" s="821"/>
      <c r="W63" s="821"/>
      <c r="X63" s="821"/>
    </row>
    <row r="64" spans="6:24" ht="45" customHeight="1">
      <c r="F64" s="1345" t="s">
        <v>748</v>
      </c>
      <c r="G64" s="1343" t="s">
        <v>749</v>
      </c>
      <c r="H64" s="881" t="s">
        <v>750</v>
      </c>
      <c r="I64" s="882" t="s">
        <v>751</v>
      </c>
      <c r="J64" s="881">
        <f>IF(G64=X64,2,0)</f>
        <v>0</v>
      </c>
      <c r="K64" s="1085"/>
      <c r="L64" s="990"/>
      <c r="M64" s="983"/>
      <c r="N64" s="983"/>
      <c r="O64" s="1006"/>
      <c r="P64" s="135" t="str">
        <f t="shared" si="4"/>
        <v/>
      </c>
      <c r="Q64" s="135" t="str">
        <f t="shared" si="5"/>
        <v/>
      </c>
      <c r="R64" s="821"/>
      <c r="S64" s="821"/>
      <c r="T64" s="821"/>
      <c r="U64" s="821"/>
      <c r="V64" s="821"/>
      <c r="W64" s="821"/>
      <c r="X64" s="821" t="s">
        <v>751</v>
      </c>
    </row>
    <row r="65" spans="1:24" ht="45" customHeight="1">
      <c r="A65" s="821"/>
      <c r="B65" s="821"/>
      <c r="C65" s="846"/>
      <c r="D65" s="821"/>
      <c r="E65" s="821"/>
      <c r="F65" s="1245"/>
      <c r="G65" s="1346"/>
      <c r="H65" s="881" t="s">
        <v>752</v>
      </c>
      <c r="I65" s="882" t="s">
        <v>749</v>
      </c>
      <c r="J65" s="881">
        <f>IF(G64=X65, 2,0)</f>
        <v>2</v>
      </c>
      <c r="K65" s="1085"/>
      <c r="L65" s="990"/>
      <c r="M65" s="983"/>
      <c r="N65" s="983"/>
      <c r="O65" s="1006"/>
      <c r="P65" s="135" t="str">
        <f t="shared" si="4"/>
        <v/>
      </c>
      <c r="Q65" s="135" t="str">
        <f t="shared" si="5"/>
        <v/>
      </c>
      <c r="R65" s="821"/>
      <c r="S65" s="821"/>
      <c r="T65" s="821"/>
      <c r="U65" s="821"/>
      <c r="V65" s="821"/>
      <c r="W65" s="821"/>
      <c r="X65" s="821" t="s">
        <v>749</v>
      </c>
    </row>
    <row r="66" spans="1:24" ht="45" customHeight="1">
      <c r="A66" s="821"/>
      <c r="B66" s="821"/>
      <c r="C66" s="846"/>
      <c r="D66" s="821"/>
      <c r="E66" s="821"/>
      <c r="F66" s="1244"/>
      <c r="G66" s="1344"/>
      <c r="H66" s="883" t="s">
        <v>753</v>
      </c>
      <c r="I66" s="882" t="s">
        <v>754</v>
      </c>
      <c r="J66" s="883">
        <f>IF(G64=X66, 2,0)</f>
        <v>0</v>
      </c>
      <c r="K66" s="1085"/>
      <c r="L66" s="990"/>
      <c r="M66" s="983"/>
      <c r="N66" s="983"/>
      <c r="O66" s="1006"/>
      <c r="P66" s="135" t="str">
        <f t="shared" si="4"/>
        <v/>
      </c>
      <c r="Q66" s="135" t="str">
        <f t="shared" si="5"/>
        <v/>
      </c>
      <c r="R66" s="821"/>
      <c r="S66" s="821"/>
      <c r="T66" s="821"/>
      <c r="U66" s="821"/>
      <c r="V66" s="821"/>
      <c r="W66" s="821"/>
      <c r="X66" s="821" t="s">
        <v>754</v>
      </c>
    </row>
    <row r="67" spans="1:24" ht="45" customHeight="1">
      <c r="A67" s="821"/>
      <c r="B67" s="821"/>
      <c r="C67" s="846"/>
      <c r="D67" s="821"/>
      <c r="E67" s="821"/>
      <c r="F67" s="362" t="s">
        <v>305</v>
      </c>
      <c r="G67" s="363"/>
      <c r="H67" s="362"/>
      <c r="I67" s="362"/>
      <c r="J67" s="376">
        <f>SUM(J48:J66)</f>
        <v>21</v>
      </c>
      <c r="K67" s="1096">
        <f>SUM(K48:K66)</f>
        <v>0</v>
      </c>
      <c r="L67" s="990"/>
      <c r="M67" s="1088"/>
      <c r="N67" s="1088"/>
      <c r="O67" s="1089"/>
      <c r="P67" s="367"/>
      <c r="Q67" s="367"/>
      <c r="R67" s="821"/>
      <c r="S67" s="821"/>
      <c r="T67" s="821"/>
      <c r="U67" s="821"/>
      <c r="V67" s="821"/>
      <c r="W67" s="821"/>
      <c r="X67" s="821"/>
    </row>
    <row r="68" spans="1:24" ht="45" customHeight="1">
      <c r="A68" s="821"/>
      <c r="B68" s="821"/>
      <c r="C68" s="846"/>
      <c r="D68" s="821"/>
      <c r="E68" s="821"/>
      <c r="F68" s="814"/>
      <c r="G68" s="496"/>
      <c r="H68" s="538"/>
      <c r="I68" s="814"/>
      <c r="J68" s="538"/>
      <c r="K68" s="1033"/>
      <c r="L68" s="990"/>
      <c r="M68" s="1091"/>
      <c r="N68" s="1091"/>
      <c r="O68" s="1092"/>
      <c r="P68" s="429"/>
      <c r="Q68" s="429"/>
      <c r="R68" s="821"/>
      <c r="S68" s="821"/>
      <c r="T68" s="821"/>
      <c r="U68" s="821"/>
      <c r="V68" s="821"/>
      <c r="W68" s="821"/>
      <c r="X68" s="821"/>
    </row>
    <row r="69" spans="1:24" ht="45" customHeight="1">
      <c r="A69" s="821"/>
      <c r="B69" s="821"/>
      <c r="C69" s="846"/>
      <c r="D69" s="821"/>
      <c r="E69" s="821"/>
      <c r="F69" s="380" t="s">
        <v>755</v>
      </c>
      <c r="G69" s="381"/>
      <c r="H69" s="381"/>
      <c r="I69" s="382"/>
      <c r="J69" s="356">
        <v>29</v>
      </c>
      <c r="K69" s="1093"/>
      <c r="L69" s="990"/>
      <c r="M69" s="1094"/>
      <c r="N69" s="1094"/>
      <c r="O69" s="1095"/>
      <c r="P69" s="359"/>
      <c r="Q69" s="359"/>
      <c r="R69" s="821"/>
      <c r="S69" s="821"/>
      <c r="T69" s="821"/>
      <c r="U69" s="821"/>
      <c r="V69" s="821"/>
      <c r="W69" s="821"/>
      <c r="X69" s="821"/>
    </row>
    <row r="70" spans="1:24" ht="45" customHeight="1">
      <c r="A70" s="821"/>
      <c r="B70" s="821"/>
      <c r="C70" s="846"/>
      <c r="D70" s="821"/>
      <c r="E70" s="821"/>
      <c r="F70" s="1341" t="s">
        <v>756</v>
      </c>
      <c r="G70" s="1352" t="s">
        <v>757</v>
      </c>
      <c r="H70" s="883" t="str">
        <f>IF($G$5=$X$3,"24A.1","24A")</f>
        <v>24A.1</v>
      </c>
      <c r="I70" s="882" t="str">
        <f>IF($G$5=$X$3,"Stormwater – Performance Pathway","Water Sensitive Urban Design - Performance Pathway")</f>
        <v>Stormwater – Performance Pathway</v>
      </c>
      <c r="J70" s="883">
        <f>IF($G$5=$X$3,IF($G$70=$X$70,2,0),IF($G$70=$X$70,7,0))</f>
        <v>2</v>
      </c>
      <c r="K70" s="1100"/>
      <c r="L70" s="990"/>
      <c r="M70" s="983"/>
      <c r="N70" s="983"/>
      <c r="O70" s="1006"/>
      <c r="P70" s="135" t="str">
        <f t="shared" ref="P70:Q75" si="6">IF(ISBLANK($K70)=FALSE,IF(M70="","No","Yes"),"")</f>
        <v/>
      </c>
      <c r="Q70" s="135" t="str">
        <f t="shared" si="6"/>
        <v/>
      </c>
      <c r="R70" s="821"/>
      <c r="S70" s="821"/>
      <c r="T70" s="821"/>
      <c r="U70" s="821"/>
      <c r="V70" s="821"/>
      <c r="W70" s="821"/>
      <c r="X70" s="821" t="s">
        <v>757</v>
      </c>
    </row>
    <row r="71" spans="1:24" ht="45" customHeight="1">
      <c r="A71" s="821"/>
      <c r="B71" s="821"/>
      <c r="C71" s="846"/>
      <c r="D71" s="821"/>
      <c r="E71" s="821"/>
      <c r="F71" s="1351"/>
      <c r="G71" s="1353"/>
      <c r="H71" s="883" t="str">
        <f>IF($G$5=$X$3,"24A.2","24B.1")</f>
        <v>24A.2</v>
      </c>
      <c r="I71" s="882" t="str">
        <f>IF($G$5=$X$3,"Water Sensitive Urban Design – Performance Pathway","Alternative Water Sources-Public Open Spaces")</f>
        <v>Water Sensitive Urban Design – Performance Pathway</v>
      </c>
      <c r="J71" s="883">
        <f>IF($G$5=$X$3,IF($G$70=$X$70,5,0),IF($G$70=$X$71,1,0))</f>
        <v>5</v>
      </c>
      <c r="K71" s="1100"/>
      <c r="L71" s="990"/>
      <c r="M71" s="983"/>
      <c r="N71" s="983"/>
      <c r="O71" s="1006"/>
      <c r="P71" s="135" t="str">
        <f t="shared" si="6"/>
        <v/>
      </c>
      <c r="Q71" s="135" t="str">
        <f t="shared" si="6"/>
        <v/>
      </c>
      <c r="R71" s="821"/>
      <c r="S71" s="821"/>
      <c r="T71" s="821"/>
      <c r="U71" s="821"/>
      <c r="V71" s="821"/>
      <c r="W71" s="821"/>
      <c r="X71" s="821" t="s">
        <v>758</v>
      </c>
    </row>
    <row r="72" spans="1:24" ht="45" customHeight="1">
      <c r="A72" s="821"/>
      <c r="B72" s="821"/>
      <c r="C72" s="846"/>
      <c r="D72" s="821"/>
      <c r="E72" s="821"/>
      <c r="F72" s="1351"/>
      <c r="G72" s="1353"/>
      <c r="H72" s="883" t="str">
        <f>IF($G$5=$X$3,"24B.1","24B.2")</f>
        <v>24B.1</v>
      </c>
      <c r="I72" s="882" t="str">
        <f>IF($G$5=$X$3,"Alternative Water Sources - Public Open Spaces","Alternative Water Sources - Buildings")</f>
        <v>Alternative Water Sources - Public Open Spaces</v>
      </c>
      <c r="J72" s="883">
        <f>IF($G$70=$X$71,1,0)</f>
        <v>0</v>
      </c>
      <c r="K72" s="1101"/>
      <c r="L72" s="990"/>
      <c r="M72" s="983"/>
      <c r="N72" s="983"/>
      <c r="O72" s="1006"/>
      <c r="P72" s="135" t="str">
        <f t="shared" si="6"/>
        <v/>
      </c>
      <c r="Q72" s="135" t="str">
        <f t="shared" si="6"/>
        <v/>
      </c>
      <c r="R72" s="821"/>
      <c r="S72" s="821"/>
      <c r="T72" s="821"/>
      <c r="U72" s="821"/>
      <c r="V72" s="821"/>
      <c r="W72" s="821"/>
      <c r="X72" s="821"/>
    </row>
    <row r="73" spans="1:24" ht="45" customHeight="1">
      <c r="A73" s="821"/>
      <c r="B73" s="821"/>
      <c r="C73" s="846"/>
      <c r="D73" s="821"/>
      <c r="E73" s="821"/>
      <c r="F73" s="1351"/>
      <c r="G73" s="1353"/>
      <c r="H73" s="883" t="str">
        <f>IF($G$5=$X$3,"24B.2","24B.3")</f>
        <v>24B.2</v>
      </c>
      <c r="I73" s="882" t="str">
        <f>IF($G$5=$X$3,"Alternative Water Sources - Buildings","Stormwater Management")</f>
        <v>Alternative Water Sources - Buildings</v>
      </c>
      <c r="J73" s="883">
        <f>IF($G$70=$X$71,1,0)</f>
        <v>0</v>
      </c>
      <c r="K73" s="1101"/>
      <c r="L73" s="990"/>
      <c r="M73" s="983"/>
      <c r="N73" s="983"/>
      <c r="O73" s="1006"/>
      <c r="P73" s="135" t="str">
        <f t="shared" si="6"/>
        <v/>
      </c>
      <c r="Q73" s="135" t="str">
        <f t="shared" si="6"/>
        <v/>
      </c>
      <c r="R73" s="821"/>
      <c r="S73" s="821"/>
      <c r="T73" s="821"/>
      <c r="U73" s="821"/>
      <c r="V73" s="821"/>
      <c r="W73" s="821"/>
      <c r="X73" s="821"/>
    </row>
    <row r="74" spans="1:24" ht="45" customHeight="1">
      <c r="A74" s="821"/>
      <c r="B74" s="821"/>
      <c r="C74" s="846"/>
      <c r="D74" s="821"/>
      <c r="E74" s="821"/>
      <c r="F74" s="1351"/>
      <c r="G74" s="1353"/>
      <c r="H74" s="883" t="str">
        <f>IF($G$5=$X$3,"24B.3","24B.4")</f>
        <v>24B.3</v>
      </c>
      <c r="I74" s="882" t="s">
        <v>407</v>
      </c>
      <c r="J74" s="883">
        <f>IF($G$70=$X$71,1,0)</f>
        <v>0</v>
      </c>
      <c r="K74" s="1101"/>
      <c r="L74" s="990"/>
      <c r="M74" s="983"/>
      <c r="N74" s="983"/>
      <c r="O74" s="1006"/>
      <c r="P74" s="135" t="str">
        <f t="shared" si="6"/>
        <v/>
      </c>
      <c r="Q74" s="135" t="str">
        <f t="shared" si="6"/>
        <v/>
      </c>
      <c r="R74" s="821"/>
      <c r="S74" s="821"/>
      <c r="T74" s="821"/>
      <c r="U74" s="821"/>
      <c r="V74" s="821"/>
      <c r="W74" s="821"/>
      <c r="X74" s="821"/>
    </row>
    <row r="75" spans="1:24" ht="45" customHeight="1">
      <c r="A75" s="821"/>
      <c r="B75" s="821"/>
      <c r="C75" s="846"/>
      <c r="D75" s="821"/>
      <c r="E75" s="821"/>
      <c r="F75" s="1351"/>
      <c r="G75" s="1354"/>
      <c r="H75" s="883" t="str">
        <f>IF($G$5=$X$3,"24B.4","24B.5")</f>
        <v>24B.4</v>
      </c>
      <c r="I75" s="882" t="s">
        <v>759</v>
      </c>
      <c r="J75" s="883">
        <f>IF($G$70=$X$71,1,0)</f>
        <v>0</v>
      </c>
      <c r="K75" s="1101"/>
      <c r="L75" s="990"/>
      <c r="M75" s="983"/>
      <c r="N75" s="983"/>
      <c r="O75" s="1006"/>
      <c r="P75" s="135" t="str">
        <f t="shared" si="6"/>
        <v/>
      </c>
      <c r="Q75" s="135" t="str">
        <f t="shared" si="6"/>
        <v/>
      </c>
      <c r="R75" s="821"/>
      <c r="S75" s="821"/>
      <c r="T75" s="821"/>
      <c r="U75" s="821"/>
      <c r="V75" s="821"/>
      <c r="W75" s="821"/>
      <c r="X75" s="821"/>
    </row>
    <row r="76" spans="1:24" ht="45" customHeight="1">
      <c r="A76" s="821">
        <v>1</v>
      </c>
      <c r="B76" s="821">
        <f>IF(C76=TRUE,1,0)</f>
        <v>0</v>
      </c>
      <c r="C76" s="846" t="b">
        <v>0</v>
      </c>
      <c r="D76" s="821"/>
      <c r="E76" s="192"/>
      <c r="F76" s="1341" t="s">
        <v>760</v>
      </c>
      <c r="G76" s="1352" t="s">
        <v>761</v>
      </c>
      <c r="H76" s="883" t="s">
        <v>762</v>
      </c>
      <c r="I76" s="882" t="s">
        <v>761</v>
      </c>
      <c r="J76" s="883">
        <f>IF(G76=X76, 6,0)</f>
        <v>6</v>
      </c>
      <c r="K76" s="1100"/>
      <c r="L76" s="990"/>
      <c r="M76" s="983"/>
      <c r="N76" s="983"/>
      <c r="O76" s="1006"/>
      <c r="P76" s="135" t="str">
        <f>IF(OR(ISBLANK($K76)=FALSE,C76=TRUE),IF(M76="","No","Yes"),"")</f>
        <v/>
      </c>
      <c r="Q76" s="135" t="b">
        <f>IF(ISBLANK($K76)=FALSE,IF(N76="","No","Yes"),IF(C76=TRUE,"NA"))</f>
        <v>0</v>
      </c>
      <c r="R76" s="821"/>
      <c r="S76" s="821"/>
      <c r="T76" s="821"/>
      <c r="U76" s="821"/>
      <c r="V76" s="821"/>
      <c r="W76" s="821"/>
      <c r="X76" s="821" t="s">
        <v>761</v>
      </c>
    </row>
    <row r="77" spans="1:24" ht="45" customHeight="1">
      <c r="A77" s="821">
        <v>1</v>
      </c>
      <c r="B77" s="821">
        <f>IF(C77=TRUE,1,0)</f>
        <v>0</v>
      </c>
      <c r="C77" s="846" t="b">
        <v>0</v>
      </c>
      <c r="D77" s="821"/>
      <c r="E77" s="192"/>
      <c r="F77" s="1351"/>
      <c r="G77" s="1353"/>
      <c r="H77" s="883" t="s">
        <v>763</v>
      </c>
      <c r="I77" s="882" t="s">
        <v>764</v>
      </c>
      <c r="J77" s="883">
        <f>IF(G76=X77,1,0)</f>
        <v>0</v>
      </c>
      <c r="K77" s="1100"/>
      <c r="L77" s="990"/>
      <c r="M77" s="983"/>
      <c r="N77" s="983"/>
      <c r="O77" s="1006"/>
      <c r="P77" s="135" t="str">
        <f>IF(OR(ISBLANK($K77)=FALSE,C77=TRUE),IF(M77="","No","Yes"),"")</f>
        <v/>
      </c>
      <c r="Q77" s="135" t="b">
        <f>IF(ISBLANK($K77)=FALSE,IF(N77="","No","Yes"),IF(C77=TRUE,"NA"))</f>
        <v>0</v>
      </c>
      <c r="R77" s="821"/>
      <c r="S77" s="821"/>
      <c r="T77" s="821"/>
      <c r="U77" s="821"/>
      <c r="V77" s="821"/>
      <c r="W77" s="821"/>
      <c r="X77" s="821" t="s">
        <v>765</v>
      </c>
    </row>
    <row r="78" spans="1:24" ht="45" customHeight="1">
      <c r="A78" s="821"/>
      <c r="B78" s="821"/>
      <c r="C78" s="846"/>
      <c r="D78" s="821"/>
      <c r="E78" s="821"/>
      <c r="F78" s="1351"/>
      <c r="G78" s="1353"/>
      <c r="H78" s="883" t="s">
        <v>766</v>
      </c>
      <c r="I78" s="882" t="s">
        <v>767</v>
      </c>
      <c r="J78" s="883">
        <f>IF(G76=X77, 1,0)</f>
        <v>0</v>
      </c>
      <c r="K78" s="1100"/>
      <c r="L78" s="990"/>
      <c r="M78" s="983"/>
      <c r="N78" s="983"/>
      <c r="O78" s="1006"/>
      <c r="P78" s="135" t="str">
        <f t="shared" ref="P78:P93" si="7">IF(ISBLANK($K78)=FALSE,IF(M78="","No","Yes"),"")</f>
        <v/>
      </c>
      <c r="Q78" s="135" t="str">
        <f t="shared" ref="Q78:Q93" si="8">IF(ISBLANK($K78)=FALSE,IF(N78="","No","Yes"),"")</f>
        <v/>
      </c>
      <c r="R78" s="821"/>
      <c r="S78" s="821"/>
      <c r="T78" s="821"/>
      <c r="U78" s="821"/>
      <c r="V78" s="821"/>
      <c r="W78" s="821"/>
      <c r="X78" s="821"/>
    </row>
    <row r="79" spans="1:24" ht="45" customHeight="1">
      <c r="A79" s="821"/>
      <c r="B79" s="821"/>
      <c r="C79" s="846"/>
      <c r="D79" s="821"/>
      <c r="E79" s="821"/>
      <c r="F79" s="1351"/>
      <c r="G79" s="1353"/>
      <c r="H79" s="883" t="s">
        <v>768</v>
      </c>
      <c r="I79" s="882" t="s">
        <v>769</v>
      </c>
      <c r="J79" s="883">
        <f>IF(G76=X77, 2,0)</f>
        <v>0</v>
      </c>
      <c r="K79" s="1100"/>
      <c r="L79" s="990"/>
      <c r="M79" s="983"/>
      <c r="N79" s="983"/>
      <c r="O79" s="1006"/>
      <c r="P79" s="135" t="str">
        <f t="shared" si="7"/>
        <v/>
      </c>
      <c r="Q79" s="135" t="str">
        <f t="shared" si="8"/>
        <v/>
      </c>
      <c r="R79" s="821"/>
      <c r="S79" s="821"/>
      <c r="T79" s="821"/>
      <c r="U79" s="821"/>
      <c r="V79" s="821"/>
      <c r="W79" s="821"/>
      <c r="X79" s="821"/>
    </row>
    <row r="80" spans="1:24" ht="45" customHeight="1">
      <c r="A80" s="821"/>
      <c r="B80" s="821"/>
      <c r="C80" s="846"/>
      <c r="D80" s="821"/>
      <c r="E80" s="821"/>
      <c r="F80" s="1355"/>
      <c r="G80" s="1354"/>
      <c r="H80" s="883" t="s">
        <v>770</v>
      </c>
      <c r="I80" s="882" t="s">
        <v>771</v>
      </c>
      <c r="J80" s="883">
        <f>IF(G76=X77,1,0)</f>
        <v>0</v>
      </c>
      <c r="K80" s="1100"/>
      <c r="L80" s="990"/>
      <c r="M80" s="983"/>
      <c r="N80" s="983"/>
      <c r="O80" s="1006"/>
      <c r="P80" s="135" t="str">
        <f t="shared" si="7"/>
        <v/>
      </c>
      <c r="Q80" s="135" t="str">
        <f t="shared" si="8"/>
        <v/>
      </c>
      <c r="R80" s="821"/>
      <c r="S80" s="821"/>
      <c r="T80" s="821"/>
      <c r="U80" s="821"/>
      <c r="V80" s="821"/>
      <c r="W80" s="821"/>
      <c r="X80" s="821"/>
    </row>
    <row r="81" spans="6:24" ht="45" customHeight="1">
      <c r="F81" s="1341" t="s">
        <v>367</v>
      </c>
      <c r="G81" s="1343" t="s">
        <v>772</v>
      </c>
      <c r="H81" s="883" t="s">
        <v>773</v>
      </c>
      <c r="I81" s="882" t="s">
        <v>772</v>
      </c>
      <c r="J81" s="883">
        <f>IF(G81=X81,5,0)</f>
        <v>5</v>
      </c>
      <c r="K81" s="1100"/>
      <c r="L81" s="990"/>
      <c r="M81" s="983"/>
      <c r="N81" s="983"/>
      <c r="O81" s="1006"/>
      <c r="P81" s="135" t="str">
        <f t="shared" si="7"/>
        <v/>
      </c>
      <c r="Q81" s="135" t="str">
        <f t="shared" si="8"/>
        <v/>
      </c>
      <c r="R81" s="821"/>
      <c r="S81" s="821"/>
      <c r="T81" s="821"/>
      <c r="U81" s="821"/>
      <c r="V81" s="821"/>
      <c r="W81" s="821"/>
      <c r="X81" s="821" t="s">
        <v>772</v>
      </c>
    </row>
    <row r="82" spans="6:24" ht="45" customHeight="1">
      <c r="F82" s="1342"/>
      <c r="G82" s="1344"/>
      <c r="H82" s="883" t="s">
        <v>774</v>
      </c>
      <c r="I82" s="882" t="s">
        <v>775</v>
      </c>
      <c r="J82" s="883">
        <f>IF(G81=X82, 3,0)</f>
        <v>0</v>
      </c>
      <c r="K82" s="1100"/>
      <c r="L82" s="990"/>
      <c r="M82" s="983"/>
      <c r="N82" s="983"/>
      <c r="O82" s="1006"/>
      <c r="P82" s="135" t="str">
        <f t="shared" si="7"/>
        <v/>
      </c>
      <c r="Q82" s="135" t="str">
        <f t="shared" si="8"/>
        <v/>
      </c>
      <c r="R82" s="821"/>
      <c r="S82" s="821"/>
      <c r="T82" s="821"/>
      <c r="U82" s="821"/>
      <c r="V82" s="821"/>
      <c r="W82" s="821"/>
      <c r="X82" s="821" t="s">
        <v>775</v>
      </c>
    </row>
    <row r="83" spans="6:24" ht="45" customHeight="1">
      <c r="F83" s="1345" t="s">
        <v>776</v>
      </c>
      <c r="G83" s="1343" t="s">
        <v>777</v>
      </c>
      <c r="H83" s="883" t="s">
        <v>647</v>
      </c>
      <c r="I83" s="882" t="s">
        <v>777</v>
      </c>
      <c r="J83" s="883">
        <f>IF(G83=X83, 3,0)</f>
        <v>3</v>
      </c>
      <c r="K83" s="1100"/>
      <c r="L83" s="990"/>
      <c r="M83" s="983"/>
      <c r="N83" s="983"/>
      <c r="O83" s="1006"/>
      <c r="P83" s="135" t="str">
        <f t="shared" si="7"/>
        <v/>
      </c>
      <c r="Q83" s="135" t="str">
        <f t="shared" si="8"/>
        <v/>
      </c>
      <c r="R83" s="821"/>
      <c r="S83" s="821"/>
      <c r="T83" s="821"/>
      <c r="U83" s="821"/>
      <c r="V83" s="821"/>
      <c r="W83" s="821"/>
      <c r="X83" s="821" t="s">
        <v>777</v>
      </c>
    </row>
    <row r="84" spans="6:24" ht="45" customHeight="1">
      <c r="F84" s="1244"/>
      <c r="G84" s="1346"/>
      <c r="H84" s="883" t="s">
        <v>648</v>
      </c>
      <c r="I84" s="882" t="s">
        <v>778</v>
      </c>
      <c r="J84" s="883">
        <f>IF(G83=X84, 2,0)</f>
        <v>0</v>
      </c>
      <c r="K84" s="1100"/>
      <c r="L84" s="990"/>
      <c r="M84" s="983"/>
      <c r="N84" s="983"/>
      <c r="O84" s="1006"/>
      <c r="P84" s="135" t="str">
        <f t="shared" si="7"/>
        <v/>
      </c>
      <c r="Q84" s="135" t="str">
        <f t="shared" si="8"/>
        <v/>
      </c>
      <c r="R84" s="821"/>
      <c r="S84" s="821"/>
      <c r="T84" s="821"/>
      <c r="U84" s="821"/>
      <c r="V84" s="821"/>
      <c r="W84" s="821"/>
      <c r="X84" s="821" t="s">
        <v>778</v>
      </c>
    </row>
    <row r="85" spans="6:24" ht="45" customHeight="1">
      <c r="F85" s="1345" t="s">
        <v>399</v>
      </c>
      <c r="G85" s="1347" t="s">
        <v>779</v>
      </c>
      <c r="H85" s="883">
        <v>28</v>
      </c>
      <c r="I85" s="882" t="s">
        <v>338</v>
      </c>
      <c r="J85" s="883" t="s">
        <v>264</v>
      </c>
      <c r="K85" s="1100"/>
      <c r="L85" s="990"/>
      <c r="M85" s="983"/>
      <c r="N85" s="983"/>
      <c r="O85" s="1006"/>
      <c r="P85" s="135" t="str">
        <f t="shared" si="7"/>
        <v/>
      </c>
      <c r="Q85" s="135" t="str">
        <f t="shared" si="8"/>
        <v/>
      </c>
      <c r="R85" s="821"/>
      <c r="S85" s="821"/>
      <c r="T85" s="821"/>
      <c r="U85" s="821"/>
      <c r="V85" s="821"/>
      <c r="W85" s="821"/>
      <c r="X85" s="821"/>
    </row>
    <row r="86" spans="6:24" ht="45" customHeight="1">
      <c r="F86" s="1244"/>
      <c r="G86" s="1348"/>
      <c r="H86" s="883">
        <v>28.1</v>
      </c>
      <c r="I86" s="882" t="s">
        <v>780</v>
      </c>
      <c r="J86" s="883">
        <v>1</v>
      </c>
      <c r="K86" s="1100"/>
      <c r="L86" s="989" t="str">
        <f>IF(AND(K86&gt;0,$K$85&lt;&gt;$T$9),"!","")</f>
        <v/>
      </c>
      <c r="M86" s="983"/>
      <c r="N86" s="983"/>
      <c r="O86" s="1006"/>
      <c r="P86" s="135" t="str">
        <f t="shared" si="7"/>
        <v/>
      </c>
      <c r="Q86" s="135" t="str">
        <f t="shared" si="8"/>
        <v/>
      </c>
      <c r="R86" s="821"/>
      <c r="S86" s="821"/>
      <c r="T86" s="821"/>
      <c r="U86" s="821"/>
      <c r="V86" s="821"/>
      <c r="W86" s="821"/>
      <c r="X86" s="821"/>
    </row>
    <row r="87" spans="6:24" ht="45" customHeight="1">
      <c r="F87" s="1244"/>
      <c r="G87" s="1349"/>
      <c r="H87" s="883">
        <v>28.2</v>
      </c>
      <c r="I87" s="882" t="s">
        <v>781</v>
      </c>
      <c r="J87" s="883">
        <v>1</v>
      </c>
      <c r="K87" s="1100"/>
      <c r="L87" s="989" t="str">
        <f>IF(AND(K87&gt;0,$K$85&lt;&gt;$T$9),"!","")</f>
        <v/>
      </c>
      <c r="M87" s="983"/>
      <c r="N87" s="983"/>
      <c r="O87" s="1006"/>
      <c r="P87" s="135" t="str">
        <f t="shared" si="7"/>
        <v/>
      </c>
      <c r="Q87" s="135" t="str">
        <f t="shared" si="8"/>
        <v/>
      </c>
      <c r="R87" s="821"/>
      <c r="S87" s="821"/>
      <c r="T87" s="821"/>
      <c r="U87" s="821"/>
      <c r="V87" s="821"/>
      <c r="W87" s="821"/>
      <c r="X87" s="821"/>
    </row>
    <row r="88" spans="6:24" ht="45" customHeight="1">
      <c r="F88" s="1345" t="s">
        <v>397</v>
      </c>
      <c r="G88" s="1347" t="s">
        <v>782</v>
      </c>
      <c r="H88" s="883">
        <v>29.1</v>
      </c>
      <c r="I88" s="882" t="s">
        <v>783</v>
      </c>
      <c r="J88" s="883">
        <v>1</v>
      </c>
      <c r="K88" s="1100"/>
      <c r="L88" s="990"/>
      <c r="M88" s="983"/>
      <c r="N88" s="983"/>
      <c r="O88" s="1006"/>
      <c r="P88" s="135" t="str">
        <f t="shared" si="7"/>
        <v/>
      </c>
      <c r="Q88" s="135" t="str">
        <f t="shared" si="8"/>
        <v/>
      </c>
      <c r="R88" s="821"/>
      <c r="S88" s="821"/>
      <c r="T88" s="821"/>
      <c r="U88" s="821"/>
      <c r="V88" s="821"/>
      <c r="W88" s="821"/>
      <c r="X88" s="821"/>
    </row>
    <row r="89" spans="6:24" ht="45" customHeight="1">
      <c r="F89" s="1244"/>
      <c r="G89" s="1348"/>
      <c r="H89" s="883">
        <v>29.2</v>
      </c>
      <c r="I89" s="882" t="s">
        <v>784</v>
      </c>
      <c r="J89" s="883">
        <v>1</v>
      </c>
      <c r="K89" s="1100"/>
      <c r="L89" s="990"/>
      <c r="M89" s="983"/>
      <c r="N89" s="983"/>
      <c r="O89" s="1006"/>
      <c r="P89" s="135" t="str">
        <f t="shared" si="7"/>
        <v/>
      </c>
      <c r="Q89" s="135" t="str">
        <f t="shared" si="8"/>
        <v/>
      </c>
      <c r="R89" s="821"/>
      <c r="S89" s="821"/>
      <c r="T89" s="821"/>
      <c r="U89" s="821"/>
      <c r="V89" s="821"/>
      <c r="W89" s="821"/>
      <c r="X89" s="821"/>
    </row>
    <row r="90" spans="6:24" ht="45" customHeight="1">
      <c r="F90" s="1345" t="s">
        <v>785</v>
      </c>
      <c r="G90" s="1347" t="s">
        <v>786</v>
      </c>
      <c r="H90" s="883">
        <v>30.1</v>
      </c>
      <c r="I90" s="882" t="s">
        <v>787</v>
      </c>
      <c r="J90" s="883">
        <v>1</v>
      </c>
      <c r="K90" s="1100"/>
      <c r="L90" s="990"/>
      <c r="M90" s="983"/>
      <c r="N90" s="983"/>
      <c r="O90" s="1006"/>
      <c r="P90" s="135" t="str">
        <f t="shared" si="7"/>
        <v/>
      </c>
      <c r="Q90" s="135" t="str">
        <f t="shared" si="8"/>
        <v/>
      </c>
      <c r="R90" s="821"/>
      <c r="S90" s="821"/>
      <c r="T90" s="821"/>
      <c r="U90" s="821"/>
      <c r="V90" s="821"/>
      <c r="W90" s="821"/>
      <c r="X90" s="821"/>
    </row>
    <row r="91" spans="6:24" ht="45" customHeight="1">
      <c r="F91" s="1244"/>
      <c r="G91" s="1348"/>
      <c r="H91" s="883">
        <v>30.2</v>
      </c>
      <c r="I91" s="882" t="s">
        <v>300</v>
      </c>
      <c r="J91" s="883">
        <v>1</v>
      </c>
      <c r="K91" s="1100"/>
      <c r="L91" s="990"/>
      <c r="M91" s="983"/>
      <c r="N91" s="983"/>
      <c r="O91" s="1006"/>
      <c r="P91" s="135" t="str">
        <f t="shared" si="7"/>
        <v/>
      </c>
      <c r="Q91" s="135" t="str">
        <f t="shared" si="8"/>
        <v/>
      </c>
      <c r="R91" s="821"/>
      <c r="S91" s="821"/>
      <c r="T91" s="821"/>
      <c r="U91" s="821"/>
      <c r="V91" s="821"/>
      <c r="W91" s="821"/>
      <c r="X91" s="821"/>
    </row>
    <row r="92" spans="6:24" ht="45" customHeight="1">
      <c r="F92" s="360" t="s">
        <v>515</v>
      </c>
      <c r="G92" s="878" t="s">
        <v>788</v>
      </c>
      <c r="H92" s="883">
        <v>31.1</v>
      </c>
      <c r="I92" s="882" t="s">
        <v>515</v>
      </c>
      <c r="J92" s="883">
        <v>1</v>
      </c>
      <c r="K92" s="1100"/>
      <c r="L92" s="990"/>
      <c r="M92" s="983"/>
      <c r="N92" s="983"/>
      <c r="O92" s="1006"/>
      <c r="P92" s="135" t="str">
        <f t="shared" si="7"/>
        <v/>
      </c>
      <c r="Q92" s="135" t="str">
        <f t="shared" si="8"/>
        <v/>
      </c>
      <c r="R92" s="821"/>
      <c r="S92" s="821"/>
      <c r="T92" s="821"/>
      <c r="U92" s="821"/>
      <c r="V92" s="821"/>
      <c r="W92" s="821"/>
      <c r="X92" s="821"/>
    </row>
    <row r="93" spans="6:24" ht="45" customHeight="1">
      <c r="F93" s="360" t="s">
        <v>409</v>
      </c>
      <c r="G93" s="878" t="s">
        <v>789</v>
      </c>
      <c r="H93" s="883">
        <v>32.1</v>
      </c>
      <c r="I93" s="882" t="s">
        <v>409</v>
      </c>
      <c r="J93" s="883">
        <v>1</v>
      </c>
      <c r="K93" s="1100"/>
      <c r="L93" s="990"/>
      <c r="M93" s="983"/>
      <c r="N93" s="983"/>
      <c r="O93" s="1006"/>
      <c r="P93" s="135" t="str">
        <f t="shared" si="7"/>
        <v/>
      </c>
      <c r="Q93" s="135" t="str">
        <f t="shared" si="8"/>
        <v/>
      </c>
      <c r="R93" s="821"/>
      <c r="S93" s="821"/>
      <c r="T93" s="821"/>
      <c r="U93" s="821"/>
      <c r="V93" s="821"/>
      <c r="W93" s="821"/>
      <c r="X93" s="821"/>
    </row>
    <row r="94" spans="6:24" ht="45" customHeight="1">
      <c r="F94" s="362" t="s">
        <v>305</v>
      </c>
      <c r="G94" s="363"/>
      <c r="H94" s="362"/>
      <c r="I94" s="362"/>
      <c r="J94" s="376">
        <f>SUM(J70:J93)</f>
        <v>29</v>
      </c>
      <c r="K94" s="1096">
        <f>SUM(K70:K93)</f>
        <v>0</v>
      </c>
      <c r="L94" s="990"/>
      <c r="M94" s="1088"/>
      <c r="N94" s="1088"/>
      <c r="O94" s="1089"/>
      <c r="P94" s="367"/>
      <c r="Q94" s="367"/>
      <c r="R94" s="821"/>
      <c r="S94" s="821"/>
      <c r="T94" s="821"/>
      <c r="U94" s="821"/>
      <c r="V94" s="821"/>
      <c r="W94" s="821"/>
      <c r="X94" s="821"/>
    </row>
    <row r="95" spans="6:24" ht="45" customHeight="1">
      <c r="F95" s="828"/>
      <c r="G95" s="531"/>
      <c r="H95" s="817"/>
      <c r="I95" s="828"/>
      <c r="J95" s="817"/>
      <c r="K95" s="1027"/>
      <c r="L95" s="990"/>
      <c r="M95" s="1097"/>
      <c r="N95" s="1097"/>
      <c r="O95" s="1098"/>
      <c r="P95" s="430"/>
      <c r="Q95" s="430"/>
      <c r="R95" s="821"/>
      <c r="S95" s="821"/>
      <c r="T95" s="821"/>
      <c r="U95" s="821"/>
      <c r="V95" s="821"/>
      <c r="W95" s="821"/>
      <c r="X95" s="821"/>
    </row>
    <row r="96" spans="6:24" ht="45" customHeight="1">
      <c r="F96" s="1350" t="s">
        <v>419</v>
      </c>
      <c r="G96" s="1231"/>
      <c r="H96" s="1231"/>
      <c r="I96" s="1231"/>
      <c r="J96" s="356">
        <v>10</v>
      </c>
      <c r="K96" s="1081"/>
      <c r="L96" s="990"/>
      <c r="M96" s="1102"/>
      <c r="N96" s="1102"/>
      <c r="O96" s="1103"/>
      <c r="P96" s="432"/>
      <c r="Q96" s="432"/>
      <c r="R96" s="821"/>
      <c r="S96" s="821"/>
      <c r="T96" s="821"/>
      <c r="U96" s="821"/>
      <c r="V96" s="821"/>
      <c r="W96" s="821"/>
      <c r="X96" s="821"/>
    </row>
    <row r="97" spans="2:17" ht="45" customHeight="1">
      <c r="B97" s="821"/>
      <c r="C97" s="846"/>
      <c r="D97" s="821"/>
      <c r="E97" s="821"/>
      <c r="F97" s="433" t="s">
        <v>420</v>
      </c>
      <c r="G97" s="884" t="s">
        <v>521</v>
      </c>
      <c r="H97" s="885" t="s">
        <v>790</v>
      </c>
      <c r="I97" s="886" t="s">
        <v>420</v>
      </c>
      <c r="J97" s="1339">
        <v>10</v>
      </c>
      <c r="K97" s="1085"/>
      <c r="L97" s="990"/>
      <c r="M97" s="983"/>
      <c r="N97" s="983"/>
      <c r="O97" s="1006"/>
      <c r="P97" s="135" t="str">
        <f t="shared" ref="P97:Q101" si="9">IF(ISBLANK($K97)=FALSE,IF(M97="","No","Yes"),"")</f>
        <v/>
      </c>
      <c r="Q97" s="135" t="str">
        <f t="shared" si="9"/>
        <v/>
      </c>
    </row>
    <row r="98" spans="2:17" ht="45" customHeight="1">
      <c r="B98" s="821"/>
      <c r="C98" s="846"/>
      <c r="D98" s="821"/>
      <c r="E98" s="821"/>
      <c r="F98" s="360" t="s">
        <v>422</v>
      </c>
      <c r="G98" s="887" t="s">
        <v>523</v>
      </c>
      <c r="H98" s="873" t="s">
        <v>791</v>
      </c>
      <c r="I98" s="872" t="s">
        <v>422</v>
      </c>
      <c r="J98" s="1340"/>
      <c r="K98" s="1085"/>
      <c r="L98" s="990"/>
      <c r="M98" s="983"/>
      <c r="N98" s="983"/>
      <c r="O98" s="1006"/>
      <c r="P98" s="135" t="str">
        <f t="shared" si="9"/>
        <v/>
      </c>
      <c r="Q98" s="135" t="str">
        <f t="shared" si="9"/>
        <v/>
      </c>
    </row>
    <row r="99" spans="2:17" ht="45" customHeight="1">
      <c r="B99" s="821"/>
      <c r="C99" s="846"/>
      <c r="D99" s="821"/>
      <c r="E99" s="821"/>
      <c r="F99" s="360" t="s">
        <v>424</v>
      </c>
      <c r="G99" s="887" t="s">
        <v>525</v>
      </c>
      <c r="H99" s="873" t="s">
        <v>792</v>
      </c>
      <c r="I99" s="872" t="s">
        <v>424</v>
      </c>
      <c r="J99" s="1340"/>
      <c r="K99" s="1085"/>
      <c r="L99" s="990"/>
      <c r="M99" s="983"/>
      <c r="N99" s="983"/>
      <c r="O99" s="1006"/>
      <c r="P99" s="135" t="str">
        <f t="shared" si="9"/>
        <v/>
      </c>
      <c r="Q99" s="135" t="str">
        <f t="shared" si="9"/>
        <v/>
      </c>
    </row>
    <row r="100" spans="2:17" ht="45" customHeight="1">
      <c r="B100" s="821"/>
      <c r="C100" s="846"/>
      <c r="D100" s="821"/>
      <c r="E100" s="821"/>
      <c r="F100" s="360" t="s">
        <v>426</v>
      </c>
      <c r="G100" s="887" t="s">
        <v>527</v>
      </c>
      <c r="H100" s="873" t="s">
        <v>793</v>
      </c>
      <c r="I100" s="872" t="s">
        <v>426</v>
      </c>
      <c r="J100" s="1340"/>
      <c r="K100" s="1085"/>
      <c r="L100" s="990"/>
      <c r="M100" s="983"/>
      <c r="N100" s="983"/>
      <c r="O100" s="1006"/>
      <c r="P100" s="135" t="str">
        <f t="shared" si="9"/>
        <v/>
      </c>
      <c r="Q100" s="135" t="str">
        <f t="shared" si="9"/>
        <v/>
      </c>
    </row>
    <row r="101" spans="2:17" ht="45" customHeight="1">
      <c r="B101" s="821"/>
      <c r="C101" s="846"/>
      <c r="D101" s="821"/>
      <c r="E101" s="192"/>
      <c r="F101" s="373" t="s">
        <v>428</v>
      </c>
      <c r="G101" s="888" t="s">
        <v>529</v>
      </c>
      <c r="H101" s="889" t="s">
        <v>794</v>
      </c>
      <c r="I101" s="890" t="s">
        <v>428</v>
      </c>
      <c r="J101" s="1340"/>
      <c r="K101" s="1085"/>
      <c r="L101" s="990"/>
      <c r="M101" s="983"/>
      <c r="N101" s="983"/>
      <c r="O101" s="1006"/>
      <c r="P101" s="135" t="str">
        <f t="shared" si="9"/>
        <v/>
      </c>
      <c r="Q101" s="135" t="str">
        <f t="shared" si="9"/>
        <v/>
      </c>
    </row>
    <row r="102" spans="2:17" ht="45" customHeight="1">
      <c r="B102" s="821"/>
      <c r="C102" s="846"/>
      <c r="D102" s="821"/>
      <c r="E102" s="821"/>
      <c r="F102" s="362" t="s">
        <v>305</v>
      </c>
      <c r="G102" s="363"/>
      <c r="H102" s="362"/>
      <c r="I102" s="362"/>
      <c r="J102" s="376">
        <f>SUM(J97)</f>
        <v>10</v>
      </c>
      <c r="K102" s="1104">
        <f>IF(SUM(K97:K101)&gt;10,10,SUM(K97:K101))</f>
        <v>0</v>
      </c>
      <c r="L102" s="990"/>
      <c r="M102" s="1089"/>
      <c r="N102" s="1089"/>
      <c r="O102" s="1089"/>
      <c r="P102" s="367"/>
      <c r="Q102" s="367"/>
    </row>
    <row r="103" spans="2:17" ht="45" hidden="1" customHeight="1">
      <c r="B103" s="821"/>
      <c r="C103" s="846"/>
      <c r="D103" s="821"/>
      <c r="E103" s="821"/>
      <c r="F103" s="891"/>
      <c r="G103" s="892"/>
      <c r="H103" s="866"/>
      <c r="I103" s="891"/>
      <c r="J103" s="866"/>
      <c r="K103" s="1027"/>
      <c r="L103" s="990"/>
      <c r="M103" s="1031"/>
      <c r="N103" s="1031"/>
      <c r="O103" s="1031"/>
      <c r="P103" s="821"/>
      <c r="Q103" s="821"/>
    </row>
    <row r="104" spans="2:17" ht="45" hidden="1" customHeight="1">
      <c r="B104" s="389" t="s">
        <v>430</v>
      </c>
      <c r="C104" s="846"/>
      <c r="D104" s="821"/>
      <c r="E104" s="821"/>
      <c r="F104" s="891"/>
      <c r="G104" s="892"/>
      <c r="H104" s="866"/>
      <c r="I104" s="390" t="s">
        <v>431</v>
      </c>
      <c r="J104" s="391" t="s">
        <v>432</v>
      </c>
      <c r="K104" s="1105" t="s">
        <v>433</v>
      </c>
      <c r="L104" s="990"/>
      <c r="M104" s="1031"/>
      <c r="N104" s="1031"/>
      <c r="O104" s="1031"/>
      <c r="P104" s="821"/>
      <c r="Q104" s="821"/>
    </row>
    <row r="105" spans="2:17" ht="45" hidden="1" customHeight="1">
      <c r="B105" s="821">
        <f>SUM(B9:B94)</f>
        <v>0</v>
      </c>
      <c r="C105" s="846"/>
      <c r="D105" s="821"/>
      <c r="E105" s="821"/>
      <c r="F105" s="891"/>
      <c r="G105" s="892"/>
      <c r="H105" s="866"/>
      <c r="I105" s="392" t="s">
        <v>434</v>
      </c>
      <c r="J105" s="393">
        <f>100-B105</f>
        <v>100</v>
      </c>
      <c r="K105" s="1106">
        <f>SUM(K24,K45,K67,K94)</f>
        <v>0</v>
      </c>
      <c r="L105" s="990"/>
      <c r="M105" s="1031"/>
      <c r="N105" s="1031"/>
      <c r="O105" s="1031"/>
      <c r="P105" s="821"/>
      <c r="Q105" s="821"/>
    </row>
    <row r="106" spans="2:17" ht="45" hidden="1" customHeight="1">
      <c r="B106" s="821"/>
      <c r="C106" s="846"/>
      <c r="D106" s="821"/>
      <c r="E106" s="821"/>
      <c r="F106" s="891"/>
      <c r="G106" s="892"/>
      <c r="H106" s="866"/>
      <c r="I106" s="392" t="s">
        <v>435</v>
      </c>
      <c r="J106" s="395"/>
      <c r="K106" s="1107">
        <f>K105/J105*100</f>
        <v>0</v>
      </c>
      <c r="L106" s="990"/>
      <c r="M106" s="1031"/>
      <c r="N106" s="1031"/>
      <c r="O106" s="1031"/>
      <c r="P106" s="821"/>
      <c r="Q106" s="821"/>
    </row>
    <row r="107" spans="2:17" ht="45" hidden="1" customHeight="1">
      <c r="B107" s="821"/>
      <c r="C107" s="846"/>
      <c r="D107" s="821"/>
      <c r="E107" s="821"/>
      <c r="F107" s="891"/>
      <c r="G107" s="892"/>
      <c r="H107" s="866"/>
      <c r="I107" s="392" t="s">
        <v>436</v>
      </c>
      <c r="J107" s="393">
        <v>10</v>
      </c>
      <c r="K107" s="1106">
        <f>K102</f>
        <v>0</v>
      </c>
      <c r="L107" s="990"/>
      <c r="M107" s="1031"/>
      <c r="N107" s="1031"/>
      <c r="O107" s="1031"/>
      <c r="P107" s="821"/>
      <c r="Q107" s="821"/>
    </row>
    <row r="108" spans="2:17" ht="45" hidden="1" customHeight="1">
      <c r="B108" s="821"/>
      <c r="C108" s="846"/>
      <c r="D108" s="821"/>
      <c r="E108" s="821"/>
      <c r="F108" s="891"/>
      <c r="G108" s="892"/>
      <c r="H108" s="866"/>
      <c r="I108" s="392" t="s">
        <v>237</v>
      </c>
      <c r="J108" s="395"/>
      <c r="K108" s="1107">
        <f>K106+K107</f>
        <v>0</v>
      </c>
      <c r="L108" s="990"/>
      <c r="M108" s="1031"/>
      <c r="N108" s="1031"/>
      <c r="O108" s="1031"/>
      <c r="P108" s="821"/>
      <c r="Q108" s="821"/>
    </row>
    <row r="109" spans="2:17" ht="45" hidden="1" customHeight="1">
      <c r="B109" s="821"/>
      <c r="C109" s="846"/>
      <c r="D109" s="821"/>
      <c r="E109" s="821"/>
      <c r="F109" s="891"/>
      <c r="G109" s="892"/>
      <c r="H109" s="866"/>
      <c r="I109" s="814"/>
      <c r="J109" s="538"/>
      <c r="K109" s="987"/>
      <c r="L109" s="990"/>
      <c r="M109" s="1031"/>
      <c r="N109" s="1031"/>
      <c r="O109" s="1031"/>
      <c r="P109" s="821"/>
      <c r="Q109" s="821"/>
    </row>
    <row r="110" spans="2:17" ht="45" hidden="1" customHeight="1">
      <c r="B110" s="821"/>
      <c r="C110" s="846"/>
      <c r="D110" s="821"/>
      <c r="E110" s="821"/>
      <c r="F110" s="891"/>
      <c r="G110" s="892"/>
      <c r="H110" s="866"/>
      <c r="I110" s="392" t="s">
        <v>795</v>
      </c>
      <c r="J110" s="1338" t="str">
        <f>IF(S85=Z12,"Sustainable Sites Conditional Requirement not met",IF(AND(M105&gt;=75,M24&gt;=AI9,M45&gt;=AI10,M67&gt;=AI11,M94&gt;=AI12),"6 Stars - World Excellence",IF(AND(96&gt;=60,M24&gt;=AH9,M45&gt;=AH10,M67&gt;=AH11,M94&gt;=AH12),"5 Star - Australian Excellence",IF(AND(M105&gt;=45,M24&gt;=AG9,M45&gt;=AG10,M67&gt;=AG11,M94&gt;=AG12),"4 Star - Best Practice",""))))</f>
        <v>Sustainable Sites Conditional Requirement not met</v>
      </c>
      <c r="K110" s="1338"/>
      <c r="L110" s="990"/>
      <c r="M110" s="1031"/>
      <c r="N110" s="1031"/>
      <c r="O110" s="1031"/>
      <c r="P110" s="821"/>
      <c r="Q110" s="821"/>
    </row>
    <row r="111" spans="2:17" ht="45" customHeight="1">
      <c r="B111" s="821"/>
      <c r="C111" s="846"/>
      <c r="D111" s="821"/>
      <c r="E111" s="821"/>
      <c r="F111" s="891"/>
      <c r="G111" s="892"/>
      <c r="H111" s="866"/>
      <c r="I111" s="891"/>
      <c r="J111" s="866"/>
      <c r="K111" s="1027"/>
      <c r="L111" s="990"/>
      <c r="M111" s="1031"/>
      <c r="N111" s="1031"/>
      <c r="O111" s="1031"/>
      <c r="P111" s="821"/>
      <c r="Q111" s="821"/>
    </row>
    <row r="112" spans="2:17" ht="45" customHeight="1">
      <c r="B112" s="164"/>
      <c r="C112" s="496"/>
      <c r="D112" s="821"/>
      <c r="E112" s="821"/>
      <c r="F112" s="397"/>
      <c r="G112" s="398"/>
      <c r="H112" s="64"/>
      <c r="I112" s="230" t="s">
        <v>437</v>
      </c>
      <c r="J112" s="243"/>
      <c r="K112" s="981"/>
      <c r="L112" s="990"/>
      <c r="M112" s="1061" t="s">
        <v>438</v>
      </c>
      <c r="N112" s="1061" t="s">
        <v>439</v>
      </c>
      <c r="O112" s="1031"/>
      <c r="P112" s="821"/>
      <c r="Q112" s="821"/>
    </row>
    <row r="113" spans="2:14" ht="45" customHeight="1">
      <c r="B113" s="164"/>
      <c r="C113" s="496"/>
      <c r="D113" s="821"/>
      <c r="E113" s="821"/>
      <c r="F113" s="893"/>
      <c r="G113" s="894"/>
      <c r="H113" s="866"/>
      <c r="I113" s="895" t="s">
        <v>440</v>
      </c>
      <c r="J113" s="896"/>
      <c r="K113" s="983"/>
      <c r="L113" s="990"/>
      <c r="M113" s="1108">
        <f>SUMIF(P9:P101,"Yes",M9:M101)</f>
        <v>0</v>
      </c>
      <c r="N113" s="1108">
        <f>SUMIF(Q9:Q101,"Yes",N9:N101)</f>
        <v>0</v>
      </c>
    </row>
    <row r="114" spans="2:14" ht="45" customHeight="1">
      <c r="B114" s="821"/>
      <c r="C114" s="846"/>
      <c r="D114" s="821"/>
      <c r="E114" s="821"/>
      <c r="F114" s="893"/>
      <c r="G114" s="894"/>
      <c r="H114" s="897"/>
      <c r="I114" s="895" t="s">
        <v>441</v>
      </c>
      <c r="J114" s="896"/>
      <c r="K114" s="983"/>
      <c r="L114" s="990"/>
      <c r="M114" s="580"/>
      <c r="N114" s="580"/>
    </row>
    <row r="115" spans="2:14" ht="45" customHeight="1">
      <c r="B115" s="821"/>
      <c r="C115" s="846"/>
      <c r="D115" s="821"/>
      <c r="E115" s="821"/>
      <c r="F115" s="893"/>
      <c r="G115" s="894"/>
      <c r="H115" s="866"/>
      <c r="I115" s="360" t="s">
        <v>442</v>
      </c>
      <c r="J115" s="896"/>
      <c r="K115" s="1109">
        <f>K113+K114</f>
        <v>0</v>
      </c>
      <c r="L115" s="990"/>
      <c r="M115" s="580"/>
      <c r="N115" s="580"/>
    </row>
    <row r="116" spans="2:14" ht="45" customHeight="1">
      <c r="B116" s="821"/>
      <c r="C116" s="846"/>
      <c r="D116" s="821"/>
      <c r="E116" s="821"/>
      <c r="F116" s="822"/>
      <c r="G116" s="846"/>
      <c r="H116" s="838"/>
      <c r="I116" s="895" t="s">
        <v>443</v>
      </c>
      <c r="J116" s="896"/>
      <c r="K116" s="983"/>
      <c r="L116" s="990"/>
      <c r="M116" s="580"/>
      <c r="N116" s="580"/>
    </row>
    <row r="117" spans="2:14" ht="45" customHeight="1">
      <c r="B117" s="821"/>
      <c r="C117" s="846"/>
      <c r="D117" s="821"/>
      <c r="E117" s="821"/>
      <c r="F117" s="822"/>
      <c r="G117" s="846"/>
      <c r="H117" s="838"/>
      <c r="I117" s="360" t="s">
        <v>107</v>
      </c>
      <c r="J117" s="896"/>
      <c r="K117" s="1109">
        <f>M113</f>
        <v>0</v>
      </c>
      <c r="L117" s="990"/>
      <c r="M117" s="580"/>
      <c r="N117" s="580"/>
    </row>
    <row r="118" spans="2:14" ht="45" customHeight="1">
      <c r="B118" s="821"/>
      <c r="C118" s="846"/>
      <c r="D118" s="821"/>
      <c r="E118" s="821"/>
      <c r="F118" s="822"/>
      <c r="G118" s="846"/>
      <c r="H118" s="838"/>
      <c r="I118" s="360" t="s">
        <v>444</v>
      </c>
      <c r="J118" s="896"/>
      <c r="K118" s="1109">
        <f>N113</f>
        <v>0</v>
      </c>
      <c r="L118" s="990"/>
      <c r="M118" s="580"/>
      <c r="N118" s="580"/>
    </row>
    <row r="119" spans="2:14" ht="38.25" customHeight="1">
      <c r="B119" s="821"/>
      <c r="C119" s="846"/>
      <c r="D119" s="821"/>
      <c r="E119" s="821"/>
      <c r="F119" s="822"/>
      <c r="G119" s="846"/>
      <c r="H119" s="838"/>
      <c r="I119" s="360" t="s">
        <v>445</v>
      </c>
      <c r="J119" s="896"/>
      <c r="K119" s="1109">
        <f>SUM(K116:K118)</f>
        <v>0</v>
      </c>
      <c r="L119" s="990"/>
      <c r="M119" s="580"/>
      <c r="N119" s="580"/>
    </row>
    <row r="120" spans="2:14" ht="38.25" customHeight="1">
      <c r="B120" s="821"/>
      <c r="C120" s="846"/>
      <c r="D120" s="821"/>
      <c r="E120" s="821"/>
      <c r="F120" s="822"/>
      <c r="G120" s="846"/>
      <c r="H120" s="838"/>
      <c r="I120" s="360" t="s">
        <v>112</v>
      </c>
      <c r="J120" s="896"/>
      <c r="K120" s="1110">
        <f>IFERROR(K119/K115,0)</f>
        <v>0</v>
      </c>
      <c r="L120" s="990"/>
      <c r="M120" s="580"/>
      <c r="N120" s="580"/>
    </row>
    <row r="121" spans="2:14" ht="20.100000000000001" customHeight="1">
      <c r="B121" s="821"/>
      <c r="C121" s="846"/>
      <c r="D121" s="821"/>
      <c r="E121" s="821"/>
      <c r="F121" s="822"/>
      <c r="G121" s="846"/>
      <c r="H121" s="838"/>
      <c r="I121" s="822"/>
      <c r="J121" s="838"/>
      <c r="K121" s="1033"/>
      <c r="L121" s="1033"/>
      <c r="M121" s="1031"/>
      <c r="N121" s="1031"/>
    </row>
    <row r="122" spans="2:14" ht="30" customHeight="1">
      <c r="B122" s="821"/>
      <c r="C122" s="846"/>
      <c r="D122" s="821"/>
      <c r="E122" s="142"/>
      <c r="F122" s="822"/>
      <c r="G122" s="846"/>
      <c r="H122" s="838"/>
      <c r="I122" s="230" t="s">
        <v>101</v>
      </c>
      <c r="J122" s="243"/>
      <c r="K122" s="1067" t="s">
        <v>602</v>
      </c>
      <c r="L122" s="981"/>
      <c r="M122" s="1031"/>
      <c r="N122" s="1031"/>
    </row>
    <row r="123" spans="2:14" ht="35.1" customHeight="1">
      <c r="B123" s="821"/>
      <c r="C123" s="846"/>
      <c r="D123" s="821"/>
      <c r="E123" s="142"/>
      <c r="F123" s="822"/>
      <c r="G123" s="846"/>
      <c r="H123" s="838"/>
      <c r="I123" s="118" t="s">
        <v>447</v>
      </c>
      <c r="J123" s="898" t="s">
        <v>448</v>
      </c>
      <c r="K123" s="1179" t="str">
        <f>IF(J123="Yes","No Issues", IF(J123="No","Contact project team","Check scorecard points"))</f>
        <v>Contact project team</v>
      </c>
      <c r="L123" s="1179"/>
      <c r="M123" s="1031"/>
      <c r="N123" s="1031"/>
    </row>
    <row r="124" spans="2:14" ht="35.1" customHeight="1">
      <c r="B124" s="821"/>
      <c r="C124" s="846"/>
      <c r="D124" s="821"/>
      <c r="E124" s="142"/>
      <c r="F124" s="822"/>
      <c r="G124" s="846"/>
      <c r="H124" s="838"/>
      <c r="I124" s="118" t="s">
        <v>604</v>
      </c>
      <c r="J124" s="898">
        <f>COUNTA(K9:K23,K27:K44,K48:K66,K70:K93,K97:K101)+COUNTIF(C9:C101,"TRUE")</f>
        <v>0</v>
      </c>
      <c r="K124" s="1179" t="str">
        <f>IF(J124=0,"No credits entered","No Issues")</f>
        <v>No credits entered</v>
      </c>
      <c r="L124" s="1179"/>
      <c r="M124" s="1031"/>
      <c r="N124" s="1031"/>
    </row>
    <row r="125" spans="2:14" ht="35.1" customHeight="1">
      <c r="B125" s="821"/>
      <c r="C125" s="846"/>
      <c r="D125" s="821"/>
      <c r="E125" s="142"/>
      <c r="F125" s="822"/>
      <c r="G125" s="846"/>
      <c r="H125" s="838"/>
      <c r="I125" s="118" t="s">
        <v>450</v>
      </c>
      <c r="J125" s="898">
        <f>COUNTIF(C9:C101,"TRUE")</f>
        <v>0</v>
      </c>
      <c r="K125" s="1294" t="str">
        <f>IF(J125=0,"No Issues - No NA credits claimed",CONCATENATE("No Issues - ",J125," Implementation Costs not needed"))</f>
        <v>No Issues - No NA credits claimed</v>
      </c>
      <c r="L125" s="1294"/>
      <c r="M125" s="1031"/>
      <c r="N125" s="1031"/>
    </row>
    <row r="126" spans="2:14" ht="60" customHeight="1">
      <c r="B126" s="821"/>
      <c r="C126" s="846"/>
      <c r="D126" s="821"/>
      <c r="E126" s="142"/>
      <c r="F126" s="822"/>
      <c r="G126" s="846"/>
      <c r="H126" s="838"/>
      <c r="I126" s="118" t="s">
        <v>451</v>
      </c>
      <c r="J126" s="898">
        <f>COUNTIF(P9:P101,"Yes")</f>
        <v>0</v>
      </c>
      <c r="K126" s="1179" t="str">
        <f>IF(J126&lt;J124,CONCATENATE(J124-J126," documentation cost missing"),IF(J126=0,"No credits entered",IF(COUNTIF(M9:M101,0)&gt;0,CONCATENATE(COUNTIF(M9:M101,0)," $0 cost(s) provided. Enter a value or explain the $0 value in the Comments column."),"No Issues")))</f>
        <v>No credits entered</v>
      </c>
      <c r="L126" s="1179"/>
      <c r="M126" s="1068"/>
      <c r="N126" s="1098"/>
    </row>
    <row r="127" spans="2:14" ht="60" customHeight="1">
      <c r="B127" s="821"/>
      <c r="C127" s="846"/>
      <c r="D127" s="821"/>
      <c r="E127" s="142"/>
      <c r="F127" s="822"/>
      <c r="G127" s="846"/>
      <c r="H127" s="838"/>
      <c r="I127" s="118" t="s">
        <v>452</v>
      </c>
      <c r="J127" s="898">
        <f>COUNTIF(Q9:Q101,"Yes")</f>
        <v>0</v>
      </c>
      <c r="K127" s="1179" t="str">
        <f>IF(J127&lt;(J124-J125),CONCATENATE(J124-J127-J125," implementation cost missing"),IF(J127=0,"No credits entered",IF(COUNTIF(N9:N101,0)&gt;ROUND(0.25*J124,0),CONCATENATE(COUNTIF(N9:N101,0)," $0 cost(s) provided. Enter a value or explain the $0 value in the Comments column."),"No Issues")))</f>
        <v>No credits entered</v>
      </c>
      <c r="L127" s="1179"/>
      <c r="M127" s="1068"/>
      <c r="N127" s="1098"/>
    </row>
    <row r="128" spans="2:14" ht="35.1" customHeight="1">
      <c r="B128" s="821"/>
      <c r="C128" s="846"/>
      <c r="D128" s="821"/>
      <c r="E128" s="142"/>
      <c r="F128" s="822"/>
      <c r="G128" s="846"/>
      <c r="H128" s="838"/>
      <c r="I128" s="118" t="s">
        <v>453</v>
      </c>
      <c r="J128" s="898" t="str">
        <f>IF(K113&gt;0,"Yes","No")</f>
        <v>No</v>
      </c>
      <c r="K128" s="1179" t="str">
        <f>IF(J128="No","Total Design Cost missing","No Issues")</f>
        <v>Total Design Cost missing</v>
      </c>
      <c r="L128" s="1179"/>
      <c r="M128" s="1031"/>
      <c r="N128" s="1031"/>
    </row>
    <row r="129" spans="5:12" ht="35.1" customHeight="1">
      <c r="E129" s="142"/>
      <c r="F129" s="822"/>
      <c r="G129" s="846"/>
      <c r="H129" s="838"/>
      <c r="I129" s="118" t="s">
        <v>454</v>
      </c>
      <c r="J129" s="898" t="str">
        <f>IF(K114&gt;0,"Yes","No")</f>
        <v>No</v>
      </c>
      <c r="K129" s="1179" t="str">
        <f>IF(J129="No","Total Construction Cost missing","No Issues")</f>
        <v>Total Construction Cost missing</v>
      </c>
      <c r="L129" s="1179"/>
    </row>
    <row r="130" spans="5:12" ht="35.1" customHeight="1">
      <c r="E130" s="142"/>
      <c r="F130" s="822"/>
      <c r="G130" s="846"/>
      <c r="H130" s="838"/>
      <c r="I130" s="118" t="s">
        <v>455</v>
      </c>
      <c r="J130" s="898" t="str">
        <f>IF(K116&gt;0,"Yes","No")</f>
        <v>No</v>
      </c>
      <c r="K130" s="1179" t="str">
        <f>IF(J130="No","Green Star Certification Fees missing","No Issues")</f>
        <v>Green Star Certification Fees missing</v>
      </c>
      <c r="L130" s="1179"/>
    </row>
    <row r="131" spans="5:12" ht="35.1" hidden="1" customHeight="1">
      <c r="E131" s="142" t="s">
        <v>14</v>
      </c>
      <c r="F131" s="822"/>
      <c r="G131" s="846"/>
      <c r="H131" s="838"/>
      <c r="I131" s="584" t="s">
        <v>188</v>
      </c>
      <c r="J131" s="585"/>
      <c r="K131" s="1180" t="s">
        <v>652</v>
      </c>
      <c r="L131" s="1180"/>
    </row>
    <row r="132" spans="5:12" ht="45" hidden="1" customHeight="1">
      <c r="E132" s="142" t="s">
        <v>14</v>
      </c>
      <c r="F132" s="822"/>
      <c r="G132" s="846"/>
      <c r="H132" s="838"/>
      <c r="I132" s="119" t="s">
        <v>457</v>
      </c>
      <c r="J132" s="1334" t="str">
        <f>IF(OR(COUNTIF(K123:L130,"No Issues*")=8,K131="YES"),"1 POINT AWARDED","1 POINT NOT AWARDED")</f>
        <v>1 POINT NOT AWARDED</v>
      </c>
      <c r="K132" s="1334"/>
      <c r="L132" s="1334"/>
    </row>
  </sheetData>
  <sheetProtection algorithmName="SHA-512" hashValue="dBZV+1EYwXG4JqygqFhCYkOLDASd89wTwRxKiLlqxD3SoCMliuljkWRjCtsC+juSF3+QPGSJdx7ACEa4JCnU4Q==" saltValue="9R/eWfXaETTIlrhjDsptSg==" spinCount="100000" sheet="1" objects="1" scenarios="1"/>
  <dataConsolidate/>
  <customSheetViews>
    <customSheetView guid="{CEACA748-A46A-4C8B-98CF-30E51B671B84}" scale="80" showGridLines="0" fitToPage="1" printArea="1" hiddenRows="1" hiddenColumns="1" topLeftCell="E1">
      <pane ySplit="7" topLeftCell="A123" activePane="bottomLeft" state="frozen"/>
      <selection pane="bottomLeft" activeCell="J132" sqref="J132:L132"/>
      <pageMargins left="0" right="0" top="0" bottom="0" header="0" footer="0"/>
      <pageSetup paperSize="9" scale="53" orientation="portrait" horizontalDpi="1200" verticalDpi="1200" r:id="rId1"/>
    </customSheetView>
  </customSheetViews>
  <mergeCells count="76">
    <mergeCell ref="F1:I1"/>
    <mergeCell ref="G2:H2"/>
    <mergeCell ref="G4:H4"/>
    <mergeCell ref="F8:I8"/>
    <mergeCell ref="F10:F11"/>
    <mergeCell ref="G10:G11"/>
    <mergeCell ref="G5:H5"/>
    <mergeCell ref="F12:F13"/>
    <mergeCell ref="G12:G13"/>
    <mergeCell ref="F14:F15"/>
    <mergeCell ref="G14:G15"/>
    <mergeCell ref="F16:F17"/>
    <mergeCell ref="G16:G17"/>
    <mergeCell ref="F36:F37"/>
    <mergeCell ref="G36:G37"/>
    <mergeCell ref="F18:F19"/>
    <mergeCell ref="G18:G19"/>
    <mergeCell ref="F20:F21"/>
    <mergeCell ref="G20:G21"/>
    <mergeCell ref="F22:F23"/>
    <mergeCell ref="G22:G23"/>
    <mergeCell ref="F26:I26"/>
    <mergeCell ref="F27:F30"/>
    <mergeCell ref="G27:G30"/>
    <mergeCell ref="F31:F35"/>
    <mergeCell ref="G31:G35"/>
    <mergeCell ref="F55:F57"/>
    <mergeCell ref="G55:G57"/>
    <mergeCell ref="F38:F39"/>
    <mergeCell ref="G38:G39"/>
    <mergeCell ref="F41:F42"/>
    <mergeCell ref="G41:G42"/>
    <mergeCell ref="F43:F44"/>
    <mergeCell ref="G43:G44"/>
    <mergeCell ref="F47:I47"/>
    <mergeCell ref="F49:F50"/>
    <mergeCell ref="G49:G50"/>
    <mergeCell ref="F51:F54"/>
    <mergeCell ref="G52:G54"/>
    <mergeCell ref="F70:F75"/>
    <mergeCell ref="G70:G75"/>
    <mergeCell ref="F76:F80"/>
    <mergeCell ref="G76:G80"/>
    <mergeCell ref="F58:F59"/>
    <mergeCell ref="G58:G59"/>
    <mergeCell ref="F60:F61"/>
    <mergeCell ref="G60:G61"/>
    <mergeCell ref="F62:F63"/>
    <mergeCell ref="G62:G63"/>
    <mergeCell ref="F64:F66"/>
    <mergeCell ref="G64:G66"/>
    <mergeCell ref="F88:F89"/>
    <mergeCell ref="G88:G89"/>
    <mergeCell ref="F90:F91"/>
    <mergeCell ref="G90:G91"/>
    <mergeCell ref="F96:I96"/>
    <mergeCell ref="F81:F82"/>
    <mergeCell ref="G81:G82"/>
    <mergeCell ref="F83:F84"/>
    <mergeCell ref="G83:G84"/>
    <mergeCell ref="F85:F87"/>
    <mergeCell ref="G85:G87"/>
    <mergeCell ref="M6:N6"/>
    <mergeCell ref="K124:L124"/>
    <mergeCell ref="K126:L126"/>
    <mergeCell ref="K127:L127"/>
    <mergeCell ref="K128:L128"/>
    <mergeCell ref="J110:K110"/>
    <mergeCell ref="J97:J101"/>
    <mergeCell ref="K123:L123"/>
    <mergeCell ref="J132:L132"/>
    <mergeCell ref="K129:L129"/>
    <mergeCell ref="K130:L130"/>
    <mergeCell ref="G3:H3"/>
    <mergeCell ref="K125:L125"/>
    <mergeCell ref="K131:L131"/>
  </mergeCells>
  <conditionalFormatting sqref="H9:K101">
    <cfRule type="expression" dxfId="148" priority="19">
      <formula>$C9=TRUE</formula>
    </cfRule>
  </conditionalFormatting>
  <conditionalFormatting sqref="G2:H5">
    <cfRule type="containsText" dxfId="147" priority="18" operator="containsText" text="Please">
      <formula>NOT(ISERROR(SEARCH("Please",G2)))</formula>
    </cfRule>
  </conditionalFormatting>
  <conditionalFormatting sqref="M6:O6">
    <cfRule type="containsText" dxfId="146" priority="11" operator="containsText" text="Select">
      <formula>NOT(ISERROR(SEARCH("Select",M6)))</formula>
    </cfRule>
  </conditionalFormatting>
  <conditionalFormatting sqref="M9:Q23 M48:Q66 M97:Q101 M27:Q44 M70:Q93">
    <cfRule type="expression" dxfId="145" priority="10">
      <formula>$K9=""</formula>
    </cfRule>
  </conditionalFormatting>
  <conditionalFormatting sqref="H36:K36">
    <cfRule type="expression" dxfId="144" priority="164">
      <formula>$G$36=$X$37</formula>
    </cfRule>
  </conditionalFormatting>
  <conditionalFormatting sqref="H37:K37">
    <cfRule type="expression" dxfId="143" priority="20">
      <formula>$G$36=$X$36</formula>
    </cfRule>
  </conditionalFormatting>
  <conditionalFormatting sqref="H49:K49">
    <cfRule type="expression" dxfId="142" priority="467">
      <formula>$G$49=$X$50</formula>
    </cfRule>
  </conditionalFormatting>
  <conditionalFormatting sqref="H50:K50">
    <cfRule type="expression" dxfId="141" priority="466">
      <formula>$G$49=$X$49</formula>
    </cfRule>
  </conditionalFormatting>
  <conditionalFormatting sqref="H53:K54">
    <cfRule type="expression" dxfId="140" priority="471">
      <formula>$G$52=$X$52</formula>
    </cfRule>
  </conditionalFormatting>
  <conditionalFormatting sqref="H52:K52 H54:K54">
    <cfRule type="expression" dxfId="139" priority="479">
      <formula>$G$52=$X$53</formula>
    </cfRule>
  </conditionalFormatting>
  <conditionalFormatting sqref="H52:K53">
    <cfRule type="expression" dxfId="138" priority="483">
      <formula>$G$52=$X$54</formula>
    </cfRule>
  </conditionalFormatting>
  <conditionalFormatting sqref="H60:K60">
    <cfRule type="expression" dxfId="137" priority="486">
      <formula>$G$60=$X$61</formula>
    </cfRule>
  </conditionalFormatting>
  <conditionalFormatting sqref="H61:K61">
    <cfRule type="expression" dxfId="136" priority="484">
      <formula>$G$60=$X$60</formula>
    </cfRule>
  </conditionalFormatting>
  <conditionalFormatting sqref="H65:K66">
    <cfRule type="expression" dxfId="135" priority="487">
      <formula>$G$64=$X$64</formula>
    </cfRule>
  </conditionalFormatting>
  <conditionalFormatting sqref="H64:K64 H66:K66">
    <cfRule type="expression" dxfId="134" priority="488">
      <formula>$G$64=$X$65</formula>
    </cfRule>
  </conditionalFormatting>
  <conditionalFormatting sqref="H64:K65">
    <cfRule type="expression" dxfId="133" priority="489">
      <formula>$G$64=$X$66</formula>
    </cfRule>
  </conditionalFormatting>
  <conditionalFormatting sqref="H76:K76">
    <cfRule type="expression" dxfId="132" priority="496">
      <formula>$G$76=$X$77</formula>
    </cfRule>
  </conditionalFormatting>
  <conditionalFormatting sqref="H77:K80">
    <cfRule type="expression" dxfId="131" priority="495">
      <formula>$G$76=$X$76</formula>
    </cfRule>
  </conditionalFormatting>
  <conditionalFormatting sqref="H81:K81">
    <cfRule type="expression" dxfId="130" priority="498">
      <formula>$G$81=$X$82</formula>
    </cfRule>
  </conditionalFormatting>
  <conditionalFormatting sqref="H82:K82">
    <cfRule type="expression" dxfId="129" priority="497">
      <formula>$G$81=$X$81</formula>
    </cfRule>
  </conditionalFormatting>
  <conditionalFormatting sqref="H83:K83">
    <cfRule type="expression" dxfId="128" priority="501">
      <formula>$G$83=$X$84</formula>
    </cfRule>
  </conditionalFormatting>
  <conditionalFormatting sqref="H84:K84">
    <cfRule type="expression" dxfId="127" priority="499">
      <formula>$G$83=$X$83</formula>
    </cfRule>
  </conditionalFormatting>
  <conditionalFormatting sqref="H71:K75">
    <cfRule type="expression" dxfId="126" priority="490">
      <formula>AND($G$70=$X$70,$G$5=$X$2)</formula>
    </cfRule>
  </conditionalFormatting>
  <conditionalFormatting sqref="H70:K70">
    <cfRule type="expression" dxfId="125" priority="492">
      <formula>AND($G$70=$X$71,$G$5=$X$2)</formula>
    </cfRule>
  </conditionalFormatting>
  <conditionalFormatting sqref="M9:M101 O9:P101">
    <cfRule type="expression" dxfId="124" priority="9">
      <formula>$C9=TRUE</formula>
    </cfRule>
  </conditionalFormatting>
  <conditionalFormatting sqref="Q76:Q77 Q39:Q42 Q37 Q35 Q32:Q33 Q29:Q30 Q27">
    <cfRule type="cellIs" dxfId="123" priority="3" operator="equal">
      <formula>"NA"</formula>
    </cfRule>
  </conditionalFormatting>
  <conditionalFormatting sqref="K123:L130">
    <cfRule type="containsText" dxfId="122" priority="2" operator="containsText" text="No Issues">
      <formula>NOT(ISERROR(SEARCH("No Issues",K123)))</formula>
    </cfRule>
  </conditionalFormatting>
  <conditionalFormatting sqref="H72:K75">
    <cfRule type="expression" dxfId="121" priority="493">
      <formula>AND($G$70=$X$70,$G$5=$X$3)</formula>
    </cfRule>
  </conditionalFormatting>
  <conditionalFormatting sqref="H70:K71">
    <cfRule type="expression" dxfId="120" priority="494">
      <formula>AND($G$70=$X$71,$G$5=$X$3)</formula>
    </cfRule>
  </conditionalFormatting>
  <conditionalFormatting sqref="K131">
    <cfRule type="cellIs" dxfId="119" priority="1" operator="equal">
      <formula>"YES"</formula>
    </cfRule>
  </conditionalFormatting>
  <dataValidations count="25">
    <dataValidation type="list" allowBlank="1" showInputMessage="1" showErrorMessage="1" sqref="K85" xr:uid="{00000000-0002-0000-0600-000000000000}">
      <formula1>$T$9:$T$10</formula1>
    </dataValidation>
    <dataValidation type="list" operator="lessThanOrEqual" allowBlank="1" showInputMessage="1" showErrorMessage="1" sqref="K27 K31 K43" xr:uid="{00000000-0002-0000-0600-000001000000}">
      <formula1>$T$9:$T$10</formula1>
    </dataValidation>
    <dataValidation type="decimal" operator="lessThanOrEqual" allowBlank="1" showInputMessage="1" showErrorMessage="1" sqref="K49:K66 K39:K42 K28:K30 K32:K35 K44 K37 K102" xr:uid="{00000000-0002-0000-0600-000002000000}">
      <formula1>J28</formula1>
    </dataValidation>
    <dataValidation type="decimal" allowBlank="1" showInputMessage="1" showErrorMessage="1" sqref="K21 K9:K17 K19" xr:uid="{00000000-0002-0000-0600-000003000000}">
      <formula1>0</formula1>
      <formula2>J9</formula2>
    </dataValidation>
    <dataValidation type="decimal" operator="lessThanOrEqual" allowBlank="1" showInputMessage="1" showErrorMessage="1" sqref="K97:K101" xr:uid="{00000000-0002-0000-0600-000004000000}">
      <formula1>10</formula1>
    </dataValidation>
    <dataValidation type="list" allowBlank="1" showInputMessage="1" showErrorMessage="1" sqref="G68" xr:uid="{00000000-0002-0000-0600-000005000000}">
      <formula1>$O$64:$O$64</formula1>
    </dataValidation>
    <dataValidation type="decimal" operator="lessThanOrEqual" allowBlank="1" showInputMessage="1" showErrorMessage="1" sqref="K22:K23" xr:uid="{00000000-0002-0000-0600-000006000000}">
      <formula1>1</formula1>
    </dataValidation>
    <dataValidation type="list" allowBlank="1" showInputMessage="1" showErrorMessage="1" promptTitle="Selection Required" prompt="Please select the project's desired pathway" sqref="G49:G50" xr:uid="{00000000-0002-0000-0600-000007000000}">
      <formula1>$X$49:$X$50</formula1>
    </dataValidation>
    <dataValidation type="list" allowBlank="1" showInputMessage="1" showErrorMessage="1" promptTitle="Selection Required" prompt="Please select the project's desired pathway." sqref="G60:G61" xr:uid="{00000000-0002-0000-0600-000008000000}">
      <formula1>$X$60:$X$61</formula1>
    </dataValidation>
    <dataValidation type="list" allowBlank="1" showInputMessage="1" showErrorMessage="1" promptTitle="Selection Required" prompt="Please select the project's desired pathway." sqref="G36:G37" xr:uid="{00000000-0002-0000-0600-000009000000}">
      <formula1>$X$36:$X$37</formula1>
    </dataValidation>
    <dataValidation type="list" allowBlank="1" showInputMessage="1" showErrorMessage="1" promptTitle="Green Star Rating" prompt="Please select the project's targeted rating" sqref="G4:H4" xr:uid="{00000000-0002-0000-0600-00000A000000}">
      <formula1>$W$4:$W$7</formula1>
    </dataValidation>
    <dataValidation type="list" allowBlank="1" showInputMessage="1" showErrorMessage="1" promptTitle="Selection Required" prompt="Please select the project's desired pathway." sqref="G52:G54" xr:uid="{00000000-0002-0000-0600-00000B000000}">
      <formula1>$X$52:$X$54</formula1>
    </dataValidation>
    <dataValidation type="list" allowBlank="1" showInputMessage="1" showErrorMessage="1" promptTitle="Selection Required" prompt="Please indicate the project's desired pathway." sqref="G64:G66" xr:uid="{00000000-0002-0000-0600-00000C000000}">
      <formula1>$X$64:$X$66</formula1>
    </dataValidation>
    <dataValidation type="list" allowBlank="1" showInputMessage="1" showErrorMessage="1" promptTitle="Selection Required" prompt="Please select the project's desired pathway." sqref="G70:G75" xr:uid="{00000000-0002-0000-0600-00000D000000}">
      <formula1>$X$70:$X$71</formula1>
    </dataValidation>
    <dataValidation type="list" allowBlank="1" showInputMessage="1" showErrorMessage="1" promptTitle="Selection Required" prompt="Please select the project's desired pathway." sqref="G81:G82" xr:uid="{00000000-0002-0000-0600-00000E000000}">
      <formula1>$X$81:$X$82</formula1>
    </dataValidation>
    <dataValidation type="list" allowBlank="1" showInputMessage="1" showErrorMessage="1" promptTitle="Selection Required" prompt="Please select the project's desired pathway." sqref="G83:G84" xr:uid="{00000000-0002-0000-0600-00000F000000}">
      <formula1>$X$83:$X$84</formula1>
    </dataValidation>
    <dataValidation type="list" allowBlank="1" showInputMessage="1" showErrorMessage="1" promptTitle="Selection Required" prompt="Please select the project's desired pathway." sqref="G76:G80" xr:uid="{00000000-0002-0000-0600-000010000000}">
      <formula1>$X$76:$X$77</formula1>
    </dataValidation>
    <dataValidation type="list" allowBlank="1" showInputMessage="1" showErrorMessage="1" sqref="O6" xr:uid="{00000000-0002-0000-0600-000011000000}">
      <formula1>$T$4:$T$6</formula1>
    </dataValidation>
    <dataValidation type="list" allowBlank="1" showInputMessage="1" showErrorMessage="1" sqref="M6:N6" xr:uid="{00000000-0002-0000-0600-000012000000}">
      <formula1>$S$4:$S$6</formula1>
    </dataValidation>
    <dataValidation allowBlank="1" showInputMessage="1" showErrorMessage="1" promptTitle="Project Number" prompt="Please enter the Green Star number " sqref="G2:H2" xr:uid="{00000000-0002-0000-0600-000013000000}"/>
    <dataValidation allowBlank="1" showInputMessage="1" showErrorMessage="1" promptTitle="Project Name" prompt="Please enter the project name" sqref="G3:H3" xr:uid="{00000000-0002-0000-0600-000014000000}"/>
    <dataValidation type="list" allowBlank="1" showInputMessage="1" showErrorMessage="1" promptTitle="Rating Tool Version" prompt="Please select the project's rating tool version" sqref="G5:H5" xr:uid="{00000000-0002-0000-0600-000015000000}">
      <formula1>$X$1:$X$3</formula1>
    </dataValidation>
    <dataValidation type="list" allowBlank="1" showInputMessage="1" showErrorMessage="1" sqref="J123" xr:uid="{00000000-0002-0000-0600-000016000000}">
      <formula1>"Please select, Yes, No"</formula1>
    </dataValidation>
    <dataValidation type="decimal" operator="greaterThanOrEqual" allowBlank="1" showInputMessage="1" showErrorMessage="1" sqref="M9:N101 K113:K114 K116" xr:uid="{00000000-0002-0000-0600-000017000000}">
      <formula1>0</formula1>
    </dataValidation>
    <dataValidation type="list" allowBlank="1" showInputMessage="1" showErrorMessage="1" sqref="K131:L131" xr:uid="{00000000-0002-0000-0600-000018000000}">
      <formula1>"YES/NO, YES, NO"</formula1>
    </dataValidation>
  </dataValidations>
  <pageMargins left="0.70866141732283472" right="0.70866141732283472" top="0.74803149606299213" bottom="0.74803149606299213" header="0.31496062992125984" footer="0.31496062992125984"/>
  <pageSetup paperSize="9" scale="53"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47119" r:id="rId5" name="Check Box 15">
              <controlPr locked="0" defaultSize="0" autoFill="0" autoLine="0" autoPict="0">
                <anchor moveWithCells="1">
                  <from>
                    <xdr:col>4</xdr:col>
                    <xdr:colOff>69850</xdr:colOff>
                    <xdr:row>26</xdr:row>
                    <xdr:rowOff>171450</xdr:rowOff>
                  </from>
                  <to>
                    <xdr:col>5</xdr:col>
                    <xdr:colOff>609600</xdr:colOff>
                    <xdr:row>26</xdr:row>
                    <xdr:rowOff>381000</xdr:rowOff>
                  </to>
                </anchor>
              </controlPr>
            </control>
          </mc:Choice>
        </mc:AlternateContent>
        <mc:AlternateContent xmlns:mc="http://schemas.openxmlformats.org/markup-compatibility/2006">
          <mc:Choice Requires="x14">
            <control shapeId="47120" r:id="rId6" name="Check Box 16">
              <controlPr locked="0" defaultSize="0" autoFill="0" autoLine="0" autoPict="0">
                <anchor moveWithCells="1">
                  <from>
                    <xdr:col>4</xdr:col>
                    <xdr:colOff>69850</xdr:colOff>
                    <xdr:row>28</xdr:row>
                    <xdr:rowOff>171450</xdr:rowOff>
                  </from>
                  <to>
                    <xdr:col>5</xdr:col>
                    <xdr:colOff>609600</xdr:colOff>
                    <xdr:row>28</xdr:row>
                    <xdr:rowOff>381000</xdr:rowOff>
                  </to>
                </anchor>
              </controlPr>
            </control>
          </mc:Choice>
        </mc:AlternateContent>
        <mc:AlternateContent xmlns:mc="http://schemas.openxmlformats.org/markup-compatibility/2006">
          <mc:Choice Requires="x14">
            <control shapeId="47121" r:id="rId7" name="Check Box 17">
              <controlPr locked="0" defaultSize="0" autoFill="0" autoLine="0" autoPict="0">
                <anchor moveWithCells="1">
                  <from>
                    <xdr:col>4</xdr:col>
                    <xdr:colOff>69850</xdr:colOff>
                    <xdr:row>29</xdr:row>
                    <xdr:rowOff>171450</xdr:rowOff>
                  </from>
                  <to>
                    <xdr:col>5</xdr:col>
                    <xdr:colOff>609600</xdr:colOff>
                    <xdr:row>29</xdr:row>
                    <xdr:rowOff>381000</xdr:rowOff>
                  </to>
                </anchor>
              </controlPr>
            </control>
          </mc:Choice>
        </mc:AlternateContent>
        <mc:AlternateContent xmlns:mc="http://schemas.openxmlformats.org/markup-compatibility/2006">
          <mc:Choice Requires="x14">
            <control shapeId="47122" r:id="rId8" name="Check Box 18">
              <controlPr locked="0" defaultSize="0" autoFill="0" autoLine="0" autoPict="0">
                <anchor moveWithCells="1">
                  <from>
                    <xdr:col>4</xdr:col>
                    <xdr:colOff>69850</xdr:colOff>
                    <xdr:row>29</xdr:row>
                    <xdr:rowOff>171450</xdr:rowOff>
                  </from>
                  <to>
                    <xdr:col>5</xdr:col>
                    <xdr:colOff>609600</xdr:colOff>
                    <xdr:row>29</xdr:row>
                    <xdr:rowOff>381000</xdr:rowOff>
                  </to>
                </anchor>
              </controlPr>
            </control>
          </mc:Choice>
        </mc:AlternateContent>
        <mc:AlternateContent xmlns:mc="http://schemas.openxmlformats.org/markup-compatibility/2006">
          <mc:Choice Requires="x14">
            <control shapeId="47123" r:id="rId9" name="Check Box 19">
              <controlPr locked="0" defaultSize="0" autoFill="0" autoLine="0" autoPict="0">
                <anchor moveWithCells="1">
                  <from>
                    <xdr:col>4</xdr:col>
                    <xdr:colOff>69850</xdr:colOff>
                    <xdr:row>31</xdr:row>
                    <xdr:rowOff>171450</xdr:rowOff>
                  </from>
                  <to>
                    <xdr:col>5</xdr:col>
                    <xdr:colOff>609600</xdr:colOff>
                    <xdr:row>31</xdr:row>
                    <xdr:rowOff>381000</xdr:rowOff>
                  </to>
                </anchor>
              </controlPr>
            </control>
          </mc:Choice>
        </mc:AlternateContent>
        <mc:AlternateContent xmlns:mc="http://schemas.openxmlformats.org/markup-compatibility/2006">
          <mc:Choice Requires="x14">
            <control shapeId="47124" r:id="rId10" name="Check Box 20">
              <controlPr locked="0" defaultSize="0" autoFill="0" autoLine="0" autoPict="0">
                <anchor moveWithCells="1">
                  <from>
                    <xdr:col>4</xdr:col>
                    <xdr:colOff>69850</xdr:colOff>
                    <xdr:row>32</xdr:row>
                    <xdr:rowOff>171450</xdr:rowOff>
                  </from>
                  <to>
                    <xdr:col>5</xdr:col>
                    <xdr:colOff>609600</xdr:colOff>
                    <xdr:row>32</xdr:row>
                    <xdr:rowOff>381000</xdr:rowOff>
                  </to>
                </anchor>
              </controlPr>
            </control>
          </mc:Choice>
        </mc:AlternateContent>
        <mc:AlternateContent xmlns:mc="http://schemas.openxmlformats.org/markup-compatibility/2006">
          <mc:Choice Requires="x14">
            <control shapeId="47125" r:id="rId11" name="Check Box 21">
              <controlPr locked="0" defaultSize="0" autoFill="0" autoLine="0" autoPict="0">
                <anchor moveWithCells="1">
                  <from>
                    <xdr:col>4</xdr:col>
                    <xdr:colOff>69850</xdr:colOff>
                    <xdr:row>34</xdr:row>
                    <xdr:rowOff>171450</xdr:rowOff>
                  </from>
                  <to>
                    <xdr:col>5</xdr:col>
                    <xdr:colOff>609600</xdr:colOff>
                    <xdr:row>34</xdr:row>
                    <xdr:rowOff>381000</xdr:rowOff>
                  </to>
                </anchor>
              </controlPr>
            </control>
          </mc:Choice>
        </mc:AlternateContent>
        <mc:AlternateContent xmlns:mc="http://schemas.openxmlformats.org/markup-compatibility/2006">
          <mc:Choice Requires="x14">
            <control shapeId="47126" r:id="rId12" name="Check Box 22">
              <controlPr locked="0" defaultSize="0" autoFill="0" autoLine="0" autoPict="0">
                <anchor moveWithCells="1">
                  <from>
                    <xdr:col>4</xdr:col>
                    <xdr:colOff>69850</xdr:colOff>
                    <xdr:row>36</xdr:row>
                    <xdr:rowOff>171450</xdr:rowOff>
                  </from>
                  <to>
                    <xdr:col>5</xdr:col>
                    <xdr:colOff>609600</xdr:colOff>
                    <xdr:row>36</xdr:row>
                    <xdr:rowOff>381000</xdr:rowOff>
                  </to>
                </anchor>
              </controlPr>
            </control>
          </mc:Choice>
        </mc:AlternateContent>
        <mc:AlternateContent xmlns:mc="http://schemas.openxmlformats.org/markup-compatibility/2006">
          <mc:Choice Requires="x14">
            <control shapeId="47127" r:id="rId13" name="Check Box 23">
              <controlPr locked="0" defaultSize="0" autoFill="0" autoLine="0" autoPict="0">
                <anchor moveWithCells="1">
                  <from>
                    <xdr:col>4</xdr:col>
                    <xdr:colOff>69850</xdr:colOff>
                    <xdr:row>38</xdr:row>
                    <xdr:rowOff>171450</xdr:rowOff>
                  </from>
                  <to>
                    <xdr:col>5</xdr:col>
                    <xdr:colOff>609600</xdr:colOff>
                    <xdr:row>38</xdr:row>
                    <xdr:rowOff>381000</xdr:rowOff>
                  </to>
                </anchor>
              </controlPr>
            </control>
          </mc:Choice>
        </mc:AlternateContent>
        <mc:AlternateContent xmlns:mc="http://schemas.openxmlformats.org/markup-compatibility/2006">
          <mc:Choice Requires="x14">
            <control shapeId="47128" r:id="rId14" name="Check Box 24">
              <controlPr locked="0" defaultSize="0" autoFill="0" autoLine="0" autoPict="0">
                <anchor moveWithCells="1">
                  <from>
                    <xdr:col>4</xdr:col>
                    <xdr:colOff>69850</xdr:colOff>
                    <xdr:row>39</xdr:row>
                    <xdr:rowOff>171450</xdr:rowOff>
                  </from>
                  <to>
                    <xdr:col>5</xdr:col>
                    <xdr:colOff>609600</xdr:colOff>
                    <xdr:row>39</xdr:row>
                    <xdr:rowOff>381000</xdr:rowOff>
                  </to>
                </anchor>
              </controlPr>
            </control>
          </mc:Choice>
        </mc:AlternateContent>
        <mc:AlternateContent xmlns:mc="http://schemas.openxmlformats.org/markup-compatibility/2006">
          <mc:Choice Requires="x14">
            <control shapeId="47129" r:id="rId15" name="Check Box 25">
              <controlPr locked="0" defaultSize="0" autoFill="0" autoLine="0" autoPict="0">
                <anchor moveWithCells="1">
                  <from>
                    <xdr:col>4</xdr:col>
                    <xdr:colOff>69850</xdr:colOff>
                    <xdr:row>40</xdr:row>
                    <xdr:rowOff>171450</xdr:rowOff>
                  </from>
                  <to>
                    <xdr:col>5</xdr:col>
                    <xdr:colOff>609600</xdr:colOff>
                    <xdr:row>40</xdr:row>
                    <xdr:rowOff>381000</xdr:rowOff>
                  </to>
                </anchor>
              </controlPr>
            </control>
          </mc:Choice>
        </mc:AlternateContent>
        <mc:AlternateContent xmlns:mc="http://schemas.openxmlformats.org/markup-compatibility/2006">
          <mc:Choice Requires="x14">
            <control shapeId="47130" r:id="rId16" name="Check Box 26">
              <controlPr locked="0" defaultSize="0" autoFill="0" autoLine="0" autoPict="0">
                <anchor moveWithCells="1">
                  <from>
                    <xdr:col>4</xdr:col>
                    <xdr:colOff>69850</xdr:colOff>
                    <xdr:row>41</xdr:row>
                    <xdr:rowOff>171450</xdr:rowOff>
                  </from>
                  <to>
                    <xdr:col>5</xdr:col>
                    <xdr:colOff>609600</xdr:colOff>
                    <xdr:row>41</xdr:row>
                    <xdr:rowOff>381000</xdr:rowOff>
                  </to>
                </anchor>
              </controlPr>
            </control>
          </mc:Choice>
        </mc:AlternateContent>
        <mc:AlternateContent xmlns:mc="http://schemas.openxmlformats.org/markup-compatibility/2006">
          <mc:Choice Requires="x14">
            <control shapeId="47131" r:id="rId17" name="Check Box 27">
              <controlPr locked="0" defaultSize="0" autoFill="0" autoLine="0" autoPict="0">
                <anchor moveWithCells="1">
                  <from>
                    <xdr:col>4</xdr:col>
                    <xdr:colOff>69850</xdr:colOff>
                    <xdr:row>75</xdr:row>
                    <xdr:rowOff>171450</xdr:rowOff>
                  </from>
                  <to>
                    <xdr:col>5</xdr:col>
                    <xdr:colOff>609600</xdr:colOff>
                    <xdr:row>75</xdr:row>
                    <xdr:rowOff>381000</xdr:rowOff>
                  </to>
                </anchor>
              </controlPr>
            </control>
          </mc:Choice>
        </mc:AlternateContent>
        <mc:AlternateContent xmlns:mc="http://schemas.openxmlformats.org/markup-compatibility/2006">
          <mc:Choice Requires="x14">
            <control shapeId="47132" r:id="rId18" name="Check Box 28">
              <controlPr locked="0" defaultSize="0" autoFill="0" autoLine="0" autoPict="0">
                <anchor moveWithCells="1">
                  <from>
                    <xdr:col>4</xdr:col>
                    <xdr:colOff>69850</xdr:colOff>
                    <xdr:row>76</xdr:row>
                    <xdr:rowOff>171450</xdr:rowOff>
                  </from>
                  <to>
                    <xdr:col>5</xdr:col>
                    <xdr:colOff>609600</xdr:colOff>
                    <xdr:row>76</xdr:row>
                    <xdr:rowOff>381000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cee579-4e2a-4f9b-aa8c-524f1856ed66" xsi:nil="true"/>
    <lcf76f155ced4ddcb4097134ff3c332f xmlns="039355f5-e425-45e4-a2e4-66646ac4965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DB9C90B9D2164D8912691232D18543" ma:contentTypeVersion="17" ma:contentTypeDescription="Create a new document." ma:contentTypeScope="" ma:versionID="b10c90303ebff0e7c77b816fd84f77d1">
  <xsd:schema xmlns:xsd="http://www.w3.org/2001/XMLSchema" xmlns:xs="http://www.w3.org/2001/XMLSchema" xmlns:p="http://schemas.microsoft.com/office/2006/metadata/properties" xmlns:ns2="039355f5-e425-45e4-a2e4-66646ac4965c" xmlns:ns3="69cee579-4e2a-4f9b-aa8c-524f1856ed66" targetNamespace="http://schemas.microsoft.com/office/2006/metadata/properties" ma:root="true" ma:fieldsID="bad47aae9d65d7d007190edd2bf29d6f" ns2:_="" ns3:_="">
    <xsd:import namespace="039355f5-e425-45e4-a2e4-66646ac4965c"/>
    <xsd:import namespace="69cee579-4e2a-4f9b-aa8c-524f1856ed6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9355f5-e425-45e4-a2e4-66646ac496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f39ea20-3bab-4327-8f6b-3db4142d071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cee579-4e2a-4f9b-aa8c-524f1856ed6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4df88ce-abf2-4add-be39-c173c7881d41}" ma:internalName="TaxCatchAll" ma:showField="CatchAllData" ma:web="69cee579-4e2a-4f9b-aa8c-524f1856ed6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A8D011-B1F7-444A-80A4-4D59E2C6572D}"/>
</file>

<file path=customXml/itemProps2.xml><?xml version="1.0" encoding="utf-8"?>
<ds:datastoreItem xmlns:ds="http://schemas.openxmlformats.org/officeDocument/2006/customXml" ds:itemID="{542D9930-FD41-4C85-BAC3-4648AF465600}"/>
</file>

<file path=customXml/itemProps3.xml><?xml version="1.0" encoding="utf-8"?>
<ds:datastoreItem xmlns:ds="http://schemas.openxmlformats.org/officeDocument/2006/customXml" ds:itemID="{B32C0EAA-B6B3-4286-8075-BE1E64AD5E20}"/>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stoy</dc:creator>
  <cp:keywords/>
  <dc:description/>
  <cp:lastModifiedBy>Bhumika Mistry</cp:lastModifiedBy>
  <cp:revision/>
  <dcterms:created xsi:type="dcterms:W3CDTF">2013-11-20T06:58:28Z</dcterms:created>
  <dcterms:modified xsi:type="dcterms:W3CDTF">2023-03-16T20:53:30Z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0x010100AEDB9C90B9D2164D8912691232D18543</vt:lpwstr>
  </property>
  <property fmtid="{D5CDD505-2E9C-101B-9397-08002B2CF9AE}" pid="3" name="MediaServiceImageTags">
    <vt:lpwstr/>
  </property>
</Properties>
</file>